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RVENTE LIMPEZA" sheetId="1" r:id="rId4"/>
    <sheet state="visible" name="CÁLCULO DO Nº DE SERVENTES" sheetId="2" r:id="rId5"/>
    <sheet state="visible" name="INSUMOS IFRS" sheetId="3" r:id="rId6"/>
  </sheets>
  <definedNames>
    <definedName localSheetId="0" name="Print_Area">'SERVENTE LIMPEZA'!$A$1:$I$279</definedName>
  </definedNames>
  <calcPr/>
  <extLst>
    <ext uri="GoogleSheetsCustomDataVersion2">
      <go:sheetsCustomData xmlns:go="http://customooxmlschemas.google.com/" r:id="rId7" roundtripDataChecksum="SQZ+lYjSlHvkATwGabfSDWU1KIpicfzSbMHLe7aH6v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51">
      <text>
        <t xml:space="preserve">======
ID#AAABreRBwCw
Andre Marek    (2025-09-24 19:53:05)
@barbara.kuntzer@ibiruba.ifrs.edu.br @cristiane.brauner@ibiruba.ifrs.edu.br Precisamos definir a Depreciação dos Equipamentos.
------
ID#AAABreRBwC4
Barbara Kuntzer Schlintwein    (2025-09-24 20:13:54)
@andre.marek@ibiruba.ifrs.edu.br essa planilha não é a nossa</t>
      </text>
    </comment>
    <comment authorId="0" ref="D36">
      <text>
        <t xml:space="preserve">======
ID#AAABreRBwCs
Andre Marek    (2025-09-24 19:52:23)
@barbara.kuntzer@ibiruba.ifrs.edu.br @cristiane.brauner@ibiruba.ifrs.edu.br Precisamos definir a Vida Útil dos materiais.</t>
      </text>
    </comment>
  </commentList>
  <extLst>
    <ext uri="GoogleSheetsCustomDataVersion2">
      <go:sheetsCustomData xmlns:go="http://customooxmlschemas.google.com/" r:id="rId1" roundtripDataSignature="AMtx7mhkGwGlP1G4Q21gTd47UJwsoqQ8Xw=="/>
    </ext>
  </extLst>
</comments>
</file>

<file path=xl/sharedStrings.xml><?xml version="1.0" encoding="utf-8"?>
<sst xmlns="http://schemas.openxmlformats.org/spreadsheetml/2006/main" count="679" uniqueCount="430">
  <si>
    <r>
      <rPr>
        <rFont val="Arial"/>
        <b/>
        <color theme="1"/>
        <sz val="12.0"/>
      </rPr>
      <t xml:space="preserve">ANEXO II  </t>
    </r>
    <r>
      <rPr>
        <rFont val="Arial"/>
        <b/>
        <color rgb="FFFF0000"/>
        <sz val="12.0"/>
      </rPr>
      <t xml:space="preserve">do Pregão IFRS nº 90028/2025 </t>
    </r>
    <r>
      <rPr>
        <rFont val="Arial"/>
        <b/>
        <color theme="1"/>
        <sz val="12.0"/>
      </rPr>
      <t>–</t>
    </r>
    <r>
      <rPr>
        <rFont val="Arial"/>
        <b/>
        <color rgb="FFFF0000"/>
        <sz val="12.0"/>
      </rPr>
      <t xml:space="preserve"> </t>
    </r>
    <r>
      <rPr>
        <rFont val="Arial"/>
        <b/>
        <color theme="1"/>
        <sz val="12.0"/>
      </rPr>
      <t xml:space="preserve">Opção pela conta vinculada e férias nos módulos 2.1 e 4.1 </t>
    </r>
    <r>
      <rPr>
        <rFont val="Arial"/>
        <b/>
        <color rgb="FF0000FF"/>
        <sz val="12.0"/>
      </rPr>
      <t xml:space="preserve">
</t>
    </r>
    <r>
      <rPr>
        <rFont val="Arial"/>
        <b/>
        <color theme="1"/>
        <sz val="12.0"/>
      </rPr>
      <t xml:space="preserve">PLANILHA DE CUSTOS E FORMAÇÃO DE PREÇOS </t>
    </r>
    <r>
      <rPr>
        <rFont val="Arial"/>
        <b/>
        <color rgb="FF800080"/>
        <sz val="12.0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Arial"/>
        <b/>
        <color rgb="FFFF0000"/>
        <sz val="12.0"/>
      </rPr>
      <t>IFRS - REITORIA</t>
    </r>
  </si>
  <si>
    <t xml:space="preserve">LIMPEZA - Regime de Tributação: Lucro Real </t>
  </si>
  <si>
    <t>Nº do processo:</t>
  </si>
  <si>
    <t>23366.000676/2025-16</t>
  </si>
  <si>
    <t>Licitação nº:</t>
  </si>
  <si>
    <t>Pregão IFRS -  nº 90028/2025</t>
  </si>
  <si>
    <t>Dia: xx/xx/2025 às xxh</t>
  </si>
  <si>
    <t xml:space="preserve">DISCRIMINAÇÃO DOS SERVIÇOS (DADOS REFERENTES À CONTRATAÇÃO) </t>
  </si>
  <si>
    <t>A</t>
  </si>
  <si>
    <t>Data de apresentação da proposta (dia/mês/ano)</t>
  </si>
  <si>
    <t>xx/xx/2025</t>
  </si>
  <si>
    <t>B</t>
  </si>
  <si>
    <t>Município/UF</t>
  </si>
  <si>
    <t>Bento Gonçalves/RS</t>
  </si>
  <si>
    <t>C</t>
  </si>
  <si>
    <t>Ano do Acordo, Convenção ou Dissídio Coletivo</t>
  </si>
  <si>
    <t>01/01/2025 a 31/12/2025
SINDASSEIO/RS (RS000022/2025)</t>
  </si>
  <si>
    <t>D</t>
  </si>
  <si>
    <t xml:space="preserve">Número de meses de execução contratual </t>
  </si>
  <si>
    <t xml:space="preserve">IDENTIFICAÇÃO DO SERVIÇO </t>
  </si>
  <si>
    <t xml:space="preserve">Tipo de Serviço: 
                                Limpeza e Conservação Predial                                                                                                   </t>
  </si>
  <si>
    <t>Unidade
 de 
Medida</t>
  </si>
  <si>
    <t xml:space="preserve">Quantidade total a contratar (Em função da unidade de medida) </t>
  </si>
  <si>
    <t>a) Áreas internas - Pisos acarpetados</t>
  </si>
  <si>
    <t>m2</t>
  </si>
  <si>
    <t>b) Áreas internas - Pisos frios</t>
  </si>
  <si>
    <t>c) Áreas internas - Laboratórios</t>
  </si>
  <si>
    <t>d) Áreas internas - Almoxarifados/galpões</t>
  </si>
  <si>
    <t>e) Áreas internas - Oficinas</t>
  </si>
  <si>
    <t>f) Áreas internas - Áreas com espaços livres - saguão, hall e salão</t>
  </si>
  <si>
    <r>
      <rPr>
        <rFont val="Arial"/>
        <b/>
        <color rgb="FF0047FF"/>
        <sz val="8.0"/>
      </rPr>
      <t xml:space="preserve">g) Banheiros </t>
    </r>
    <r>
      <rPr>
        <rFont val="Arial"/>
        <b val="0"/>
        <color rgb="FF0047FF"/>
        <sz val="8.0"/>
      </rPr>
      <t>(40%)</t>
    </r>
  </si>
  <si>
    <t>TOTAL DA ÁREA INTERNA</t>
  </si>
  <si>
    <t>a) Áreas externas - Pisos pavimentados adjacentes/contíguos às edificações</t>
  </si>
  <si>
    <t>b) Varrição de passeios e arruamentos</t>
  </si>
  <si>
    <r>
      <rPr>
        <rFont val="Arial"/>
        <color theme="1"/>
        <sz val="8.0"/>
      </rPr>
      <t xml:space="preserve">c) Pátios e áreas verdes com </t>
    </r>
    <r>
      <rPr>
        <rFont val="Arial"/>
        <color rgb="FFFF0000"/>
        <sz val="8.0"/>
      </rPr>
      <t xml:space="preserve">alta </t>
    </r>
    <r>
      <rPr>
        <rFont val="Arial"/>
        <color theme="1"/>
        <sz val="8.0"/>
      </rPr>
      <t>frequência</t>
    </r>
  </si>
  <si>
    <r>
      <rPr>
        <rFont val="Arial"/>
        <color theme="1"/>
        <sz val="8.0"/>
      </rPr>
      <t xml:space="preserve">d) Pátios e áreas verdes com </t>
    </r>
    <r>
      <rPr>
        <rFont val="Arial"/>
        <color rgb="FFFF0000"/>
        <sz val="8.0"/>
      </rPr>
      <t>média</t>
    </r>
    <r>
      <rPr>
        <rFont val="Arial"/>
        <color theme="1"/>
        <sz val="8.0"/>
      </rPr>
      <t xml:space="preserve"> frequência</t>
    </r>
  </si>
  <si>
    <r>
      <rPr>
        <rFont val="Arial"/>
        <color theme="1"/>
        <sz val="8.0"/>
      </rPr>
      <t xml:space="preserve">e) Pátios e áreas verdes com </t>
    </r>
    <r>
      <rPr>
        <rFont val="Arial"/>
        <color rgb="FFFF0000"/>
        <sz val="8.0"/>
      </rPr>
      <t>baixa</t>
    </r>
    <r>
      <rPr>
        <rFont val="Arial"/>
        <color theme="1"/>
        <sz val="8.0"/>
      </rPr>
      <t xml:space="preserve"> frequência</t>
    </r>
  </si>
  <si>
    <t>f) Coleta de detritos em pátios e áreas verdes com frequência diária</t>
  </si>
  <si>
    <t>TOTAL DA ÁREA EXTERNA</t>
  </si>
  <si>
    <r>
      <rPr>
        <rFont val="Arial"/>
        <color theme="1"/>
        <sz val="8.0"/>
      </rPr>
      <t xml:space="preserve">a) Esquadrias externas - Face externa </t>
    </r>
    <r>
      <rPr>
        <rFont val="Arial"/>
        <color rgb="FFFF0000"/>
        <sz val="8.0"/>
      </rPr>
      <t>com</t>
    </r>
    <r>
      <rPr>
        <rFont val="Arial"/>
        <color theme="1"/>
        <sz val="8.0"/>
      </rPr>
      <t xml:space="preserve"> exposição a situação de risco</t>
    </r>
  </si>
  <si>
    <r>
      <rPr>
        <rFont val="Arial"/>
        <color theme="1"/>
        <sz val="8.0"/>
      </rPr>
      <t>b) Esquadrias externas - Face externa</t>
    </r>
    <r>
      <rPr>
        <rFont val="Arial"/>
        <color rgb="FFFF0000"/>
        <sz val="8.0"/>
      </rPr>
      <t xml:space="preserve"> sem </t>
    </r>
    <r>
      <rPr>
        <rFont val="Arial"/>
        <color theme="1"/>
        <sz val="8.0"/>
      </rPr>
      <t>exposição a situação de risco</t>
    </r>
  </si>
  <si>
    <t>c) Esquadrias externas - Face interna</t>
  </si>
  <si>
    <t>TOTAL DA ÁREA DA ESQUADRIA EXTERNA - FACE INTERNA/EXTERNA</t>
  </si>
  <si>
    <t>a) Fachadas Envidraçadas</t>
  </si>
  <si>
    <t xml:space="preserve">TOTAL GERAL </t>
  </si>
  <si>
    <t>1. MÓDULOS - Mão de obra</t>
  </si>
  <si>
    <t>Dados para composição dos custos referente à mão de obra</t>
  </si>
  <si>
    <t>Tipo de Serviço (mesmo serviço com características distintas)</t>
  </si>
  <si>
    <t xml:space="preserve"> Limpeza e conservação</t>
  </si>
  <si>
    <t>Classificação Brasileira de Ocupações (CBO)</t>
  </si>
  <si>
    <t>5143-20</t>
  </si>
  <si>
    <r>
      <rPr>
        <rFont val="Arial"/>
        <b/>
        <color theme="1"/>
        <sz val="8.0"/>
      </rPr>
      <t xml:space="preserve">Salário Normativo da Categoria Profissional - </t>
    </r>
    <r>
      <rPr>
        <rFont val="Arial"/>
        <b/>
        <color rgb="FF0000FF"/>
        <sz val="8.0"/>
      </rPr>
      <t>para a jornada de 40 h/sem</t>
    </r>
  </si>
  <si>
    <t>Categoria Profissional (vinculada à execução contratual)</t>
  </si>
  <si>
    <t xml:space="preserve">      Servente de limpeza</t>
  </si>
  <si>
    <t>Data-Base da Categoria (dia/mês/ano)</t>
  </si>
  <si>
    <t>1º de janeiro de 2025</t>
  </si>
  <si>
    <t>Nota 1: A planilha será calculada considerando o valor mensal do empregado.</t>
  </si>
  <si>
    <t>Módulo 1: Composição da Remuneração</t>
  </si>
  <si>
    <t xml:space="preserve">Composição da Remuneração </t>
  </si>
  <si>
    <t>Percentual
(R$)</t>
  </si>
  <si>
    <t xml:space="preserve">Valor
(R$) </t>
  </si>
  <si>
    <r>
      <rPr>
        <rFont val="Arial"/>
        <b/>
        <color theme="1"/>
        <sz val="8.0"/>
      </rPr>
      <t xml:space="preserve">Salário-Base   </t>
    </r>
    <r>
      <rPr>
        <rFont val="Arial"/>
        <b/>
        <color rgb="FFFF0000"/>
        <sz val="8.0"/>
      </rPr>
      <t>(Cláusula 5ª CCT 2025)</t>
    </r>
    <r>
      <rPr>
        <rFont val="Arial"/>
        <b/>
        <color theme="1"/>
        <sz val="8.0"/>
      </rPr>
      <t xml:space="preserve">                                                                                                                                         (valor para somente 1 servente de limpeza/ jornada de 40 horas semanais)</t>
    </r>
  </si>
  <si>
    <r>
      <rPr>
        <rFont val="Arial"/>
        <b/>
        <color theme="1"/>
        <sz val="8.0"/>
      </rPr>
      <t xml:space="preserve">Adicional de Insalubridade </t>
    </r>
    <r>
      <rPr>
        <rFont val="Arial"/>
        <b/>
        <color rgb="FFFF0000"/>
        <sz val="8.0"/>
      </rPr>
      <t>(40% do SB - Cláusula 17 alínea "a" CCT 2025)</t>
    </r>
  </si>
  <si>
    <t xml:space="preserve">Total </t>
  </si>
  <si>
    <t>Nota1:  O Módulo 1 refere-se ao valor mensal devido ao empregado pela prestação do serviço no período de 12 meses.</t>
  </si>
  <si>
    <t>Módulo 2 – Encargos e Benefícios Anuais, Mensais e Diários</t>
  </si>
  <si>
    <r>
      <rPr>
        <rFont val="Arial"/>
        <b/>
        <color theme="1"/>
        <sz val="8.0"/>
      </rPr>
      <t>Submódulo 2.1 – 13º (décimo terceiro) Salário</t>
    </r>
    <r>
      <rPr>
        <rFont val="Arial"/>
        <b/>
        <color rgb="FF009900"/>
        <sz val="8.0"/>
      </rPr>
      <t xml:space="preserve"> </t>
    </r>
    <r>
      <rPr>
        <rFont val="Arial"/>
        <b/>
        <color theme="1"/>
        <sz val="8.0"/>
      </rPr>
      <t>e Adicional de Férias</t>
    </r>
  </si>
  <si>
    <t>2.1</t>
  </si>
  <si>
    <t>13º (décimo terceiro) Salário e Adicional de Férias</t>
  </si>
  <si>
    <t>Valor (R$)</t>
  </si>
  <si>
    <r>
      <rPr>
        <rFont val="Arial"/>
        <b/>
        <color theme="1"/>
        <sz val="8.0"/>
      </rPr>
      <t>13º (décimo terceiro) Salário  -</t>
    </r>
    <r>
      <rPr>
        <rFont val="Arial"/>
        <b/>
        <color rgb="FF0000FF"/>
        <sz val="8.0"/>
      </rPr>
      <t xml:space="preserve"> </t>
    </r>
    <r>
      <rPr>
        <rFont val="Arial"/>
        <b/>
        <color rgb="FFFF0000"/>
        <sz val="8.0"/>
      </rPr>
      <t>Obrigatória a cotação de 8,33% sobre o valor do Módulo 1 – Composição da Remuneração, conforme Anexo XII da IN 5/17</t>
    </r>
  </si>
  <si>
    <r>
      <rPr>
        <rFont val="Arial"/>
        <b/>
        <color theme="1"/>
        <sz val="8.0"/>
      </rPr>
      <t xml:space="preserve">Férias e Adicional de Férias </t>
    </r>
    <r>
      <rPr>
        <rFont val="Arial"/>
        <b/>
        <color rgb="FFFF0000"/>
        <sz val="8.0"/>
      </rPr>
      <t>Obrigatória a cotação de 12,10% sobre o valor do
Módulo 1 - Composição da Remuneração, conforme Anexo XII da IN 5/17
(Férias + Adicional = 12,10% = 9,075% + 3,025%).</t>
    </r>
    <r>
      <rPr>
        <rFont val="Arial"/>
        <b/>
        <color theme="1"/>
        <sz val="8.0"/>
      </rPr>
      <t xml:space="preserve"> </t>
    </r>
    <r>
      <rPr>
        <rFont val="Arial"/>
        <b/>
        <color rgb="FF33CCCC"/>
        <sz val="8.0"/>
      </rPr>
      <t>Na prorrogação, será excluído o item Férias (9,075%) em cumprimento da Nota 3, permanecendo somente o Adicional de Férias (3,025%)</t>
    </r>
  </si>
  <si>
    <t>Total</t>
  </si>
  <si>
    <r>
      <rPr>
        <rFont val="Arial"/>
        <b/>
        <color theme="1"/>
        <sz val="8.0"/>
      </rPr>
      <t xml:space="preserve">Nota 1: Como a planilha de custos e formação de preços é calculada mensalmente, provisiona-se proporcionalmente 1/12 (um doze avos) dos valores referentes à gratificação natalina, férias e adicional de férias.
</t>
    </r>
    <r>
      <rPr>
        <rFont val="Arial"/>
        <b/>
        <color rgb="FF33CCCC"/>
        <sz val="8.0"/>
      </rPr>
      <t>Nota 2: As Férias e o Adicional de Férias contidos no Submódulo 2.1 correspondem a 9,075% e 3,025%, respectivamente, do Módulo 1, em face do Anexo XII da IN nº 5/2017 exigir 12,10% no somatório de Férias + 1/3 de Férias (9,075% + 3,025%).</t>
    </r>
    <r>
      <rPr>
        <rFont val="Arial"/>
        <b/>
        <color theme="1"/>
        <sz val="8.0"/>
      </rPr>
      <t xml:space="preserve">
</t>
    </r>
    <r>
      <rPr>
        <rFont val="Arial"/>
        <b/>
        <color rgb="FFFF0000"/>
        <sz val="8.0"/>
      </rPr>
      <t>Nota 3: Levando em consideração a vigência contratual inicial de 12 (doze) meses, a rubrica férias tem como objetivo principal suprir a necessidade do pagamento das férias remuneradas ao final do contrato de 12 meses. Esta rubrica, quando da prorrogação contratual, torna-se custo não renovável.</t>
    </r>
  </si>
  <si>
    <r>
      <rPr>
        <rFont val="Arial"/>
        <b/>
        <color theme="1"/>
        <sz val="10.0"/>
      </rPr>
      <t xml:space="preserve">Submódulo 2.2 - Encargos Previdenciários (GPS), Fundo de Garantia por Tempo de Serviço (FGTS) e outras contribuições </t>
    </r>
    <r>
      <rPr>
        <rFont val="Arial"/>
        <b/>
        <color rgb="FF0000FF"/>
        <sz val="10.0"/>
      </rPr>
      <t>(Base de cálculo: Módulo 1 + Submódulo 2.1)</t>
    </r>
  </si>
  <si>
    <t>2.2</t>
  </si>
  <si>
    <t>GPS, FGTS e outras contribuições</t>
  </si>
  <si>
    <t>Percentual (%)</t>
  </si>
  <si>
    <t>Valor
 (R$)</t>
  </si>
  <si>
    <t>INSS</t>
  </si>
  <si>
    <t>Salário Educação</t>
  </si>
  <si>
    <r>
      <rPr>
        <rFont val="Arial"/>
        <b/>
        <color theme="1"/>
        <sz val="8.0"/>
      </rPr>
      <t xml:space="preserve">RAT x FAP
</t>
    </r>
    <r>
      <rPr>
        <rFont val="Arial"/>
        <b/>
        <color rgb="FFFF0000"/>
        <sz val="8.0"/>
      </rPr>
      <t>Cálculo do valor: % do RAT (Riscos Ambientais do Trabalho) x FAP (Fator Acidentário de Prevenção de cada empresa)</t>
    </r>
  </si>
  <si>
    <t>RAT =</t>
  </si>
  <si>
    <t xml:space="preserve"> FAP =</t>
  </si>
  <si>
    <t>SESC ou SESI</t>
  </si>
  <si>
    <t>E</t>
  </si>
  <si>
    <t>SENAC ou SENAI</t>
  </si>
  <si>
    <t>F</t>
  </si>
  <si>
    <t>SEBRAE</t>
  </si>
  <si>
    <t>G</t>
  </si>
  <si>
    <t>INCRA</t>
  </si>
  <si>
    <t>H</t>
  </si>
  <si>
    <t>FGTS</t>
  </si>
  <si>
    <r>
      <rPr>
        <rFont val="Arial"/>
        <color theme="1"/>
        <sz val="8.0"/>
      </rPr>
      <t>Nota 1: Os percentuais dos encargos previdenciários, do FGTS e demais contribuições são aqueles estabelecidos pela legislação vigente.
Nota 2: O RAT a depender do grau de risco do serviço irá variar entre 1%, para risco leve, de 2% para risco médio, e de 3% para risco grave.
Nota 3: Esses percentuais incidem sobre o Módulo 1 e Submódulo 2.1</t>
    </r>
    <r>
      <rPr>
        <rFont val="Arial"/>
        <color rgb="FF009900"/>
        <sz val="8.0"/>
      </rPr>
      <t>.</t>
    </r>
  </si>
  <si>
    <t>Submódulo 2.3 – Benefícios Mensais e Diários</t>
  </si>
  <si>
    <t>2.3</t>
  </si>
  <si>
    <t>Benefícios Mensais e Diários</t>
  </si>
  <si>
    <r>
      <rPr>
        <rFont val="Arial"/>
        <b/>
        <color theme="1"/>
        <sz val="8.0"/>
      </rPr>
      <t xml:space="preserve">Transporte                                               </t>
    </r>
    <r>
      <rPr>
        <rFont val="Arial"/>
        <b/>
        <color rgb="FFFF0000"/>
        <sz val="8.0"/>
      </rPr>
      <t>Cálculo do valor: [(2xVTx22) – (</t>
    </r>
    <r>
      <rPr>
        <rFont val="Arial"/>
        <b/>
        <color rgb="FF0000FF"/>
        <sz val="8.0"/>
      </rPr>
      <t>6%</t>
    </r>
    <r>
      <rPr>
        <rFont val="Arial"/>
        <b/>
        <color rgb="FFFF0000"/>
        <sz val="8.0"/>
      </rPr>
      <t>xSB)]</t>
    </r>
  </si>
  <si>
    <r>
      <rPr>
        <rFont val="Arial"/>
        <b/>
        <color theme="1"/>
        <sz val="8.0"/>
      </rPr>
      <t xml:space="preserve">      </t>
    </r>
    <r>
      <rPr>
        <rFont val="Arial"/>
        <b/>
        <color rgb="FFFF0000"/>
        <sz val="8.0"/>
      </rPr>
      <t xml:space="preserve">A.1) Valor da passagem do transporte coletivo no município de prestação dos serviços: </t>
    </r>
  </si>
  <si>
    <t>-</t>
  </si>
  <si>
    <r>
      <rPr>
        <rFont val="Arial"/>
        <b/>
        <color theme="1"/>
        <sz val="8.0"/>
      </rPr>
      <t xml:space="preserve">     </t>
    </r>
    <r>
      <rPr>
        <rFont val="Arial"/>
        <b/>
        <color rgb="FFFF0000"/>
        <sz val="8.0"/>
      </rPr>
      <t xml:space="preserve"> A.2) Quantidade de passagens por dia por empregado:</t>
    </r>
  </si>
  <si>
    <r>
      <rPr>
        <rFont val="Arial"/>
        <b/>
        <color theme="1"/>
        <sz val="8.0"/>
      </rPr>
      <t xml:space="preserve">      </t>
    </r>
    <r>
      <rPr>
        <rFont val="Arial"/>
        <b/>
        <color rgb="FFFF0000"/>
        <sz val="8.0"/>
      </rPr>
      <t xml:space="preserve">A.3) Quantidade de dias do mês de recebimento de passagens </t>
    </r>
  </si>
  <si>
    <r>
      <rPr>
        <rFont val="Arial"/>
        <color theme="1"/>
        <sz val="8.0"/>
      </rPr>
      <t xml:space="preserve">     A.4) Participação do empregado em percentual do salário-base</t>
    </r>
    <r>
      <rPr>
        <rFont val="Arial"/>
        <b/>
        <color rgb="FF0000FF"/>
        <sz val="8.0"/>
      </rPr>
      <t xml:space="preserve"> (cláus. 21 CCT 2025)</t>
    </r>
  </si>
  <si>
    <r>
      <rPr>
        <rFont val="Arial"/>
        <b/>
        <color theme="1"/>
        <sz val="8.0"/>
      </rPr>
      <t xml:space="preserve">Auxílio-Refeição/Alimentação </t>
    </r>
    <r>
      <rPr>
        <rFont val="Arial"/>
        <b/>
        <color rgb="FFFF0000"/>
        <sz val="8.0"/>
      </rPr>
      <t>Cálculo do valor = [(22xVA)x(1-</t>
    </r>
    <r>
      <rPr>
        <rFont val="Arial"/>
        <b/>
        <color rgb="FF0000FF"/>
        <sz val="8.0"/>
      </rPr>
      <t>0,19%</t>
    </r>
    <r>
      <rPr>
        <rFont val="Arial"/>
        <b/>
        <color rgb="FFFF0000"/>
        <sz val="8.0"/>
      </rPr>
      <t>)]</t>
    </r>
  </si>
  <si>
    <r>
      <rPr>
        <rFont val="Arial"/>
        <b/>
        <color theme="1"/>
        <sz val="8.0"/>
      </rPr>
      <t xml:space="preserve">      </t>
    </r>
    <r>
      <rPr>
        <rFont val="Arial"/>
        <b/>
        <color rgb="FFFF0000"/>
        <sz val="8.0"/>
      </rPr>
      <t>B.1) Valor do auxílio-alimentação</t>
    </r>
    <r>
      <rPr>
        <rFont val="Arial"/>
        <b/>
        <color rgb="FF0000FF"/>
        <sz val="8.0"/>
      </rPr>
      <t xml:space="preserve"> (cláusula 19 da CCT 2025)</t>
    </r>
  </si>
  <si>
    <r>
      <rPr>
        <rFont val="Arial"/>
        <b/>
        <color theme="1"/>
        <sz val="8.0"/>
      </rPr>
      <t xml:space="preserve">    </t>
    </r>
    <r>
      <rPr>
        <rFont val="Arial"/>
        <b/>
        <color rgb="FFFF0000"/>
        <sz val="8.0"/>
      </rPr>
      <t xml:space="preserve">  B.2) Quantidade de dias do mês de recebimento de auxílio-alimentação</t>
    </r>
  </si>
  <si>
    <t xml:space="preserve">     B.3) Participação do empregado em percentual sobre o auxílio-alimentação</t>
  </si>
  <si>
    <r>
      <rPr>
        <rFont val="Arial"/>
        <b/>
        <color theme="1"/>
        <sz val="8.0"/>
      </rPr>
      <t xml:space="preserve">Plano de Benefício Social Familiar </t>
    </r>
    <r>
      <rPr>
        <rFont val="Arial"/>
        <b/>
        <color rgb="FF0000FF"/>
        <sz val="8.0"/>
      </rPr>
      <t>(cláusula 30 da CCT 2025)  Sem participação do empregado</t>
    </r>
  </si>
  <si>
    <t>Nota 1: O valor informado deverá ser o custo real do insumo (descontado o valor eventualmente pago pelo empregado).
Nota 2: Observar a previsão dos benefícios contidos em Acordos, Convenções e Dissídios Coletivos de Trabalho e atentar-se ao disposto no artigo 6º desta Instrução Normativa.</t>
  </si>
  <si>
    <t>Quadro-Resumo do Módulo 2 – Encargos e Benefícios Anuais, Mensais e Diários</t>
  </si>
  <si>
    <t>Encargos e Benefícios Anuais, Mensais e Diários</t>
  </si>
  <si>
    <r>
      <rPr>
        <rFont val="Arial"/>
        <b/>
        <color theme="1"/>
        <sz val="8.0"/>
      </rPr>
      <t>13º (décimo terceiro) Salário</t>
    </r>
    <r>
      <rPr>
        <rFont val="Arial"/>
        <b/>
        <strike/>
        <color rgb="FF009933"/>
        <sz val="8.0"/>
      </rPr>
      <t xml:space="preserve"> </t>
    </r>
    <r>
      <rPr>
        <rFont val="Arial"/>
        <b/>
        <color theme="1"/>
        <sz val="8.0"/>
      </rPr>
      <t>e Adicional de Férias</t>
    </r>
  </si>
  <si>
    <t>Módulo 3 - Provisão para Rescisão</t>
  </si>
  <si>
    <t>Provisão para Rescisão</t>
  </si>
  <si>
    <t>Valor  (R$)</t>
  </si>
  <si>
    <r>
      <rPr>
        <rFont val="Arial"/>
        <b/>
        <color theme="1"/>
        <sz val="8.0"/>
      </rPr>
      <t xml:space="preserve">Aviso Prévio Indenizado     </t>
    </r>
    <r>
      <rPr>
        <rFont val="Arial"/>
        <b/>
        <color rgb="FFFF0000"/>
        <sz val="8.0"/>
      </rPr>
      <t xml:space="preserve">Cálculo do valor = [Rem/12 + 13º/12 + Férias/12 + (1/3xFérias)/12] x (30/30=1) x 5% de rotatividade anual
Os reflexos de 13º, F e 1/3F são referentes a 1 mês de APInd - </t>
    </r>
    <r>
      <rPr>
        <rFont val="Arial"/>
        <b/>
        <color rgb="FF0000FF"/>
        <sz val="8.0"/>
      </rPr>
      <t>Na prorrogação, poderão ser considerados 3 dias conforme Lei nº 12.506/2011, dependendo da análise do nº de ocorrências deste evento no período.</t>
    </r>
  </si>
  <si>
    <t>Incidência do FGTS sobre o Aviso Prévio Indenizado</t>
  </si>
  <si>
    <r>
      <rPr>
        <rFont val="Arial"/>
        <b/>
        <color theme="1"/>
        <sz val="8.0"/>
      </rPr>
      <t xml:space="preserve">Aviso Prévio Trabalhado   </t>
    </r>
    <r>
      <rPr>
        <rFont val="Arial"/>
        <b/>
        <color rgb="FFFF0000"/>
        <sz val="8.0"/>
      </rPr>
      <t>Cálculo do valor= [(Rem/30)x7]/</t>
    </r>
    <r>
      <rPr>
        <rFont val="Arial"/>
        <b/>
        <color rgb="FF0000FF"/>
        <sz val="8.0"/>
      </rPr>
      <t>12</t>
    </r>
    <r>
      <rPr>
        <rFont val="Arial"/>
        <b/>
        <color rgb="FFFF0000"/>
        <sz val="8.0"/>
      </rPr>
      <t xml:space="preserve"> meses do contratox</t>
    </r>
    <r>
      <rPr>
        <rFont val="Arial"/>
        <b/>
        <color rgb="FF0000FF"/>
        <sz val="8.0"/>
      </rPr>
      <t>100%</t>
    </r>
    <r>
      <rPr>
        <rFont val="Arial"/>
        <b/>
        <color rgb="FFFF0000"/>
        <sz val="8.0"/>
      </rPr>
      <t xml:space="preserve"> dos empregados - ao final do contrato -</t>
    </r>
    <r>
      <rPr>
        <rFont val="Arial"/>
        <b/>
        <color rgb="FF0000FF"/>
        <sz val="8.0"/>
      </rPr>
      <t xml:space="preserve"> Negociar extinção/redução na 1ª prorrogação, dependendo da análise do nº de ocorrências deste evento no período.</t>
    </r>
  </si>
  <si>
    <t xml:space="preserve">Incidência de GPS, FGTS e outras contribuições sobre o Aviso Prévio Trabalhado         </t>
  </si>
  <si>
    <r>
      <rPr>
        <rFont val="Arial"/>
        <b/>
        <color theme="1"/>
        <sz val="8.0"/>
      </rPr>
      <t xml:space="preserve">Multa do FGTS sobre o Aviso Prévio Trabalhado e sobre o Aviso Prévio
Indenizado. </t>
    </r>
    <r>
      <rPr>
        <rFont val="Arial"/>
        <b/>
        <color rgb="FFFF0000"/>
        <sz val="8.0"/>
      </rPr>
      <t>Obrigatória a cotação de 4% sobre o valor do Módulo 1 –
Composição da Remuneração, conforme Anexo XII da IN Seges nº 5/2017</t>
    </r>
  </si>
  <si>
    <t>Nota 1:  Aviso Prévio Indenizado - Na prorrogação, poderão ser considerados 3 dias conforme Lei nº 12.506/2011, dependendo da análise do nº de ocorrências deste evento no período.
Nota 2: Aviso Prévio Trabalhado - corresponde ao percentual  de 1,94% no primeiro ano; em caso de prorrogação do contrato, poderão ser considerados 3 dias conforme Lei nº 12.506/2011, devendo o percentual máximo dessa parcela ser de até 0,194% a cada ano de prorrogação.</t>
  </si>
  <si>
    <t>Módulo 4 - Custo de Reposição do Profissional Ausente</t>
  </si>
  <si>
    <t xml:space="preserve">Nota 1: Os itens que contemplam o módulo 4 se referem ao custo dos dias trabalhados pelo repositor/substituto quando o empregado alocado na prestação do serviço estiver ausente, conforme as previsões estabelecidas na legislação. </t>
  </si>
  <si>
    <r>
      <rPr>
        <rFont val="Arial"/>
        <b/>
        <color rgb="FF0000FF"/>
        <sz val="8.0"/>
      </rPr>
      <t xml:space="preserve">Base de cálculo para o Custo de Reposição do Profissional Ausente (substituto): BCCPA = </t>
    </r>
    <r>
      <rPr>
        <rFont val="Arial"/>
        <b/>
        <color rgb="FFFF0000"/>
        <sz val="8.0"/>
      </rPr>
      <t xml:space="preserve">MÓDULO 1 + MÓDULO 2 (-VA - VT) + MÓDULO 3 - exceto o Afastamento Maternidade, pois que a Rem e o 13º podem ser compensados pelo INSS,  e que tem cálculo diferenciado, conforme nele consta.                                                                </t>
    </r>
  </si>
  <si>
    <t>MÓD 1 =</t>
  </si>
  <si>
    <r>
      <rPr>
        <rFont val="Arial"/>
        <b/>
        <color rgb="FF0000FF"/>
        <sz val="8.0"/>
      </rPr>
      <t xml:space="preserve">MÓD 2 </t>
    </r>
    <r>
      <rPr>
        <rFont val="Arial"/>
        <b/>
        <color rgb="FFFF0000"/>
        <sz val="8.0"/>
      </rPr>
      <t>(sem VA e VT)</t>
    </r>
    <r>
      <rPr>
        <rFont val="Arial"/>
        <b/>
        <color rgb="FF0000FF"/>
        <sz val="8.0"/>
      </rPr>
      <t xml:space="preserve"> </t>
    </r>
  </si>
  <si>
    <t>MÓD 3 =</t>
  </si>
  <si>
    <t xml:space="preserve">Submódulo 4.1 – Substituto nas Ausências Legais </t>
  </si>
  <si>
    <t>4.1</t>
  </si>
  <si>
    <t>Substituto nas Ausências Legais</t>
  </si>
  <si>
    <r>
      <rPr>
        <rFont val="Arial"/>
        <b/>
        <color rgb="FF000000"/>
        <sz val="8.0"/>
      </rPr>
      <t xml:space="preserve">Substituto na cobertura de Férias  </t>
    </r>
    <r>
      <rPr>
        <rFont val="Arial"/>
        <b/>
        <color rgb="FFFF0000"/>
        <sz val="8.0"/>
      </rPr>
      <t>Cálculo do valor = BCCPA/12
É obrigatória a adoção da mesma fórmula deste item de custo, pois que na primeira prorrogação de 12 meses as Férias do 2.1.B deverão ser excluidas. Caso contrário, a contratada não disporá de recursos para pagar o substituto a partir da segunda Férias. Ver Acórdãos TCU n.ºs 158/2022 e 436/2022, ambos do Plenário.</t>
    </r>
  </si>
  <si>
    <r>
      <rPr>
        <rFont val="Arial"/>
        <b/>
        <color rgb="FF000000"/>
        <sz val="8.0"/>
      </rPr>
      <t xml:space="preserve">Substituto na cobertura de Ausências Legais </t>
    </r>
    <r>
      <rPr>
        <rFont val="Arial"/>
        <b/>
        <color rgb="FFFF0000"/>
        <sz val="8.0"/>
      </rPr>
      <t>Cálculo do valor = [(</t>
    </r>
    <r>
      <rPr>
        <rFont val="Arial"/>
        <b/>
        <color rgb="FF0000FF"/>
        <sz val="8.0"/>
      </rPr>
      <t>BCCPA</t>
    </r>
    <r>
      <rPr>
        <rFont val="Arial"/>
        <b/>
        <color rgb="FFFF0000"/>
        <sz val="8.0"/>
      </rPr>
      <t>/30)x1dia]/12</t>
    </r>
  </si>
  <si>
    <r>
      <rPr>
        <rFont val="Arial"/>
        <b/>
        <color rgb="FF000000"/>
        <sz val="8.0"/>
      </rPr>
      <t xml:space="preserve">Substituto na cobertura de Licença-Paternidade
</t>
    </r>
    <r>
      <rPr>
        <rFont val="Arial"/>
        <b/>
        <color rgb="FFFF0000"/>
        <sz val="8.0"/>
      </rPr>
      <t>Cálculo do valor = {[(</t>
    </r>
    <r>
      <rPr>
        <rFont val="Arial"/>
        <b/>
        <color rgb="FF0000FF"/>
        <sz val="8.0"/>
      </rPr>
      <t>BCCPA</t>
    </r>
    <r>
      <rPr>
        <rFont val="Arial"/>
        <b/>
        <color rgb="FFFF0000"/>
        <sz val="8.0"/>
      </rPr>
      <t>/30)x5dias]/12}x1,5%</t>
    </r>
  </si>
  <si>
    <r>
      <rPr>
        <rFont val="Arial"/>
        <b/>
        <color theme="1"/>
        <sz val="8.0"/>
      </rPr>
      <t xml:space="preserve">Substituto na cobertura de Ausência por acidente de trabalho
</t>
    </r>
    <r>
      <rPr>
        <rFont val="Arial"/>
        <b/>
        <color rgb="FFFF0000"/>
        <sz val="8.0"/>
      </rPr>
      <t>Cálculo do valor = [(</t>
    </r>
    <r>
      <rPr>
        <rFont val="Arial"/>
        <b/>
        <color rgb="FF0000FF"/>
        <sz val="8.0"/>
      </rPr>
      <t>BCCPA</t>
    </r>
    <r>
      <rPr>
        <rFont val="Arial"/>
        <b/>
        <color rgb="FFFF0000"/>
        <sz val="8.0"/>
      </rPr>
      <t>)  sobre a Rem)/30x0,97 dias]/12</t>
    </r>
  </si>
  <si>
    <r>
      <rPr>
        <rFont val="Arial"/>
        <b/>
        <color rgb="FF000000"/>
        <sz val="8.0"/>
      </rPr>
      <t xml:space="preserve">Substituto na cobertura de Afastamento Maternidade
</t>
    </r>
    <r>
      <rPr>
        <rFont val="Arial"/>
        <b/>
        <color rgb="FFFF0000"/>
        <sz val="8.0"/>
      </rPr>
      <t>Cálculo do valor = [((Férias + Férias / 3) + SUB2.2 x (Férias + Férias / 3)) x (4/12)] x 2% + [( FGTS x Rem + SUB 2.2 x 13º</t>
    </r>
    <r>
      <rPr>
        <rFont val="Arial"/>
        <b/>
        <color rgb="FF3333FF"/>
        <sz val="8.0"/>
      </rPr>
      <t xml:space="preserve"> </t>
    </r>
    <r>
      <rPr>
        <rFont val="Arial"/>
        <b/>
        <color rgb="FFFF0000"/>
        <sz val="8.0"/>
      </rPr>
      <t xml:space="preserve">+ SUB2.3 – VA – VT + MÓD3) x (4/12)] } x 2%     
</t>
    </r>
    <r>
      <rPr>
        <rFont val="Arial"/>
        <b/>
        <color rgb="FF0000FF"/>
        <sz val="8.0"/>
      </rPr>
      <t>Não incide Contribuição Previdenciária Patronal (INSS + 3ªs entidades) sobre a Remuneração da empregada residente nos 4 meses de Afastamento, conforme Solução de Consulta Cosit/RFB nº 27/2023, publicada na pág. 20 da Seção 1 do DOU de 09/02/2023. A Remuneração e o 13º da empregada residente poderão ser compensados, por isso não constam da fórmula.</t>
    </r>
  </si>
  <si>
    <r>
      <rPr>
        <rFont val="Arial"/>
        <b/>
        <color theme="1"/>
        <sz val="8.0"/>
      </rPr>
      <t>Substituto na cobertura de Ausência por doença</t>
    </r>
    <r>
      <rPr>
        <rFont val="Arial"/>
        <b/>
        <color rgb="FF0000FF"/>
        <sz val="8.0"/>
      </rPr>
      <t xml:space="preserve">
</t>
    </r>
    <r>
      <rPr>
        <rFont val="Arial"/>
        <b/>
        <color rgb="FFFF0000"/>
        <sz val="8.0"/>
      </rPr>
      <t>Cálculo do valor = [(</t>
    </r>
    <r>
      <rPr>
        <rFont val="Arial"/>
        <b/>
        <color rgb="FF0000FF"/>
        <sz val="8.0"/>
      </rPr>
      <t>BCCPA</t>
    </r>
    <r>
      <rPr>
        <rFont val="Arial"/>
        <b/>
        <color rgb="FFFF0000"/>
        <sz val="8.0"/>
      </rPr>
      <t xml:space="preserve">)/30)x3dias]/12 
</t>
    </r>
    <r>
      <rPr>
        <rFont val="Arial"/>
        <b/>
        <color rgb="FF0000FF"/>
        <sz val="8.0"/>
      </rPr>
      <t>Incluído por permissão da IN Seges nº 5/2017, Anexo VII-B, item 1.7, alíneas "b" e "c".5.</t>
    </r>
  </si>
  <si>
    <t>Quadro-Resumo do Módulo 4 – Custo de Reposição do Profissional Ausente</t>
  </si>
  <si>
    <t>Custo de Reposição do Profissional Ausente</t>
  </si>
  <si>
    <t>Módulo 5 – Insumos Diversos</t>
  </si>
  <si>
    <t>Insumos diversos</t>
  </si>
  <si>
    <t xml:space="preserve">Materiais </t>
  </si>
  <si>
    <t>Utensílios</t>
  </si>
  <si>
    <r>
      <rPr>
        <rFont val="Arial"/>
        <b/>
        <color theme="1"/>
        <sz val="8.0"/>
      </rPr>
      <t>Equipamentos</t>
    </r>
    <r>
      <rPr>
        <rFont val="Arial"/>
        <b/>
        <color rgb="FF0000FF"/>
        <sz val="8.0"/>
      </rPr>
      <t xml:space="preserve"> </t>
    </r>
  </si>
  <si>
    <t>Uniformes/EPIs</t>
  </si>
  <si>
    <t>Aparelho registrador de ponto eletrônico</t>
  </si>
  <si>
    <t>Nota: Valores mensais por empregado.</t>
  </si>
  <si>
    <t>Módulo 6 -  Custos Indiretos, Lucro e Tributos</t>
  </si>
  <si>
    <t xml:space="preserve">Custos Indiretos, Lucro e Tributos </t>
  </si>
  <si>
    <t>Valor
(R$)</t>
  </si>
  <si>
    <t>BASE DE CÁLCULO DOS CUSTOS INDIRETOS  = (Total do Módulo 1 – Composição da  Remuneração + Total do Módulo 2 - Encargos e Benefícios Anuais, Mensais e Diários + Total do Módulo 3 – Provisão da Rescisão + Total do Módulo 4 - Custo de Reposição do Profissional Ausente + Total do Módulo 5 - Insumos Diversos)</t>
  </si>
  <si>
    <t>Custos Indiretos</t>
  </si>
  <si>
    <t>BASE DE CÁLCULO DO LUCRO =  (Total do Módulo 1 – Composição da  Remuneração + Total do Módulo 2 - Encargos e Benefícios Anuais, Mensais e Diários + Total do Módulo 3 – Provisão da Rescisão + Total do Módulo 4 - Custo de Reposição do Profissional Ausente + Total do Módulo 5 - Insumos Diversos + Custos Indiretos)</t>
  </si>
  <si>
    <t>Lucro</t>
  </si>
  <si>
    <t>BASE DE CÁLCULO DOS TRIBUTOS = (Total do Módulo 1 – Composição da  Remuneração + Total do Módulo 2 - Encargos e Benefícios Anuais, Mensais e Diários + Total do Módulo 3 – Provisão da Rescisão + Total do Módulo 4 - Custo de Reposição do Profissional Ausente + Total do Módulo 5 - Insumos Diversos + Custos Indiretos + Lucro)</t>
  </si>
  <si>
    <t>Tributos</t>
  </si>
  <si>
    <t>C.1    Tributos Federais (especificar)</t>
  </si>
  <si>
    <r>
      <rPr>
        <rFont val="Arial"/>
        <color theme="1"/>
        <sz val="8.0"/>
      </rPr>
      <t xml:space="preserve">  </t>
    </r>
    <r>
      <rPr>
        <rFont val="Arial"/>
        <b/>
        <color theme="1"/>
        <sz val="8.0"/>
      </rPr>
      <t xml:space="preserve">a) Cofins  </t>
    </r>
    <r>
      <rPr>
        <rFont val="Arial"/>
        <color rgb="FFFF0000"/>
        <sz val="8.0"/>
      </rPr>
      <t>(depende do regime de tributação - utilizada a hipótese de Lucro Real)</t>
    </r>
    <r>
      <rPr>
        <rFont val="Arial"/>
        <color theme="1"/>
        <sz val="8.0"/>
      </rPr>
      <t xml:space="preserve">
</t>
    </r>
    <r>
      <rPr>
        <rFont val="Arial"/>
        <b/>
        <color rgb="FF0000FF"/>
        <sz val="8.0"/>
      </rPr>
      <t>Os licitantes optantes ou obrigados ao regime não cumulativo da Cofins devem cotar a alíquota média, com demonstração</t>
    </r>
  </si>
  <si>
    <r>
      <rPr>
        <rFont val="Arial"/>
        <color theme="1"/>
        <sz val="8.0"/>
      </rPr>
      <t xml:space="preserve">  </t>
    </r>
    <r>
      <rPr>
        <rFont val="Arial"/>
        <b/>
        <color theme="1"/>
        <sz val="8.0"/>
      </rPr>
      <t xml:space="preserve">b) PIS </t>
    </r>
    <r>
      <rPr>
        <rFont val="Arial"/>
        <color rgb="FFFF0000"/>
        <sz val="8.0"/>
      </rPr>
      <t>(depende do regime de tributação - utilizada a hipótese de Lucro Real)</t>
    </r>
    <r>
      <rPr>
        <rFont val="Arial"/>
        <color theme="1"/>
        <sz val="8.0"/>
      </rPr>
      <t xml:space="preserve">
</t>
    </r>
    <r>
      <rPr>
        <rFont val="Arial"/>
        <b/>
        <color rgb="FF0000FF"/>
        <sz val="8.0"/>
      </rPr>
      <t>Os licitantes optantes ou obrigados ao regime não cumulativo do PIS devem cotar a alíquota média, com demonstração</t>
    </r>
  </si>
  <si>
    <r>
      <rPr>
        <rFont val="Arial"/>
        <b/>
        <color theme="1"/>
        <sz val="8.0"/>
      </rPr>
      <t xml:space="preserve"> c) IRPJ</t>
    </r>
    <r>
      <rPr>
        <rFont val="Arial"/>
        <b/>
        <color rgb="FFFF0000"/>
        <sz val="8.0"/>
      </rPr>
      <t xml:space="preserve"> </t>
    </r>
    <r>
      <rPr>
        <rFont val="Arial"/>
        <b/>
        <color rgb="FF0000FF"/>
        <sz val="8.0"/>
      </rPr>
      <t>-  Em face dos Acórdãos TCU nºs 950/2007-P e 205/2018-P, os licitante não podem cotar expressamente este tributo.</t>
    </r>
  </si>
  <si>
    <r>
      <rPr>
        <rFont val="Arial"/>
        <b/>
        <color theme="1"/>
        <sz val="8.0"/>
      </rPr>
      <t xml:space="preserve"> d) CSLL </t>
    </r>
    <r>
      <rPr>
        <rFont val="Arial"/>
        <b/>
        <color rgb="FF0000FF"/>
        <sz val="8.0"/>
      </rPr>
      <t>-  Em face dos Acórdãos TCU nºs 950/2007-P e 205/2018-P, os licitantes não podem cotar expressamente este tributo.</t>
    </r>
  </si>
  <si>
    <t>C.2   Tributos Estaduais (especificar)</t>
  </si>
  <si>
    <t>C.3   Tributos Municipais (especificar):</t>
  </si>
  <si>
    <r>
      <rPr>
        <rFont val="Arial"/>
        <color theme="1"/>
        <sz val="8.0"/>
      </rPr>
      <t xml:space="preserve">  </t>
    </r>
    <r>
      <rPr>
        <rFont val="Arial"/>
        <b/>
        <color theme="1"/>
        <sz val="8.0"/>
      </rPr>
      <t xml:space="preserve">a) ISS             </t>
    </r>
    <r>
      <rPr>
        <rFont val="Arial"/>
        <b/>
        <color rgb="FFFF0000"/>
        <sz val="8.0"/>
      </rPr>
      <t xml:space="preserve"> </t>
    </r>
    <r>
      <rPr>
        <rFont val="Arial"/>
        <color rgb="FFFF0000"/>
        <sz val="8.0"/>
      </rPr>
      <t>(Decreto Municipal de Bento Gonçalves/RS)</t>
    </r>
  </si>
  <si>
    <t xml:space="preserve">Percentual Total e Valor Total de Tributos  </t>
  </si>
  <si>
    <t>Cálculo dos Tributos</t>
  </si>
  <si>
    <t xml:space="preserve">                  Base de Cálculo para os Tributos</t>
  </si>
  <si>
    <t xml:space="preserve"> = ( ---------------------------------------------------------------- ) x Alíquota do Tributo</t>
  </si>
  <si>
    <t xml:space="preserve">         1 - (Total de Tributos em % dividido por 100)</t>
  </si>
  <si>
    <t>Nota 1: Custos Indiretos, Lucro e Tributos por empregado.
Nota 2: O valor referente a tributos é obtido aplicando-se o percentual sobre o valor do faturamento.</t>
  </si>
  <si>
    <t xml:space="preserve">
2. QUADRO-RESUMO DO CUSTO POR EMPREGADO
</t>
  </si>
  <si>
    <t xml:space="preserve">                          Mão de obra vinculada à execução contratual (valor por empregado)</t>
  </si>
  <si>
    <t>Módulo 1 - Composição da Remuneração</t>
  </si>
  <si>
    <t>Módulo 3 – Provisão para Rescisão</t>
  </si>
  <si>
    <t>Módulo 4 – Custo de Reposição do Profissional Ausente</t>
  </si>
  <si>
    <t xml:space="preserve">Módulo 5 - Insumos Diversos </t>
  </si>
  <si>
    <t>Subtotal (A + B + C + D + E)</t>
  </si>
  <si>
    <t>Módulo 6 - Custos Indiretos, Lucro e Tributos</t>
  </si>
  <si>
    <t>Valor Total por Empregado</t>
  </si>
  <si>
    <t>3.  COMPLEMENTO DOS SERVIÇOS DE LIMPEZA E CONSERVAÇÃO</t>
  </si>
  <si>
    <t>PREÇO MENSAL UNITÁRIO POR M² (metro quadrado)</t>
  </si>
  <si>
    <t xml:space="preserve">ÁREA INTERNA (Fórmulas exemplificativas de cálculo para área interna - alíneas "a" e "b" do subitem 3.1 do Anexo VI-B; para as demais alíneas, deverão ser incluídos novos campos na planilha com a metragem adequada).
</t>
  </si>
  <si>
    <t>MÃO DE OBRA 
       ENCARREGADO / SERVENTE</t>
  </si>
  <si>
    <t>(1) 
PRODUTIVIDADE
(1/M²)</t>
  </si>
  <si>
    <t>(2)
PREÇO HOMEM-MÊS                   (R$)</t>
  </si>
  <si>
    <t>(1 X 2)
SUBTOTAL
(R$/M²)</t>
  </si>
  <si>
    <t>SERV. / Pisos acarpetados</t>
  </si>
  <si>
    <t>1/1200*</t>
  </si>
  <si>
    <t>SERV. / Pisos frios</t>
  </si>
  <si>
    <t>SERV. / Laboratórios</t>
  </si>
  <si>
    <t>1/450*</t>
  </si>
  <si>
    <t>SERV./Almoxarifados/galpões</t>
  </si>
  <si>
    <t>1/2500*</t>
  </si>
  <si>
    <t>SERV./Oficinas</t>
  </si>
  <si>
    <t>1/1800*</t>
  </si>
  <si>
    <t>SERV. / Áreas com espaços livres - saguão, hall e salão</t>
  </si>
  <si>
    <t>1/1500*</t>
  </si>
  <si>
    <t>SERV. / Banheiros</t>
  </si>
  <si>
    <t>1/300*</t>
  </si>
  <si>
    <t>P = produtividade de referência do trabalhador prevista no subitem 3.1.</t>
  </si>
  <si>
    <r>
      <rPr>
        <rFont val="Arial"/>
        <b/>
        <color theme="1"/>
        <sz val="8.0"/>
      </rPr>
      <t xml:space="preserve">OBS: </t>
    </r>
    <r>
      <rPr>
        <rFont val="Arial"/>
        <b val="0"/>
        <color theme="1"/>
        <sz val="8.0"/>
      </rPr>
      <t xml:space="preserve">No caso de o edital permitir a alteração das produtividades da coluna (1), deve-se, também, proceder à alteração na fórmula das células da coluna (1x2), pois que as frações das células da coluna (1) estão em forma de texto. </t>
    </r>
  </si>
  <si>
    <r>
      <rPr>
        <rFont val="Arial"/>
        <b/>
        <color theme="1"/>
        <sz val="8.0"/>
      </rPr>
      <t xml:space="preserve">ÁREA EXTERNA (Fórmulas exemplificativas de cálculo para área externa - alíneas "a", "c" , "d" e "e" do subitem 3.2 do Anexo VI-B; para as demais alíneas, deverão ser incluídos novos campos na planilha com a metragem adequada).
</t>
    </r>
    <r>
      <rPr>
        <rFont val="Arial"/>
        <b/>
        <color rgb="FF0000FF"/>
        <sz val="8.0"/>
      </rPr>
      <t>Excluir esta observação)</t>
    </r>
  </si>
  <si>
    <r>
      <rPr>
        <rFont val="Arial"/>
        <b/>
        <color theme="1"/>
        <sz val="8.0"/>
      </rPr>
      <t xml:space="preserve">MÃO DE OBRA 
       </t>
    </r>
    <r>
      <rPr>
        <rFont val="Arial"/>
        <b/>
        <color rgb="FF000000"/>
        <sz val="8.0"/>
      </rPr>
      <t>ENCARREGADO / SERVENTE</t>
    </r>
  </si>
  <si>
    <t>(1)
PRODUTIVIDADE
(1/M²)</t>
  </si>
  <si>
    <t>(2)
PREÇO HOMEM-MÊS
(R$)</t>
  </si>
  <si>
    <t>SERV. / Pisos pavimentados adjacentes/contíguos às edificações</t>
  </si>
  <si>
    <t>1/2700*</t>
  </si>
  <si>
    <t>SERV. / varrição de passeios e arruamentos</t>
  </si>
  <si>
    <t>1/9000*</t>
  </si>
  <si>
    <t>SERV. / pátios e áreas verdes com alta frequência</t>
  </si>
  <si>
    <t>SERV. / pátios e áreas verdes com média frequência</t>
  </si>
  <si>
    <t>SERV. / coleta de detritos em pátios e áreas verdes com frequência diária</t>
  </si>
  <si>
    <t>1/100.000*</t>
  </si>
  <si>
    <t>P = produtividade de referência do trabalhador prevista no subitem 3.2.</t>
  </si>
  <si>
    <r>
      <rPr>
        <rFont val="Arial"/>
        <b/>
        <color theme="1"/>
        <sz val="8.0"/>
      </rPr>
      <t xml:space="preserve">OBS: </t>
    </r>
    <r>
      <rPr>
        <rFont val="Arial"/>
        <b val="0"/>
        <color theme="1"/>
        <sz val="8.0"/>
      </rPr>
      <t xml:space="preserve">No caso de o edital permitir a alteração das produtividades da coluna (1), deve-se, também, proceder à alteração na fórmula das células da coluna (1x2), pois que as frações das células da coluna (1) estão em forma de texto. </t>
    </r>
  </si>
  <si>
    <r>
      <rPr>
        <rFont val="Arial"/>
        <b/>
        <color theme="1"/>
        <sz val="8.0"/>
      </rPr>
      <t xml:space="preserve">ESQUADRIA EXTERNA (Fórmulas exemplificativas de cálculo para esquadria externa - alíneas "b" e "c" do subitem 3.3 do Anexo VI-B; para as demais alíneas, deverão ser incluídos novos campos na planilha com a metragem adequada).
</t>
    </r>
    <r>
      <rPr>
        <rFont val="Arial"/>
        <b/>
        <color rgb="FF0000FF"/>
        <sz val="8.0"/>
      </rPr>
      <t>Excluir esta observação)</t>
    </r>
  </si>
  <si>
    <r>
      <rPr>
        <rFont val="Arial"/>
        <b/>
        <color theme="1"/>
        <sz val="8.0"/>
      </rPr>
      <t xml:space="preserve">MÃO DE OBRA 
       </t>
    </r>
    <r>
      <rPr>
        <rFont val="Arial"/>
        <b/>
        <color rgb="FF000000"/>
        <sz val="8.0"/>
      </rPr>
      <t>ENCARREGADO / SERVENTE</t>
    </r>
  </si>
  <si>
    <t>(1)
PRODUTIVIDADE 
(1/M²)</t>
  </si>
  <si>
    <r>
      <rPr>
        <rFont val="Arial"/>
        <b/>
        <color theme="1"/>
        <sz val="8.0"/>
      </rPr>
      <t xml:space="preserve">(2) FREQUÊNCIA NO </t>
    </r>
    <r>
      <rPr>
        <rFont val="Arial"/>
        <b/>
        <color rgb="FFFF0000"/>
        <sz val="8.0"/>
      </rPr>
      <t xml:space="preserve">MÊS </t>
    </r>
    <r>
      <rPr>
        <rFont val="Arial"/>
        <b/>
        <color theme="1"/>
        <sz val="8.0"/>
      </rPr>
      <t>(HORAS)</t>
    </r>
  </si>
  <si>
    <r>
      <rPr>
        <rFont val="Arial"/>
        <b/>
        <color theme="1"/>
        <sz val="8.0"/>
      </rPr>
      <t xml:space="preserve">(3)
 JORNADA DE TRABALHO NO </t>
    </r>
    <r>
      <rPr>
        <rFont val="Arial"/>
        <b/>
        <color rgb="FFFF0000"/>
        <sz val="8.0"/>
      </rPr>
      <t xml:space="preserve">MÊS
</t>
    </r>
    <r>
      <rPr>
        <rFont val="Arial"/>
        <b/>
        <color theme="1"/>
        <sz val="8.0"/>
      </rPr>
      <t xml:space="preserve"> (HORAS)</t>
    </r>
  </si>
  <si>
    <t>(4) 
= (1 X 2 X 3)
Ki****</t>
  </si>
  <si>
    <t>(5)
PREÇO HOMEM-MÊS 
(R$)</t>
  </si>
  <si>
    <t>(6) = (4 X 5)
 SUBTOTAL
 (R$/M²)</t>
  </si>
  <si>
    <t>SERV. / Face externa com exposição a situação de risco</t>
  </si>
  <si>
    <t>1/160*</t>
  </si>
  <si>
    <t>16***</t>
  </si>
  <si>
    <t>1/188,76</t>
  </si>
  <si>
    <t>SERV. / Face externa sem exposição a situação de risco</t>
  </si>
  <si>
    <t>1/380*</t>
  </si>
  <si>
    <t>SERV. / Face interna</t>
  </si>
  <si>
    <t>SERV. / Áreas hospitalares e assemelhadas</t>
  </si>
  <si>
    <t>Fachadas Envidraçadas</t>
  </si>
  <si>
    <t>P = produtividade de referência do trabalhador prevista no subitem 3.3.</t>
  </si>
  <si>
    <r>
      <rPr>
        <rFont val="Arial"/>
        <b/>
        <color theme="1"/>
        <sz val="8.0"/>
      </rPr>
      <t xml:space="preserve">OBS: </t>
    </r>
    <r>
      <rPr>
        <rFont val="Arial"/>
        <b val="0"/>
        <color theme="1"/>
        <sz val="8.0"/>
      </rPr>
      <t xml:space="preserve">No caso de alteração das produtividades da coluna (1) e da jornada de trabalho da coluna (3), deve-se, também, proceder à alteração na fórmula das células da coluna (4), pois que as frações das células das colunas (1) e (3) estão em forma de texto.  </t>
    </r>
  </si>
  <si>
    <t>4. VALOR MENSAL DOS SERVIÇOS</t>
  </si>
  <si>
    <t>TIPO DE ÁREA</t>
  </si>
  <si>
    <t>PREÇO MENSAL UNITÁRIO (R$/M²)</t>
  </si>
  <si>
    <t>ÁREA
(M²)</t>
  </si>
  <si>
    <t>SUBTOTAL
(R$)</t>
  </si>
  <si>
    <t xml:space="preserve">g) Áreas internas -  Banheiros </t>
  </si>
  <si>
    <t>b) Áreas externas - varrição de passeios e arruamentos</t>
  </si>
  <si>
    <t>c) Áreas externas - pátios e áreas verdes com alta frequência</t>
  </si>
  <si>
    <t>d) Áreas externas - pátios e áreas verdes com média frequência</t>
  </si>
  <si>
    <t>e) Áreas externas - pátios e áreas verdes com baixa frequência</t>
  </si>
  <si>
    <t>f) Áreas externas - coleta de detritos em pátios e áreas verdes com frequência diária</t>
  </si>
  <si>
    <t>a) Áreas externas - Face externa com exposição a situação de risco</t>
  </si>
  <si>
    <t>b) Áreas externas - Face externa sem exposição a situação de risco</t>
  </si>
  <si>
    <t>c) Áreas externas - Face interna</t>
  </si>
  <si>
    <t>TOTAL DA ESQUADRIA EXTERNA</t>
  </si>
  <si>
    <t>TOTAL</t>
  </si>
  <si>
    <t>Valor mensal do serviço</t>
  </si>
  <si>
    <t>Número de meses do contrato</t>
  </si>
  <si>
    <t>Valor global da proposta (valor mensal do serviço x nº de meses do contrato)</t>
  </si>
  <si>
    <t>QUANTIDADE DE PESSOAL ALOCADO NA EXECUÇÃO CONTRATUAL (item 6.2.e do Anexo VII da IN nº 5/2017 )</t>
  </si>
  <si>
    <t>Tipo de Mão de Obra</t>
  </si>
  <si>
    <t>Quantidade de Pessoal</t>
  </si>
  <si>
    <t>Servente</t>
  </si>
  <si>
    <t>tipo de piso</t>
  </si>
  <si>
    <r>
      <rPr>
        <rFont val="Arial"/>
        <color theme="1"/>
        <sz val="8.0"/>
      </rPr>
      <t xml:space="preserve">produtividade (m² /             serv x mês)    de 40h semanais    (8h diárias) </t>
    </r>
    <r>
      <rPr>
        <rFont val="Arial"/>
        <b/>
        <color rgb="FFFF0000"/>
        <sz val="8.0"/>
      </rPr>
      <t>PREENCHER</t>
    </r>
  </si>
  <si>
    <r>
      <rPr>
        <rFont val="Arial"/>
        <color theme="1"/>
        <sz val="8.0"/>
      </rPr>
      <t xml:space="preserve">área (m²) a ser contratada </t>
    </r>
    <r>
      <rPr>
        <rFont val="Arial"/>
        <b/>
        <color rgb="FF0000FF"/>
        <sz val="8.0"/>
      </rPr>
      <t>PREENCHER</t>
    </r>
  </si>
  <si>
    <t>(1)                  número de empregados necessários para a execução da tarefa</t>
  </si>
  <si>
    <t xml:space="preserve">(2)                             exclusão dos empregados que cumprem integralmente a jornada diária  </t>
  </si>
  <si>
    <t>(3) empregado que cumprirá jornada diária menor</t>
  </si>
  <si>
    <t>(4)                   jornada diária em minutos do empregado que completará a execução da tarefa</t>
  </si>
  <si>
    <t>(5) Número de empregados que a contratada deverá alocar para a prestação dos serviços</t>
  </si>
  <si>
    <t>ÁREAS INTERNAS</t>
  </si>
  <si>
    <t>Pisos acarpetados</t>
  </si>
  <si>
    <t>empregados com jornada diária de</t>
  </si>
  <si>
    <t xml:space="preserve">horas e mais </t>
  </si>
  <si>
    <t>empregado com jornada diária de</t>
  </si>
  <si>
    <t>minutos.</t>
  </si>
  <si>
    <t>pisos frios</t>
  </si>
  <si>
    <t>laboratórios</t>
  </si>
  <si>
    <t>almoxarifados/ galpões</t>
  </si>
  <si>
    <t>oficinas</t>
  </si>
  <si>
    <t>áreas com espaços livres - saguão, hall e salão</t>
  </si>
  <si>
    <t>banheiros</t>
  </si>
  <si>
    <t>ÁREAS EXTERNAS</t>
  </si>
  <si>
    <t>pisos pavimentados adjacentes/contíguos às edificações</t>
  </si>
  <si>
    <t>varrição de passeios e arruamentos</t>
  </si>
  <si>
    <t>pátios e áreas verdes com alta frequência</t>
  </si>
  <si>
    <t>pátios e áreas verdes com média frequência</t>
  </si>
  <si>
    <t>pátios e áreas verdes com baixa frequência</t>
  </si>
  <si>
    <t>coleta de detritos em pátios e áreas verdes com frequência diária</t>
  </si>
  <si>
    <t>ESQUADRIAS EXTERNAS</t>
  </si>
  <si>
    <r>
      <rPr>
        <rFont val="Arial"/>
        <color theme="1"/>
        <sz val="8.0"/>
      </rPr>
      <t xml:space="preserve">face externa </t>
    </r>
    <r>
      <rPr>
        <rFont val="Arial"/>
        <b/>
        <color theme="1"/>
        <sz val="8.0"/>
      </rPr>
      <t>com</t>
    </r>
    <r>
      <rPr>
        <rFont val="Arial"/>
        <color theme="1"/>
        <sz val="8.0"/>
      </rPr>
      <t xml:space="preserve"> exposição a situação de risco</t>
    </r>
  </si>
  <si>
    <r>
      <rPr>
        <rFont val="Arial"/>
        <color theme="1"/>
        <sz val="8.0"/>
      </rPr>
      <t xml:space="preserve">face externa </t>
    </r>
    <r>
      <rPr>
        <rFont val="Arial"/>
        <b/>
        <color theme="1"/>
        <sz val="8.0"/>
      </rPr>
      <t xml:space="preserve">sem </t>
    </r>
    <r>
      <rPr>
        <rFont val="Arial"/>
        <color theme="1"/>
        <sz val="8.0"/>
      </rPr>
      <t>exposição a situação de risco</t>
    </r>
  </si>
  <si>
    <t>face interna</t>
  </si>
  <si>
    <t>FACHADAS ENVIDRAÇADAS</t>
  </si>
  <si>
    <t>fachadas envidraçadas</t>
  </si>
  <si>
    <t>ÁREAS HOSPITALARES E ASSEMELHADAS</t>
  </si>
  <si>
    <t>áreas hospitalares e assemelhadas</t>
  </si>
  <si>
    <t>TOTAL (TODAS AS ÁREAS NO MESMO PRÉDIO)</t>
  </si>
  <si>
    <t>JORNADA DIÁRIA (HORAS)</t>
  </si>
  <si>
    <t>horas</t>
  </si>
  <si>
    <t>NÚMERO TOTAL DE SERVENTES EM JORNADA DE 8 HORAS</t>
  </si>
  <si>
    <t>ARRED =&gt;</t>
  </si>
  <si>
    <t>Cálculo total do nº de serventes = (preço mensal dos serviços / valor do homem-mês) = R$ ----------- / ---------- = 10,36 = -------</t>
  </si>
  <si>
    <t>Notas Explicativas:</t>
  </si>
  <si>
    <t>1) coluna (5) - número de empregados necessários para a execução da tarefa: cada número inteiro significa um empregado. Quando há fração significa que além dos empregados que cumprem integralmente a jornada diária contratada, é necessário empregado com jornada diária menor.</t>
  </si>
  <si>
    <r>
      <rPr>
        <rFont val="Arial"/>
        <color theme="1"/>
        <sz val="8.0"/>
      </rPr>
      <t xml:space="preserve">3) A produtividade da </t>
    </r>
    <r>
      <rPr>
        <rFont val="Arial"/>
        <b/>
        <color theme="1"/>
        <sz val="8.0"/>
      </rPr>
      <t>esquadria externa</t>
    </r>
    <r>
      <rPr>
        <rFont val="Arial"/>
        <color theme="1"/>
        <sz val="8.0"/>
      </rPr>
      <t xml:space="preserve"> deve ser calculada considerando a metodologia de trabalho que, no Anexo VII-D da IN 5/17 que prevê incidência </t>
    </r>
    <r>
      <rPr>
        <rFont val="Arial"/>
        <b/>
        <color theme="1"/>
        <sz val="8.0"/>
      </rPr>
      <t>quinzenal</t>
    </r>
    <r>
      <rPr>
        <rFont val="Arial"/>
        <color theme="1"/>
        <sz val="8.0"/>
      </rPr>
      <t xml:space="preserve"> para a limpeza desse tipo de área. </t>
    </r>
  </si>
  <si>
    <r>
      <rPr>
        <rFont val="Arial"/>
        <color theme="1"/>
        <sz val="8.0"/>
      </rPr>
      <t xml:space="preserve">4) A produtividade da </t>
    </r>
    <r>
      <rPr>
        <rFont val="Arial"/>
        <b/>
        <color theme="1"/>
        <sz val="8.0"/>
      </rPr>
      <t>fachada envidraçada</t>
    </r>
    <r>
      <rPr>
        <rFont val="Arial"/>
        <color theme="1"/>
        <sz val="8.0"/>
      </rPr>
      <t xml:space="preserve"> deve ser calculada considerando a metodologia de trabalho que, no Anexo VII-D da IN 5/17 que prevê incidência </t>
    </r>
    <r>
      <rPr>
        <rFont val="Arial"/>
        <b/>
        <color theme="1"/>
        <sz val="8.0"/>
      </rPr>
      <t>semestral</t>
    </r>
    <r>
      <rPr>
        <rFont val="Arial"/>
        <color theme="1"/>
        <sz val="8.0"/>
      </rPr>
      <t xml:space="preserve"> para a limpeza desse tipo de área. </t>
    </r>
  </si>
  <si>
    <t>Observações:</t>
  </si>
  <si>
    <t>Deve ser preenchida uma planilha para cada local de prestação de serviços (ISSQN, VT, VA, Insalubridade/periculosidade e horários poderão ser diferenciados, além da quantidade de serventes)</t>
  </si>
  <si>
    <t>Preencher somente as células das seguintes colunas: C (produtividade) e D (área)</t>
  </si>
  <si>
    <t xml:space="preserve">Se as áreas se localizarem em prédios/locais diferentes, cada linha trará o seu próprio totalizador. </t>
  </si>
  <si>
    <t xml:space="preserve"> Em destaque  o número de empregados que a contratada deve disponibilizar para a prestação dos serviços tarefa a tarefa, em cada tipo de área, com suas respectivas jornadas diárias.</t>
  </si>
  <si>
    <t xml:space="preserve">Área Interna 1ª linha - Metodologia - Coluna 5 = (2.000 / 800) = 2,5 empregados                                               Coluna 8 = 0,5 x 8 horas x 60 minutos = 240 minutos </t>
  </si>
  <si>
    <t>Esquadrias Externas 1ª linha - Metodologia - Coluna 5 = (100/130)*(16/188,76) = 0,06520286 empregados             Coluna 8 = 0,06520286 x 8 horas x 60 minutos = 31,2973739547 minutos (deveria ser semestral e não quinzenal)</t>
  </si>
  <si>
    <t xml:space="preserve">Fachadas Envidraçadas - Metodologia - Coluna 5 = (70/130)*(8/1132,6) =  0,003803366      Coluna 8 = 0,003803366  x 8 horas x 60 minutos = 1,8256156699 minutos </t>
  </si>
  <si>
    <t>Cálculo total do nº de serventes = (preço mensal dos serviços / valor do homem-mês)</t>
  </si>
  <si>
    <t xml:space="preserve">Planilha desenvolvida por Diógenes Felipe Fuques Carvalho (DRF-Santa Maria/RS) e José Hélio Justo (Superintendência da RFB da 10ª RF / Porto Alegre) </t>
  </si>
  <si>
    <t>Revisada por Uady Rocha Sessim (IFRS)</t>
  </si>
  <si>
    <t>Serviço Público Federal</t>
  </si>
  <si>
    <t>Ministério da Educação</t>
  </si>
  <si>
    <t>Secretaria de Educação Profissional e Tecnológica</t>
  </si>
  <si>
    <t>Instituto Federal de Educação, Ciência e Tecnologia do Rio Grande do Sul - Reitoria</t>
  </si>
  <si>
    <t>Levantamento do Custo referente INSUMOS DIVERSOS - MÓDULO 5 DA PLANILHA DE CUSTOS 90028/2025 (SERVIÇOS DE LIMPEZA)</t>
  </si>
  <si>
    <t>Item</t>
  </si>
  <si>
    <t>Materiais de Limpeza – SANEANTES DOMISSANITÁRIOS</t>
  </si>
  <si>
    <t>Unidade</t>
  </si>
  <si>
    <t>Quantidade Mensal</t>
  </si>
  <si>
    <t>Quantidade Anual</t>
  </si>
  <si>
    <t>VALOR UNITÁRIO</t>
  </si>
  <si>
    <t>VALOR TOTAL ANO</t>
  </si>
  <si>
    <t>Água sanitária, princípio ativo: hipoclorito de sódio; teor de cloro ativo de 2,0% à 2,5% (m/m)</t>
  </si>
  <si>
    <t>galão</t>
  </si>
  <si>
    <t>Álcool líquido 70º. Embalagem de 1 litro.</t>
  </si>
  <si>
    <t>litro</t>
  </si>
  <si>
    <t>Lustra móveis. Embalagem 500 ml.</t>
  </si>
  <si>
    <t>500 ml</t>
  </si>
  <si>
    <t>Desinfetante líquido aromatizado. Galão 5 litros</t>
  </si>
  <si>
    <t>Detergente líquido neutro. Embalagem 500 ml.</t>
  </si>
  <si>
    <t>Desincrustante Alcalino. Bombona de 5 litros.</t>
  </si>
  <si>
    <t>Saponáceo líquido. Embalagem de 250 ml.</t>
  </si>
  <si>
    <t>250 ml</t>
  </si>
  <si>
    <t>Esponja dupla face; Tamanho: 10x7,1x2,1cm.</t>
  </si>
  <si>
    <t>unidade</t>
  </si>
  <si>
    <t>Esponja abrasiva, verde; Tamanho : 26x10x1cm</t>
  </si>
  <si>
    <t>Pano multiuso; flanelinha(50% celulose+50% poliéster) tamanho mínimo :
30x50cm. Pacote com 5 unidades. Descartável.</t>
  </si>
  <si>
    <t>pacote</t>
  </si>
  <si>
    <t>Flanelas para Limpeza geral, em cores diversas (Branco,Vermelho, Amarela, Azul, Laranja). Medidas aproximadas: 40 x 60 cm</t>
  </si>
  <si>
    <t>Pano para chão; em algodão; grosso; alvejado; Tamanho mínimo 40x60cm;</t>
  </si>
  <si>
    <t>Refil mop algodão compatível com o cabo.</t>
  </si>
  <si>
    <t>Limpa vidros. Frasco de 500 ml.</t>
  </si>
  <si>
    <t>Odorizador de ambiente. Frasco de 360 ml.</t>
  </si>
  <si>
    <t>360 ml</t>
  </si>
  <si>
    <t>Sabão em pó multi-ação - 1,6 kg, padrão de qualidade OMO</t>
  </si>
  <si>
    <t>Saco para lixo - 100 litros - Azul - pacote com 100 unidades</t>
  </si>
  <si>
    <t>Saco para lixo -100 litros - Preto - pacote com 100 unidades</t>
  </si>
  <si>
    <t>Saco para lixo - 20 litros - Azul - pacote com 100 unidades</t>
  </si>
  <si>
    <t>Saco para lixo - 20 litros - Preto - pacote com 100 unidades</t>
  </si>
  <si>
    <t>Saco para aspirador de pó, embalagem com 3 unidades</t>
  </si>
  <si>
    <t>Papel higiênico rolão com 300m x 10cm. Compatível com dispenser.</t>
  </si>
  <si>
    <t>Fardo 8 rolos</t>
  </si>
  <si>
    <t>Papel toalha branco, interfolhas, folha simples - gofrado; gramatura: 32 a 34 g/m². Pacote com 1250 folhas de 22,5 x 26cm. Compatível com dispenser.</t>
  </si>
  <si>
    <t>embalagem</t>
  </si>
  <si>
    <t>Sabonete Líquido. Bombona 5 litros.</t>
  </si>
  <si>
    <t>galão 5 litros</t>
  </si>
  <si>
    <t>CUSTO ANUAL DOS MATERIAIS SANEANTES DOMINISSANITÁRIOS</t>
  </si>
  <si>
    <t>CUSTO MENSAL DOS MATERIAIS SANEANTES DOMINISSANITÁRIOS</t>
  </si>
  <si>
    <t>UTENSÍLIOS</t>
  </si>
  <si>
    <t>Vida Útil (em meses)</t>
  </si>
  <si>
    <t>Quantidade a disponibilizar</t>
  </si>
  <si>
    <t>Escova para sanitário</t>
  </si>
  <si>
    <t>Balde plástico 15 litros</t>
  </si>
  <si>
    <t>Mangueira plástica ¾ com 50m e adaptadores</t>
  </si>
  <si>
    <t>Pá de recolhimento de lixo com cabo longo</t>
  </si>
  <si>
    <t>Desentupidor de pia</t>
  </si>
  <si>
    <t>Placa sinalizadora: "Cuidado, piso molhado"</t>
  </si>
  <si>
    <t xml:space="preserve">Vassoura de nylon c/ cabo longo – 120 cm - unidade </t>
  </si>
  <si>
    <t>Vassoura gari com cabo 60 cm</t>
  </si>
  <si>
    <t>Conjunto MOP completo 40 cm</t>
  </si>
  <si>
    <t>Extensão elétrica 30 metros 10 a reforçado</t>
  </si>
  <si>
    <t>Desentupidor de vaso sanitário</t>
  </si>
  <si>
    <t>CUSTOS ANUAL DOS UTENSÍLIOS</t>
  </si>
  <si>
    <t>CUSTO MENSAL DOS UTENSÍLIOS</t>
  </si>
  <si>
    <t>EQUIPAMENTOS</t>
  </si>
  <si>
    <t>Depreciação (em meses)</t>
  </si>
  <si>
    <t>Escada em Alumínio com 7 degraus</t>
  </si>
  <si>
    <t>Máquina de lavar – tanquinho</t>
  </si>
  <si>
    <t>Carrinho de limpeza, com mop completo</t>
  </si>
  <si>
    <t>KIT COMPLETO LIMPEZA DE VIDRO</t>
  </si>
  <si>
    <t>Aspirador de pó / água, volume total de, no mínimo, 10 litros. De 1400W, 220V</t>
  </si>
  <si>
    <t>Lavadora de alta pressão profissional;
220V;pressão máxima:2300PSI;potência mínima:2200W</t>
  </si>
  <si>
    <t>CUSTO ANUAL DOS EQUIPAMENTOS</t>
  </si>
  <si>
    <t>CUSTO MENSAL DOS EQUIPAMENTOS</t>
  </si>
  <si>
    <t xml:space="preserve">UNIFORMES/EPIs </t>
  </si>
  <si>
    <t>VALOR TOTAL ANO POR COLABORADOR</t>
  </si>
  <si>
    <t>Conjunto de calça e jaleco (com manga curta, bolsos e de botão) em microfibra gabardine, cor preta ou azul escuro</t>
  </si>
  <si>
    <t>peça</t>
  </si>
  <si>
    <t>Camiseta manga curta, em 100% algodão, gola redonda</t>
  </si>
  <si>
    <t>Camiseta manga longa, em 100% algodão, gola redonda</t>
  </si>
  <si>
    <t xml:space="preserve">Botina segurança: de uso profissional de couro </t>
  </si>
  <si>
    <t>par</t>
  </si>
  <si>
    <t>Jaqueta/Japona de Nylon, impermeável</t>
  </si>
  <si>
    <t>Blusão de lã</t>
  </si>
  <si>
    <t>Bota de borracha cano médio</t>
  </si>
  <si>
    <t>Avental de PVC impermeável</t>
  </si>
  <si>
    <t>Capa de chuva</t>
  </si>
  <si>
    <t>Luva de látex forrada com palma antiderrapante</t>
  </si>
  <si>
    <t>Máscara com respirador descartável;com válvula.</t>
  </si>
  <si>
    <t>Óculos de Proteção</t>
  </si>
  <si>
    <t>Meias de algodão, acima do tornozelo (pacote com 3 unidades)</t>
  </si>
  <si>
    <t>Crachá Funcional, em PVC, com nome da empresa, do empregado, função e foto.</t>
  </si>
  <si>
    <t>CUSTO ANUAL DO UNIFORMES/EPIs (SERVENTE)</t>
  </si>
  <si>
    <t>CUSTO MENSAL DO UNIFORME/EPIs (SERVENTE)</t>
  </si>
  <si>
    <t>QUADRO RESUMO</t>
  </si>
  <si>
    <t>CUSTO ANUAL</t>
  </si>
  <si>
    <t>CUSTO MENSAL</t>
  </si>
  <si>
    <t>Custo Mensal por SERVENTE</t>
  </si>
  <si>
    <t xml:space="preserve">Materiais de Limpeza – SANEANTES DOMISSANITÁRIOS </t>
  </si>
  <si>
    <t>Materiais de Limpeza – UTENSÍLIOS</t>
  </si>
  <si>
    <t>Materiais de Limpeza – EQUIPAMENTOS</t>
  </si>
  <si>
    <t>UNIFORMES/EPIs</t>
  </si>
  <si>
    <t xml:space="preserve">Quantidade da mão de obra alocada na prestação dos serviços (informação oriunda da aba 'cálculo de serventes') </t>
  </si>
  <si>
    <t>Nº Item</t>
  </si>
  <si>
    <t>Descrição Detalhada (RELÓGIO PONTO)</t>
  </si>
  <si>
    <t>UND</t>
  </si>
  <si>
    <t>QDT</t>
  </si>
  <si>
    <t>Média de Valores (A)</t>
  </si>
  <si>
    <t>Vida Útil/Anos (B)</t>
  </si>
  <si>
    <t>Valor Residual (C)</t>
  </si>
  <si>
    <t>Valor Residual/Vida  Útil (D)</t>
  </si>
  <si>
    <t>Valor Final (E)</t>
  </si>
  <si>
    <t>Custo mensal por servente</t>
  </si>
  <si>
    <t>(A-10%)</t>
  </si>
  <si>
    <t>(C/B)</t>
  </si>
  <si>
    <t>(D/12)</t>
  </si>
  <si>
    <t>"Aparelho registrador de ponto eletrônico, digital, biométrico, com teclado digital - homologado pela portaria M.T.E. nº 1.510/2009. O produto deverá ser certificado pelo INMETRO.
O equipamento deverá ser instalado em local a ser definido junto à direção da unidade do IFRS onde ocorrerá a prestação do serviço."</t>
  </si>
  <si>
    <t>UN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</si>
</sst>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&quot;R$ &quot;#,##0.00"/>
    <numFmt numFmtId="165" formatCode="0;[Red]\-0"/>
    <numFmt numFmtId="166" formatCode="0.000%"/>
    <numFmt numFmtId="167" formatCode="0.0000"/>
    <numFmt numFmtId="168" formatCode="0.0000%"/>
    <numFmt numFmtId="169" formatCode="_(* #,##0.00_);_(* \(#,##0.00\);_(* \-??_);_(@_)"/>
    <numFmt numFmtId="170" formatCode="#,##0.0000000"/>
    <numFmt numFmtId="171" formatCode="0.0"/>
    <numFmt numFmtId="172" formatCode="&quot;R$&quot;\ #,##0.00"/>
    <numFmt numFmtId="173" formatCode="&quot;R$&quot;\ #,##0.00_);[Red]\(&quot;R$&quot;\ #,###.00\)"/>
    <numFmt numFmtId="174" formatCode="[$R$ -416]#,##0.00"/>
  </numFmts>
  <fonts count="29">
    <font>
      <sz val="10.0"/>
      <color rgb="FF000000"/>
      <name val="Arial"/>
      <scheme val="minor"/>
    </font>
    <font>
      <b/>
      <sz val="12.0"/>
      <color theme="1"/>
      <name val="Arial"/>
    </font>
    <font/>
    <font>
      <b/>
      <sz val="11.0"/>
      <color theme="1"/>
      <name val="Arial"/>
    </font>
    <font>
      <b/>
      <sz val="8.0"/>
      <color theme="1"/>
      <name val="Arial"/>
    </font>
    <font>
      <b/>
      <sz val="8.0"/>
      <color rgb="FFFF0000"/>
      <name val="Arial"/>
    </font>
    <font>
      <sz val="8.0"/>
      <color theme="1"/>
      <name val="Arial"/>
    </font>
    <font>
      <b/>
      <sz val="8.0"/>
      <color rgb="FF0047FF"/>
      <name val="Arial"/>
    </font>
    <font>
      <b/>
      <sz val="10.0"/>
      <color theme="1"/>
      <name val="Arial"/>
    </font>
    <font>
      <sz val="8.0"/>
      <color rgb="FF009900"/>
      <name val="Arial"/>
    </font>
    <font>
      <b/>
      <strike/>
      <sz val="8.0"/>
      <color rgb="FF009900"/>
      <name val="Arial"/>
    </font>
    <font>
      <b/>
      <sz val="8.0"/>
      <color rgb="FF009900"/>
      <name val="Arial"/>
    </font>
    <font>
      <b/>
      <sz val="8.0"/>
      <color rgb="FF0000FF"/>
      <name val="Arial"/>
    </font>
    <font>
      <b/>
      <sz val="8.0"/>
      <color rgb="FF000000"/>
      <name val="Arial"/>
    </font>
    <font>
      <b/>
      <sz val="8.0"/>
      <color rgb="FFCC0000"/>
      <name val="Arial"/>
    </font>
    <font>
      <sz val="8.0"/>
      <color rgb="FFFF0000"/>
      <name val="Arial"/>
    </font>
    <font>
      <b/>
      <sz val="10.0"/>
      <color rgb="FFFF0000"/>
      <name val="Arial"/>
    </font>
    <font>
      <sz val="9.0"/>
      <color theme="1"/>
      <name val="Arial"/>
    </font>
    <font>
      <sz val="10.0"/>
      <color theme="1"/>
      <name val="Calibri"/>
    </font>
    <font>
      <sz val="10.0"/>
      <color theme="1"/>
      <name val="Arial"/>
    </font>
    <font>
      <b/>
      <u/>
      <sz val="9.0"/>
      <color theme="1"/>
      <name val="Arial"/>
    </font>
    <font>
      <b/>
      <sz val="8.0"/>
      <color theme="1"/>
      <name val="Calibri"/>
    </font>
    <font>
      <b/>
      <sz val="8.0"/>
      <color rgb="FF000080"/>
      <name val="Arial"/>
    </font>
    <font>
      <b/>
      <sz val="10.0"/>
      <color rgb="FF000080"/>
      <name val="Arial"/>
    </font>
    <font>
      <sz val="8.0"/>
      <color theme="1"/>
      <name val="Calibri"/>
    </font>
    <font>
      <sz val="8.0"/>
      <color rgb="FF000000"/>
      <name val="Arial"/>
    </font>
    <font>
      <sz val="10.0"/>
      <color rgb="FF000000"/>
      <name val="Arial"/>
    </font>
    <font>
      <b/>
      <sz val="8.0"/>
      <color rgb="FF993300"/>
      <name val="Arial"/>
    </font>
    <font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00CCFF"/>
      </patternFill>
    </fill>
    <fill>
      <patternFill patternType="solid">
        <fgColor rgb="FF9999FF"/>
        <bgColor rgb="FF9999FF"/>
      </patternFill>
    </fill>
    <fill>
      <patternFill patternType="solid">
        <fgColor rgb="FF8EAADB"/>
        <bgColor rgb="FF8EAADB"/>
      </patternFill>
    </fill>
  </fills>
  <borders count="4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/>
      <top/>
      <bottom/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3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6" fillId="0" fontId="2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ill="1" applyFont="1">
      <alignment horizontal="left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3" fontId="6" numFmtId="0" xfId="0" applyAlignment="1" applyBorder="1" applyFill="1" applyFont="1">
      <alignment horizontal="left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1" fillId="3" fontId="4" numFmtId="2" xfId="0" applyAlignment="1" applyBorder="1" applyFont="1" applyNumberFormat="1">
      <alignment horizontal="right" shrinkToFit="0" vertical="center" wrapText="1"/>
    </xf>
    <xf borderId="1" fillId="3" fontId="7" numFmtId="0" xfId="0" applyAlignment="1" applyBorder="1" applyFont="1">
      <alignment horizontal="left" shrinkToFit="0" vertical="center" wrapText="1"/>
    </xf>
    <xf borderId="1" fillId="3" fontId="5" numFmtId="0" xfId="0" applyAlignment="1" applyBorder="1" applyFont="1">
      <alignment horizontal="right" shrinkToFit="0" vertical="center" wrapText="1"/>
    </xf>
    <xf borderId="1" fillId="3" fontId="5" numFmtId="4" xfId="0" applyAlignment="1" applyBorder="1" applyFont="1" applyNumberFormat="1">
      <alignment horizontal="right" shrinkToFit="0" wrapText="1"/>
    </xf>
    <xf borderId="1" fillId="3" fontId="4" numFmtId="0" xfId="0" applyAlignment="1" applyBorder="1" applyFont="1">
      <alignment horizontal="center" shrinkToFit="0" vertical="center" wrapText="1"/>
    </xf>
    <xf borderId="1" fillId="3" fontId="4" numFmtId="4" xfId="0" applyAlignment="1" applyBorder="1" applyFont="1" applyNumberFormat="1">
      <alignment horizontal="right" shrinkToFit="0" vertical="center" wrapText="1"/>
    </xf>
    <xf borderId="1" fillId="3" fontId="5" numFmtId="0" xfId="0" applyAlignment="1" applyBorder="1" applyFont="1">
      <alignment horizontal="right" shrinkToFit="0" vertical="center" wrapText="0"/>
    </xf>
    <xf borderId="1" fillId="3" fontId="5" numFmtId="4" xfId="0" applyAlignment="1" applyBorder="1" applyFont="1" applyNumberFormat="1">
      <alignment horizontal="right" shrinkToFit="0" vertical="center" wrapText="1"/>
    </xf>
    <xf borderId="1" fillId="3" fontId="5" numFmtId="4" xfId="0" applyAlignment="1" applyBorder="1" applyFont="1" applyNumberFormat="1">
      <alignment horizontal="right" shrinkToFit="0" vertical="center" wrapText="0"/>
    </xf>
    <xf borderId="1" fillId="4" fontId="4" numFmtId="0" xfId="0" applyAlignment="1" applyBorder="1" applyFill="1" applyFont="1">
      <alignment horizontal="center" shrinkToFit="0" vertical="center" wrapText="0"/>
    </xf>
    <xf borderId="1" fillId="0" fontId="8" numFmtId="0" xfId="0" applyAlignment="1" applyBorder="1" applyFont="1">
      <alignment horizontal="left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0" fontId="5" numFmtId="164" xfId="0" applyAlignment="1" applyBorder="1" applyFont="1" applyNumberFormat="1">
      <alignment horizontal="right" shrinkToFit="0" vertical="center" wrapText="0"/>
    </xf>
    <xf borderId="1" fillId="0" fontId="4" numFmtId="165" xfId="0" applyAlignment="1" applyBorder="1" applyFont="1" applyNumberFormat="1">
      <alignment horizontal="right" shrinkToFit="0" vertical="center" wrapText="0"/>
    </xf>
    <xf borderId="1" fillId="0" fontId="5" numFmtId="14" xfId="0" applyAlignment="1" applyBorder="1" applyFont="1" applyNumberFormat="1">
      <alignment horizontal="right" shrinkToFit="0" vertical="center" wrapText="1"/>
    </xf>
    <xf borderId="1" fillId="0" fontId="5" numFmtId="0" xfId="0" applyAlignment="1" applyBorder="1" applyFont="1">
      <alignment horizontal="right" shrinkToFit="0" vertical="center" wrapText="1"/>
    </xf>
    <xf borderId="1" fillId="4" fontId="6" numFmtId="0" xfId="0" applyAlignment="1" applyBorder="1" applyFont="1">
      <alignment horizontal="center" shrinkToFit="0" vertical="center" wrapText="0"/>
    </xf>
    <xf borderId="1" fillId="0" fontId="6" numFmtId="0" xfId="0" applyAlignment="1" applyBorder="1" applyFont="1">
      <alignment horizontal="left" shrinkToFit="0" vertical="center" wrapText="1"/>
    </xf>
    <xf borderId="1" fillId="4" fontId="4" numFmtId="0" xfId="0" applyAlignment="1" applyBorder="1" applyFont="1">
      <alignment horizontal="left" shrinkToFit="0" vertical="bottom" wrapText="1"/>
    </xf>
    <xf borderId="8" fillId="2" fontId="4" numFmtId="0" xfId="0" applyAlignment="1" applyBorder="1" applyFont="1">
      <alignment horizontal="center" shrinkToFit="0" vertical="center" wrapText="1"/>
    </xf>
    <xf borderId="7" fillId="0" fontId="4" numFmtId="4" xfId="0" applyAlignment="1" applyBorder="1" applyFont="1" applyNumberFormat="1">
      <alignment shrinkToFit="0" vertical="center" wrapText="0"/>
    </xf>
    <xf borderId="2" fillId="0" fontId="4" numFmtId="0" xfId="0" applyAlignment="1" applyBorder="1" applyFont="1">
      <alignment horizontal="left" shrinkToFit="0" vertical="center" wrapText="1"/>
    </xf>
    <xf borderId="7" fillId="0" fontId="4" numFmtId="10" xfId="0" applyAlignment="1" applyBorder="1" applyFont="1" applyNumberFormat="1">
      <alignment shrinkToFit="0" vertical="center" wrapText="0"/>
    </xf>
    <xf borderId="1" fillId="2" fontId="4" numFmtId="0" xfId="0" applyAlignment="1" applyBorder="1" applyFont="1">
      <alignment horizontal="right" shrinkToFit="0" vertical="center" wrapText="1"/>
    </xf>
    <xf borderId="7" fillId="2" fontId="4" numFmtId="4" xfId="0" applyAlignment="1" applyBorder="1" applyFont="1" applyNumberFormat="1">
      <alignment shrinkToFit="0" vertical="center" wrapText="0"/>
    </xf>
    <xf borderId="1" fillId="4" fontId="4" numFmtId="0" xfId="0" applyAlignment="1" applyBorder="1" applyFont="1">
      <alignment horizontal="right" shrinkToFit="0" vertical="center" wrapText="1"/>
    </xf>
    <xf borderId="1" fillId="5" fontId="6" numFmtId="0" xfId="0" applyAlignment="1" applyBorder="1" applyFill="1" applyFont="1">
      <alignment horizontal="left" shrinkToFit="0" vertical="center" wrapText="1"/>
    </xf>
    <xf borderId="1" fillId="4" fontId="9" numFmtId="0" xfId="0" applyAlignment="1" applyBorder="1" applyFont="1">
      <alignment horizontal="left" shrinkToFit="0" vertical="center" wrapText="1"/>
    </xf>
    <xf borderId="1" fillId="0" fontId="8" numFmtId="0" xfId="0" applyAlignment="1" applyBorder="1" applyFont="1">
      <alignment horizontal="left" shrinkToFit="0" vertical="center" wrapText="0"/>
    </xf>
    <xf borderId="1" fillId="2" fontId="4" numFmtId="0" xfId="0" applyAlignment="1" applyBorder="1" applyFont="1">
      <alignment horizontal="left" shrinkToFit="0" vertical="center" wrapText="0"/>
    </xf>
    <xf borderId="7" fillId="0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7" fillId="0" fontId="4" numFmtId="10" xfId="0" applyAlignment="1" applyBorder="1" applyFont="1" applyNumberFormat="1">
      <alignment horizontal="center" shrinkToFit="0" vertical="center" wrapText="0"/>
    </xf>
    <xf borderId="7" fillId="0" fontId="4" numFmtId="2" xfId="0" applyAlignment="1" applyBorder="1" applyFont="1" applyNumberFormat="1">
      <alignment horizontal="right" shrinkToFit="0" vertical="center" wrapText="1"/>
    </xf>
    <xf borderId="7" fillId="6" fontId="4" numFmtId="0" xfId="0" applyAlignment="1" applyBorder="1" applyFill="1" applyFont="1">
      <alignment horizontal="center" shrinkToFit="0" vertical="center" wrapText="0"/>
    </xf>
    <xf borderId="1" fillId="6" fontId="4" numFmtId="10" xfId="0" applyAlignment="1" applyBorder="1" applyFont="1" applyNumberFormat="1">
      <alignment horizontal="left" shrinkToFit="0" vertical="center" wrapText="1"/>
    </xf>
    <xf borderId="7" fillId="6" fontId="4" numFmtId="166" xfId="0" applyAlignment="1" applyBorder="1" applyFont="1" applyNumberFormat="1">
      <alignment horizontal="center" shrinkToFit="0" vertical="center" wrapText="0"/>
    </xf>
    <xf borderId="7" fillId="6" fontId="4" numFmtId="2" xfId="0" applyAlignment="1" applyBorder="1" applyFont="1" applyNumberFormat="1">
      <alignment horizontal="right" shrinkToFit="0" vertical="center" wrapText="1"/>
    </xf>
    <xf borderId="1" fillId="2" fontId="4" numFmtId="0" xfId="0" applyAlignment="1" applyBorder="1" applyFont="1">
      <alignment horizontal="right" shrinkToFit="0" vertical="center" wrapText="0"/>
    </xf>
    <xf borderId="7" fillId="2" fontId="4" numFmtId="2" xfId="0" applyAlignment="1" applyBorder="1" applyFont="1" applyNumberFormat="1">
      <alignment horizontal="right" shrinkToFit="0" vertical="center" wrapText="0"/>
    </xf>
    <xf borderId="1" fillId="6" fontId="4" numFmtId="0" xfId="0" applyAlignment="1" applyBorder="1" applyFont="1">
      <alignment shrinkToFit="0" vertical="center" wrapText="1"/>
    </xf>
    <xf borderId="9" fillId="2" fontId="4" numFmtId="0" xfId="0" applyAlignment="1" applyBorder="1" applyFont="1">
      <alignment horizontal="center" shrinkToFit="0" vertical="center" wrapText="0"/>
    </xf>
    <xf borderId="7" fillId="2" fontId="4" numFmtId="0" xfId="0" applyAlignment="1" applyBorder="1" applyFont="1">
      <alignment horizontal="center" shrinkToFit="0" vertical="center" wrapText="1"/>
    </xf>
    <xf borderId="7" fillId="0" fontId="4" numFmtId="10" xfId="0" applyAlignment="1" applyBorder="1" applyFont="1" applyNumberFormat="1">
      <alignment horizontal="right" shrinkToFit="0" vertical="center" wrapText="0"/>
    </xf>
    <xf borderId="7" fillId="0" fontId="4" numFmtId="4" xfId="0" applyAlignment="1" applyBorder="1" applyFont="1" applyNumberFormat="1">
      <alignment horizontal="right" shrinkToFit="0" vertical="center" wrapText="0"/>
    </xf>
    <xf borderId="7" fillId="0" fontId="4" numFmtId="0" xfId="0" applyAlignment="1" applyBorder="1" applyFont="1">
      <alignment horizontal="right" shrinkToFit="0" vertical="center" wrapText="1"/>
    </xf>
    <xf borderId="7" fillId="0" fontId="4" numFmtId="9" xfId="0" applyAlignment="1" applyBorder="1" applyFont="1" applyNumberFormat="1">
      <alignment horizontal="center" shrinkToFit="0" vertical="center" wrapText="1"/>
    </xf>
    <xf borderId="7" fillId="0" fontId="4" numFmtId="167" xfId="0" applyAlignment="1" applyBorder="1" applyFont="1" applyNumberFormat="1">
      <alignment horizontal="center" shrinkToFit="0" vertical="center" wrapText="1"/>
    </xf>
    <xf borderId="7" fillId="0" fontId="4" numFmtId="168" xfId="0" applyAlignment="1" applyBorder="1" applyFont="1" applyNumberFormat="1">
      <alignment horizontal="right" shrinkToFit="0" vertical="center" wrapText="0"/>
    </xf>
    <xf borderId="7" fillId="2" fontId="4" numFmtId="168" xfId="0" applyAlignment="1" applyBorder="1" applyFont="1" applyNumberFormat="1">
      <alignment horizontal="right" shrinkToFit="0" vertical="center" wrapText="0"/>
    </xf>
    <xf borderId="7" fillId="2" fontId="4" numFmtId="4" xfId="0" applyAlignment="1" applyBorder="1" applyFont="1" applyNumberFormat="1">
      <alignment horizontal="right" shrinkToFit="0" vertical="center" wrapText="0"/>
    </xf>
    <xf borderId="9" fillId="4" fontId="4" numFmtId="0" xfId="0" applyAlignment="1" applyBorder="1" applyFont="1">
      <alignment horizontal="right" shrinkToFit="0" vertical="center" wrapText="0"/>
    </xf>
    <xf borderId="10" fillId="4" fontId="6" numFmtId="0" xfId="0" applyAlignment="1" applyBorder="1" applyFont="1">
      <alignment horizontal="right" shrinkToFit="0" vertical="center" wrapText="0"/>
    </xf>
    <xf borderId="10" fillId="4" fontId="4" numFmtId="10" xfId="0" applyAlignment="1" applyBorder="1" applyFont="1" applyNumberFormat="1">
      <alignment horizontal="right" shrinkToFit="0" vertical="center" wrapText="0"/>
    </xf>
    <xf borderId="11" fillId="4" fontId="4" numFmtId="4" xfId="0" applyAlignment="1" applyBorder="1" applyFont="1" applyNumberFormat="1">
      <alignment horizontal="right" shrinkToFit="0" vertical="center" wrapText="0"/>
    </xf>
    <xf borderId="7" fillId="2" fontId="4" numFmtId="0" xfId="0" applyAlignment="1" applyBorder="1" applyFont="1">
      <alignment horizontal="center" shrinkToFit="0" vertical="center" wrapText="0"/>
    </xf>
    <xf borderId="7" fillId="0" fontId="5" numFmtId="164" xfId="0" applyAlignment="1" applyBorder="1" applyFont="1" applyNumberFormat="1">
      <alignment readingOrder="0" shrinkToFit="0" vertical="center" wrapText="0"/>
    </xf>
    <xf borderId="7" fillId="0" fontId="4" numFmtId="4" xfId="0" applyAlignment="1" applyBorder="1" applyFont="1" applyNumberFormat="1">
      <alignment horizontal="center" shrinkToFit="0" vertical="center" wrapText="0"/>
    </xf>
    <xf borderId="7" fillId="0" fontId="5" numFmtId="4" xfId="0" applyAlignment="1" applyBorder="1" applyFont="1" applyNumberFormat="1">
      <alignment shrinkToFit="0" vertical="center" wrapText="0"/>
    </xf>
    <xf borderId="7" fillId="0" fontId="5" numFmtId="3" xfId="0" applyAlignment="1" applyBorder="1" applyFont="1" applyNumberFormat="1">
      <alignment shrinkToFit="0" vertical="center" wrapText="0"/>
    </xf>
    <xf borderId="0" fillId="0" fontId="6" numFmtId="0" xfId="0" applyAlignment="1" applyFont="1">
      <alignment shrinkToFit="0" vertical="bottom" wrapText="1"/>
    </xf>
    <xf borderId="7" fillId="0" fontId="5" numFmtId="10" xfId="0" applyAlignment="1" applyBorder="1" applyFont="1" applyNumberFormat="1">
      <alignment horizontal="right" shrinkToFit="0" vertical="center" wrapText="1"/>
    </xf>
    <xf borderId="7" fillId="0" fontId="4" numFmtId="0" xfId="0" applyAlignment="1" applyBorder="1" applyFont="1">
      <alignment horizontal="left" shrinkToFit="0" vertical="center" wrapText="1"/>
    </xf>
    <xf borderId="7" fillId="0" fontId="5" numFmtId="164" xfId="0" applyAlignment="1" applyBorder="1" applyFont="1" applyNumberFormat="1">
      <alignment shrinkToFit="0" vertical="center" wrapText="0"/>
    </xf>
    <xf borderId="7" fillId="0" fontId="10" numFmtId="0" xfId="0" applyAlignment="1" applyBorder="1" applyFont="1">
      <alignment horizontal="center" shrinkToFit="0" vertical="center" wrapText="0"/>
    </xf>
    <xf borderId="1" fillId="0" fontId="5" numFmtId="0" xfId="0" applyAlignment="1" applyBorder="1" applyFont="1">
      <alignment horizontal="left" shrinkToFit="0" vertical="center" wrapText="1"/>
    </xf>
    <xf borderId="7" fillId="0" fontId="5" numFmtId="10" xfId="0" applyAlignment="1" applyBorder="1" applyFont="1" applyNumberFormat="1">
      <alignment shrinkToFit="0" vertical="center" wrapText="0"/>
    </xf>
    <xf borderId="1" fillId="6" fontId="4" numFmtId="0" xfId="0" applyAlignment="1" applyBorder="1" applyFont="1">
      <alignment horizontal="left" shrinkToFit="0" vertical="center" wrapText="1"/>
    </xf>
    <xf borderId="7" fillId="6" fontId="4" numFmtId="4" xfId="0" applyAlignment="1" applyBorder="1" applyFont="1" applyNumberFormat="1">
      <alignment horizontal="right" shrinkToFit="0" vertical="center" wrapText="1"/>
    </xf>
    <xf borderId="7" fillId="2" fontId="6" numFmtId="0" xfId="0" applyAlignment="1" applyBorder="1" applyFont="1">
      <alignment horizontal="center" shrinkToFit="0" vertical="center" wrapText="0"/>
    </xf>
    <xf borderId="7" fillId="2" fontId="4" numFmtId="4" xfId="0" applyAlignment="1" applyBorder="1" applyFont="1" applyNumberFormat="1">
      <alignment horizontal="right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left" shrinkToFit="0" vertical="center" wrapText="0"/>
    </xf>
    <xf borderId="7" fillId="0" fontId="12" numFmtId="10" xfId="0" applyAlignment="1" applyBorder="1" applyFont="1" applyNumberFormat="1">
      <alignment horizontal="right" shrinkToFit="0" vertical="center" wrapText="0"/>
    </xf>
    <xf borderId="1" fillId="0" fontId="12" numFmtId="0" xfId="0" applyAlignment="1" applyBorder="1" applyFont="1">
      <alignment horizontal="left" shrinkToFit="0" vertical="center" wrapText="1"/>
    </xf>
    <xf borderId="1" fillId="4" fontId="4" numFmtId="0" xfId="0" applyAlignment="1" applyBorder="1" applyFont="1">
      <alignment horizontal="left" shrinkToFit="0" vertical="center" wrapText="1"/>
    </xf>
    <xf borderId="12" fillId="0" fontId="12" numFmtId="0" xfId="0" applyAlignment="1" applyBorder="1" applyFont="1">
      <alignment horizontal="right" shrinkToFit="0" vertical="center" wrapText="1"/>
    </xf>
    <xf borderId="12" fillId="0" fontId="12" numFmtId="4" xfId="0" applyAlignment="1" applyBorder="1" applyFont="1" applyNumberFormat="1">
      <alignment horizontal="left" shrinkToFit="0" vertical="center" wrapText="1"/>
    </xf>
    <xf borderId="13" fillId="4" fontId="12" numFmtId="0" xfId="0" applyAlignment="1" applyBorder="1" applyFont="1">
      <alignment horizontal="right" shrinkToFit="0" vertical="center" wrapText="1"/>
    </xf>
    <xf borderId="13" fillId="4" fontId="12" numFmtId="0" xfId="0" applyAlignment="1" applyBorder="1" applyFont="1">
      <alignment horizontal="left" shrinkToFit="0" vertical="center" wrapText="1"/>
    </xf>
    <xf borderId="12" fillId="0" fontId="4" numFmtId="4" xfId="0" applyAlignment="1" applyBorder="1" applyFont="1" applyNumberFormat="1">
      <alignment horizontal="right" shrinkToFit="0" vertical="center" wrapText="1"/>
    </xf>
    <xf borderId="1" fillId="4" fontId="12" numFmtId="0" xfId="0" applyAlignment="1" applyBorder="1" applyFont="1">
      <alignment horizontal="right" shrinkToFit="0" vertical="center" wrapText="1"/>
    </xf>
    <xf borderId="7" fillId="2" fontId="4" numFmtId="0" xfId="0" applyAlignment="1" applyBorder="1" applyFont="1">
      <alignment horizontal="center" shrinkToFit="0" vertical="bottom" wrapText="0"/>
    </xf>
    <xf borderId="1" fillId="0" fontId="13" numFmtId="0" xfId="0" applyAlignment="1" applyBorder="1" applyFont="1">
      <alignment horizontal="left" shrinkToFit="0" vertical="center" wrapText="1"/>
    </xf>
    <xf borderId="7" fillId="6" fontId="4" numFmtId="4" xfId="0" applyAlignment="1" applyBorder="1" applyFont="1" applyNumberFormat="1">
      <alignment horizontal="right" shrinkToFit="0" vertical="center" wrapText="0"/>
    </xf>
    <xf borderId="7" fillId="0" fontId="13" numFmtId="0" xfId="0" applyAlignment="1" applyBorder="1" applyFont="1">
      <alignment horizontal="center" shrinkToFit="0" vertical="center" wrapText="0"/>
    </xf>
    <xf borderId="7" fillId="2" fontId="4" numFmtId="4" xfId="0" applyAlignment="1" applyBorder="1" applyFont="1" applyNumberFormat="1">
      <alignment horizontal="right" shrinkToFit="0" vertical="bottom" wrapText="0"/>
    </xf>
    <xf borderId="7" fillId="2" fontId="4" numFmtId="4" xfId="0" applyAlignment="1" applyBorder="1" applyFont="1" applyNumberFormat="1">
      <alignment horizontal="center" shrinkToFit="0" vertical="center" wrapText="0"/>
    </xf>
    <xf borderId="1" fillId="4" fontId="4" numFmtId="0" xfId="0" applyAlignment="1" applyBorder="1" applyFont="1">
      <alignment horizontal="right" shrinkToFit="0" vertical="center" wrapText="0"/>
    </xf>
    <xf borderId="7" fillId="7" fontId="4" numFmtId="0" xfId="0" applyAlignment="1" applyBorder="1" applyFill="1" applyFont="1">
      <alignment horizontal="center" shrinkToFit="0" vertical="center" wrapText="0"/>
    </xf>
    <xf borderId="1" fillId="7" fontId="4" numFmtId="0" xfId="0" applyAlignment="1" applyBorder="1" applyFont="1">
      <alignment horizontal="left" shrinkToFit="0" vertical="center" wrapText="1"/>
    </xf>
    <xf borderId="7" fillId="7" fontId="14" numFmtId="4" xfId="0" applyAlignment="1" applyBorder="1" applyFont="1" applyNumberFormat="1">
      <alignment horizontal="right" shrinkToFit="0" vertical="center" wrapText="0"/>
    </xf>
    <xf borderId="1" fillId="7" fontId="4" numFmtId="0" xfId="0" applyAlignment="1" applyBorder="1" applyFont="1">
      <alignment horizontal="left" shrinkToFit="0" vertical="center" wrapText="0"/>
    </xf>
    <xf borderId="7" fillId="2" fontId="14" numFmtId="4" xfId="0" applyAlignment="1" applyBorder="1" applyFont="1" applyNumberFormat="1">
      <alignment horizontal="right" shrinkToFit="0" vertical="center" wrapText="1"/>
    </xf>
    <xf borderId="1" fillId="0" fontId="6" numFmtId="0" xfId="0" applyAlignment="1" applyBorder="1" applyFont="1">
      <alignment horizontal="left" shrinkToFit="0" vertical="center" wrapText="0"/>
    </xf>
    <xf borderId="9" fillId="4" fontId="4" numFmtId="0" xfId="0" applyAlignment="1" applyBorder="1" applyFont="1">
      <alignment horizontal="center" shrinkToFit="0" vertical="center" wrapText="0"/>
    </xf>
    <xf borderId="10" fillId="4" fontId="6" numFmtId="0" xfId="0" applyAlignment="1" applyBorder="1" applyFont="1">
      <alignment horizontal="center" shrinkToFit="0" vertical="center" wrapText="0"/>
    </xf>
    <xf borderId="11" fillId="4" fontId="6" numFmtId="0" xfId="0" applyAlignment="1" applyBorder="1" applyFont="1">
      <alignment horizontal="center" shrinkToFit="0" vertical="center" wrapText="0"/>
    </xf>
    <xf borderId="7" fillId="2" fontId="4" numFmtId="4" xfId="0" applyAlignment="1" applyBorder="1" applyFont="1" applyNumberForma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0"/>
    </xf>
    <xf borderId="7" fillId="0" fontId="5" numFmtId="4" xfId="0" applyAlignment="1" applyBorder="1" applyFont="1" applyNumberFormat="1">
      <alignment horizontal="right" shrinkToFit="0" vertical="center" wrapText="0"/>
    </xf>
    <xf borderId="7" fillId="0" fontId="5" numFmtId="10" xfId="0" applyAlignment="1" applyBorder="1" applyFont="1" applyNumberFormat="1">
      <alignment horizontal="center" shrinkToFit="0" vertical="center" wrapText="0"/>
    </xf>
    <xf borderId="7" fillId="0" fontId="4" numFmtId="10" xfId="0" applyAlignment="1" applyBorder="1" applyFont="1" applyNumberFormat="1">
      <alignment horizontal="right" shrinkToFit="0" vertical="center" wrapText="1"/>
    </xf>
    <xf borderId="7" fillId="0" fontId="4" numFmtId="10" xfId="0" applyAlignment="1" applyBorder="1" applyFont="1" applyNumberFormat="1">
      <alignment horizontal="center" shrinkToFit="0" vertical="center" wrapText="1"/>
    </xf>
    <xf borderId="1" fillId="6" fontId="6" numFmtId="0" xfId="0" applyAlignment="1" applyBorder="1" applyFont="1">
      <alignment horizontal="left" shrinkToFit="0" vertical="center" wrapText="1"/>
    </xf>
    <xf borderId="7" fillId="6" fontId="5" numFmtId="10" xfId="0" applyAlignment="1" applyBorder="1" applyFont="1" applyNumberFormat="1">
      <alignment horizontal="right" shrinkToFit="0" vertical="center" wrapText="1"/>
    </xf>
    <xf borderId="3" fillId="2" fontId="4" numFmtId="10" xfId="0" applyAlignment="1" applyBorder="1" applyFont="1" applyNumberFormat="1">
      <alignment horizontal="right" shrinkToFit="0" vertical="center" wrapText="0"/>
    </xf>
    <xf borderId="7" fillId="0" fontId="5" numFmtId="10" xfId="0" applyAlignment="1" applyBorder="1" applyFont="1" applyNumberFormat="1">
      <alignment horizontal="right" shrinkToFit="0" vertical="center" wrapText="0"/>
    </xf>
    <xf borderId="14" fillId="0" fontId="5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horizontal="left" shrinkToFit="0" vertical="center" wrapText="0"/>
    </xf>
    <xf borderId="14" fillId="0" fontId="2" numFmtId="0" xfId="0" applyBorder="1" applyFont="1"/>
    <xf borderId="4" fillId="0" fontId="2" numFmtId="0" xfId="0" applyBorder="1" applyFont="1"/>
    <xf borderId="5" fillId="0" fontId="5" numFmtId="0" xfId="0" applyAlignment="1" applyBorder="1" applyFont="1">
      <alignment horizontal="left" shrinkToFit="0" vertical="center" wrapText="0"/>
    </xf>
    <xf borderId="1" fillId="4" fontId="15" numFmtId="0" xfId="0" applyAlignment="1" applyBorder="1" applyFont="1">
      <alignment shrinkToFit="0" vertical="center" wrapText="0"/>
    </xf>
    <xf borderId="1" fillId="0" fontId="8" numFmtId="49" xfId="0" applyAlignment="1" applyBorder="1" applyFont="1" applyNumberFormat="1">
      <alignment horizontal="left" shrinkToFit="0" vertical="center" wrapText="1"/>
    </xf>
    <xf borderId="7" fillId="0" fontId="4" numFmtId="49" xfId="0" applyAlignment="1" applyBorder="1" applyFont="1" applyNumberFormat="1">
      <alignment horizontal="center" shrinkToFit="0" vertical="center" wrapText="1"/>
    </xf>
    <xf borderId="7" fillId="0" fontId="4" numFmtId="4" xfId="0" applyAlignment="1" applyBorder="1" applyFont="1" applyNumberFormat="1">
      <alignment horizontal="right" shrinkToFit="0" vertical="center" wrapText="1"/>
    </xf>
    <xf borderId="1" fillId="2" fontId="4" numFmtId="49" xfId="0" applyAlignment="1" applyBorder="1" applyFont="1" applyNumberFormat="1">
      <alignment horizontal="right" shrinkToFit="0" vertical="center" wrapText="1"/>
    </xf>
    <xf borderId="1" fillId="0" fontId="4" numFmtId="49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169" xfId="0" applyAlignment="1" applyFont="1" applyNumberFormat="1">
      <alignment horizontal="left" shrinkToFit="0" vertical="bottom" wrapText="0"/>
    </xf>
    <xf borderId="15" fillId="5" fontId="5" numFmtId="169" xfId="0" applyAlignment="1" applyBorder="1" applyFont="1" applyNumberFormat="1">
      <alignment horizontal="left" shrinkToFit="0" vertical="bottom" wrapText="0"/>
    </xf>
    <xf borderId="0" fillId="0" fontId="4" numFmtId="0" xfId="0" applyAlignment="1" applyFont="1">
      <alignment horizontal="center" shrinkToFit="0" vertical="center" wrapText="1"/>
    </xf>
    <xf borderId="16" fillId="2" fontId="4" numFmtId="0" xfId="0" applyAlignment="1" applyBorder="1" applyFont="1">
      <alignment horizontal="left" shrinkToFit="0" vertical="bottom" wrapText="0"/>
    </xf>
    <xf borderId="17" fillId="0" fontId="2" numFmtId="0" xfId="0" applyBorder="1" applyFont="1"/>
    <xf borderId="0" fillId="0" fontId="4" numFmtId="0" xfId="0" applyAlignment="1" applyFont="1">
      <alignment shrinkToFit="0" vertical="bottom" wrapText="0"/>
    </xf>
    <xf borderId="15" fillId="5" fontId="4" numFmtId="0" xfId="0" applyAlignment="1" applyBorder="1" applyFont="1">
      <alignment shrinkToFit="0" vertical="bottom" wrapText="0"/>
    </xf>
    <xf borderId="5" fillId="0" fontId="4" numFmtId="0" xfId="0" applyAlignment="1" applyBorder="1" applyFont="1">
      <alignment horizontal="left" shrinkToFit="0" vertical="bottom" wrapText="1"/>
    </xf>
    <xf borderId="1" fillId="0" fontId="6" numFmtId="0" xfId="0" applyAlignment="1" applyBorder="1" applyFont="1">
      <alignment horizontal="left" shrinkToFit="0" vertical="bottom" wrapText="1"/>
    </xf>
    <xf borderId="1" fillId="0" fontId="5" numFmtId="0" xfId="0" applyAlignment="1" applyBorder="1" applyFont="1">
      <alignment horizontal="center" shrinkToFit="0" vertical="center" wrapText="0"/>
    </xf>
    <xf borderId="1" fillId="0" fontId="5" numFmtId="4" xfId="0" applyAlignment="1" applyBorder="1" applyFont="1" applyNumberFormat="1">
      <alignment horizontal="center" shrinkToFit="0" vertical="center" wrapText="1"/>
    </xf>
    <xf borderId="1" fillId="0" fontId="5" numFmtId="2" xfId="0" applyAlignment="1" applyBorder="1" applyFont="1" applyNumberFormat="1">
      <alignment horizontal="center" shrinkToFit="0" vertical="center" wrapText="1"/>
    </xf>
    <xf borderId="1" fillId="0" fontId="5" numFmtId="4" xfId="0" applyAlignment="1" applyBorder="1" applyFont="1" applyNumberFormat="1">
      <alignment horizontal="center" shrinkToFit="0" vertical="center" wrapText="0"/>
    </xf>
    <xf borderId="1" fillId="0" fontId="5" numFmtId="2" xfId="0" applyAlignment="1" applyBorder="1" applyFont="1" applyNumberFormat="1">
      <alignment horizontal="center" shrinkToFit="0" vertical="center" wrapText="0"/>
    </xf>
    <xf borderId="1" fillId="4" fontId="6" numFmtId="0" xfId="0" applyAlignment="1" applyBorder="1" applyFont="1">
      <alignment horizontal="center" shrinkToFit="0" vertical="bottom" wrapText="1"/>
    </xf>
    <xf borderId="1" fillId="4" fontId="5" numFmtId="0" xfId="0" applyAlignment="1" applyBorder="1" applyFont="1">
      <alignment horizontal="center" shrinkToFit="0" vertical="center" wrapText="0"/>
    </xf>
    <xf borderId="1" fillId="4" fontId="5" numFmtId="4" xfId="0" applyAlignment="1" applyBorder="1" applyFont="1" applyNumberFormat="1">
      <alignment horizontal="center" shrinkToFit="0" vertical="center" wrapText="1"/>
    </xf>
    <xf borderId="1" fillId="4" fontId="5" numFmtId="2" xfId="0" applyAlignment="1" applyBorder="1" applyFont="1" applyNumberFormat="1">
      <alignment horizontal="center" shrinkToFit="0" vertical="center" wrapText="0"/>
    </xf>
    <xf borderId="1" fillId="4" fontId="4" numFmtId="0" xfId="0" applyAlignment="1" applyBorder="1" applyFont="1">
      <alignment horizontal="left" shrinkToFit="0" vertical="bottom" wrapText="0"/>
    </xf>
    <xf borderId="18" fillId="4" fontId="4" numFmtId="0" xfId="0" applyAlignment="1" applyBorder="1" applyFont="1">
      <alignment horizontal="right" shrinkToFit="0" vertical="center" wrapText="1"/>
    </xf>
    <xf borderId="19" fillId="0" fontId="2" numFmtId="0" xfId="0" applyBorder="1" applyFont="1"/>
    <xf borderId="20" fillId="0" fontId="2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22" fillId="0" fontId="2" numFmtId="0" xfId="0" applyBorder="1" applyFont="1"/>
    <xf borderId="21" fillId="0" fontId="5" numFmtId="0" xfId="0" applyAlignment="1" applyBorder="1" applyFont="1">
      <alignment horizontal="center" shrinkToFit="0" vertical="center" wrapText="1"/>
    </xf>
    <xf borderId="21" fillId="0" fontId="5" numFmtId="4" xfId="0" applyAlignment="1" applyBorder="1" applyFont="1" applyNumberFormat="1">
      <alignment horizontal="center" shrinkToFit="0" vertical="center" wrapText="1"/>
    </xf>
    <xf borderId="23" fillId="0" fontId="2" numFmtId="0" xfId="0" applyBorder="1" applyFont="1"/>
    <xf borderId="1" fillId="4" fontId="4" numFmtId="0" xfId="0" applyAlignment="1" applyBorder="1" applyFont="1">
      <alignment horizontal="center" shrinkToFit="0" vertical="bottom" wrapText="0"/>
    </xf>
    <xf borderId="1" fillId="0" fontId="4" numFmtId="0" xfId="0" applyAlignment="1" applyBorder="1" applyFont="1">
      <alignment horizontal="left" shrinkToFit="0" vertical="bottom" wrapText="0"/>
    </xf>
    <xf borderId="2" fillId="0" fontId="4" numFmtId="0" xfId="0" applyAlignment="1" applyBorder="1" applyFont="1">
      <alignment horizontal="left" shrinkToFit="0" vertical="bottom" wrapText="1"/>
    </xf>
    <xf borderId="1" fillId="0" fontId="5" numFmtId="49" xfId="0" applyAlignment="1" applyBorder="1" applyFont="1" applyNumberFormat="1">
      <alignment horizontal="center" shrinkToFit="0" vertical="center" wrapText="0"/>
    </xf>
    <xf borderId="7" fillId="4" fontId="4" numFmtId="0" xfId="0" applyAlignment="1" applyBorder="1" applyFont="1">
      <alignment horizontal="left" shrinkToFit="0" vertical="center" wrapText="1"/>
    </xf>
    <xf borderId="21" fillId="0" fontId="4" numFmtId="0" xfId="0" applyAlignment="1" applyBorder="1" applyFont="1">
      <alignment horizontal="left" shrinkToFit="0" vertical="center" wrapText="1"/>
    </xf>
    <xf borderId="7" fillId="2" fontId="4" numFmtId="0" xfId="0" applyAlignment="1" applyBorder="1" applyFont="1">
      <alignment horizontal="center" shrinkToFit="0" vertical="top" wrapText="1"/>
    </xf>
    <xf borderId="1" fillId="2" fontId="4" numFmtId="0" xfId="0" applyAlignment="1" applyBorder="1" applyFont="1">
      <alignment horizontal="center" shrinkToFit="0" vertical="top" wrapText="1"/>
    </xf>
    <xf borderId="7" fillId="0" fontId="6" numFmtId="0" xfId="0" applyAlignment="1" applyBorder="1" applyFont="1">
      <alignment horizontal="left" shrinkToFit="0" vertical="bottom" wrapText="1"/>
    </xf>
    <xf borderId="7" fillId="0" fontId="5" numFmtId="49" xfId="0" applyAlignment="1" applyBorder="1" applyFont="1" applyNumberFormat="1">
      <alignment horizontal="center" shrinkToFit="0" vertical="center" wrapText="0"/>
    </xf>
    <xf borderId="1" fillId="0" fontId="5" numFmtId="49" xfId="0" applyAlignment="1" applyBorder="1" applyFont="1" applyNumberFormat="1">
      <alignment horizontal="center" shrinkToFit="0" vertical="center" wrapText="1"/>
    </xf>
    <xf borderId="7" fillId="0" fontId="5" numFmtId="170" xfId="0" applyAlignment="1" applyBorder="1" applyFont="1" applyNumberFormat="1">
      <alignment horizontal="center" shrinkToFit="0" vertical="center" wrapText="0"/>
    </xf>
    <xf borderId="1" fillId="4" fontId="4" numFmtId="0" xfId="0" applyAlignment="1" applyBorder="1" applyFont="1">
      <alignment shrinkToFit="0" vertical="bottom" wrapText="1"/>
    </xf>
    <xf borderId="7" fillId="0" fontId="5" numFmtId="49" xfId="0" applyAlignment="1" applyBorder="1" applyFont="1" applyNumberFormat="1">
      <alignment horizontal="center" shrinkToFit="0" vertical="bottom" wrapText="0"/>
    </xf>
    <xf borderId="7" fillId="0" fontId="5" numFmtId="0" xfId="0" applyAlignment="1" applyBorder="1" applyFont="1">
      <alignment horizontal="center" shrinkToFit="0" vertical="bottom" wrapText="0"/>
    </xf>
    <xf borderId="7" fillId="0" fontId="6" numFmtId="0" xfId="0" applyAlignment="1" applyBorder="1" applyFont="1">
      <alignment horizontal="left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1" fillId="0" fontId="4" numFmtId="0" xfId="0" applyAlignment="1" applyBorder="1" applyFont="1">
      <alignment horizontal="left" shrinkToFit="0" vertical="bottom" wrapText="1"/>
    </xf>
    <xf borderId="21" fillId="0" fontId="4" numFmtId="0" xfId="0" applyAlignment="1" applyBorder="1" applyFont="1">
      <alignment horizontal="left" shrinkToFit="0" vertical="center" wrapText="0"/>
    </xf>
    <xf borderId="24" fillId="2" fontId="4" numFmtId="0" xfId="0" applyAlignment="1" applyBorder="1" applyFont="1">
      <alignment horizontal="center" shrinkToFit="0" vertical="center" wrapText="0"/>
    </xf>
    <xf borderId="25" fillId="0" fontId="2" numFmtId="0" xfId="0" applyBorder="1" applyFont="1"/>
    <xf borderId="26" fillId="0" fontId="2" numFmtId="0" xfId="0" applyBorder="1" applyFont="1"/>
    <xf borderId="24" fillId="2" fontId="4" numFmtId="0" xfId="0" applyAlignment="1" applyBorder="1" applyFont="1">
      <alignment horizontal="center" shrinkToFit="0" vertical="center" wrapText="1"/>
    </xf>
    <xf borderId="1" fillId="0" fontId="4" numFmtId="4" xfId="0" applyAlignment="1" applyBorder="1" applyFont="1" applyNumberFormat="1">
      <alignment horizontal="center" shrinkToFit="0" vertical="bottom" wrapText="0"/>
    </xf>
    <xf borderId="7" fillId="0" fontId="4" numFmtId="39" xfId="0" applyAlignment="1" applyBorder="1" applyFont="1" applyNumberFormat="1">
      <alignment horizontal="right" shrinkToFit="0" vertical="bottom" wrapText="0"/>
    </xf>
    <xf borderId="1" fillId="0" fontId="4" numFmtId="4" xfId="0" applyAlignment="1" applyBorder="1" applyFont="1" applyNumberFormat="1">
      <alignment horizontal="right" shrinkToFit="0" vertical="center" wrapText="1"/>
    </xf>
    <xf borderId="1" fillId="0" fontId="4" numFmtId="4" xfId="0" applyAlignment="1" applyBorder="1" applyFont="1" applyNumberFormat="1">
      <alignment horizontal="center" shrinkToFit="0" vertical="center" wrapText="0"/>
    </xf>
    <xf borderId="7" fillId="0" fontId="4" numFmtId="39" xfId="0" applyAlignment="1" applyBorder="1" applyFont="1" applyNumberFormat="1">
      <alignment horizontal="right" shrinkToFit="0" vertical="center" wrapText="0"/>
    </xf>
    <xf borderId="1" fillId="2" fontId="5" numFmtId="0" xfId="0" applyAlignment="1" applyBorder="1" applyFont="1">
      <alignment horizontal="right" shrinkToFit="0" vertical="bottom" wrapText="1"/>
    </xf>
    <xf borderId="7" fillId="2" fontId="5" numFmtId="39" xfId="0" applyAlignment="1" applyBorder="1" applyFont="1" applyNumberFormat="1">
      <alignment horizontal="right" shrinkToFit="0" vertical="bottom" wrapText="0"/>
    </xf>
    <xf borderId="1" fillId="2" fontId="5" numFmtId="4" xfId="0" applyAlignment="1" applyBorder="1" applyFont="1" applyNumberFormat="1">
      <alignment horizontal="right" shrinkToFit="0" vertical="center" wrapText="1"/>
    </xf>
    <xf borderId="1" fillId="4" fontId="4" numFmtId="0" xfId="0" applyAlignment="1" applyBorder="1" applyFont="1">
      <alignment horizontal="right" shrinkToFit="0" vertical="bottom" wrapText="1"/>
    </xf>
    <xf borderId="4" fillId="0" fontId="4" numFmtId="0" xfId="0" applyAlignment="1" applyBorder="1" applyFont="1">
      <alignment horizontal="left" shrinkToFit="0" vertical="bottom" wrapText="1"/>
    </xf>
    <xf borderId="4" fillId="0" fontId="4" numFmtId="4" xfId="0" applyAlignment="1" applyBorder="1" applyFont="1" applyNumberFormat="1">
      <alignment horizontal="center" shrinkToFit="0" vertical="bottom" wrapText="0"/>
    </xf>
    <xf borderId="27" fillId="0" fontId="4" numFmtId="4" xfId="0" applyAlignment="1" applyBorder="1" applyFont="1" applyNumberFormat="1">
      <alignment horizontal="right" shrinkToFit="0" vertical="bottom" wrapText="1"/>
    </xf>
    <xf borderId="7" fillId="2" fontId="5" numFmtId="39" xfId="0" applyAlignment="1" applyBorder="1" applyFont="1" applyNumberFormat="1">
      <alignment horizontal="right" shrinkToFit="0" vertical="center" wrapText="0"/>
    </xf>
    <xf borderId="1" fillId="4" fontId="5" numFmtId="0" xfId="0" applyAlignment="1" applyBorder="1" applyFont="1">
      <alignment horizontal="right" shrinkToFit="0" vertical="bottom" wrapText="1"/>
    </xf>
    <xf borderId="5" fillId="0" fontId="5" numFmtId="0" xfId="0" applyAlignment="1" applyBorder="1" applyFont="1">
      <alignment horizontal="right" shrinkToFit="0" vertical="bottom" wrapText="1"/>
    </xf>
    <xf borderId="27" fillId="0" fontId="5" numFmtId="39" xfId="0" applyAlignment="1" applyBorder="1" applyFont="1" applyNumberFormat="1">
      <alignment horizontal="right" shrinkToFit="0" vertical="bottom" wrapText="0"/>
    </xf>
    <xf borderId="1" fillId="0" fontId="5" numFmtId="4" xfId="0" applyAlignment="1" applyBorder="1" applyFont="1" applyNumberFormat="1">
      <alignment horizontal="right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28" fillId="4" fontId="4" numFmtId="0" xfId="0" applyAlignment="1" applyBorder="1" applyFont="1">
      <alignment horizontal="center" shrinkToFit="0" vertical="bottom" wrapText="0"/>
    </xf>
    <xf borderId="29" fillId="4" fontId="4" numFmtId="0" xfId="0" applyAlignment="1" applyBorder="1" applyFont="1">
      <alignment horizontal="left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0"/>
    </xf>
    <xf borderId="1" fillId="0" fontId="4" numFmtId="0" xfId="0" applyAlignment="1" applyBorder="1" applyFont="1">
      <alignment horizontal="left" shrinkToFit="0" vertical="top" wrapText="0"/>
    </xf>
    <xf borderId="21" fillId="2" fontId="4" numFmtId="0" xfId="0" applyAlignment="1" applyBorder="1" applyFont="1">
      <alignment horizontal="center" shrinkToFit="0" vertical="center" wrapText="0"/>
    </xf>
    <xf borderId="21" fillId="2" fontId="4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left" shrinkToFit="0" vertical="bottom" wrapText="0"/>
    </xf>
    <xf borderId="1" fillId="0" fontId="6" numFmtId="0" xfId="0" applyAlignment="1" applyBorder="1" applyFont="1">
      <alignment horizontal="center" shrinkToFit="0" vertical="bottom" wrapText="0"/>
    </xf>
    <xf borderId="21" fillId="4" fontId="4" numFmtId="0" xfId="0" applyAlignment="1" applyBorder="1" applyFon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15" fillId="5" fontId="6" numFmtId="0" xfId="0" applyAlignment="1" applyBorder="1" applyFont="1">
      <alignment shrinkToFit="0" vertical="bottom" wrapText="0"/>
    </xf>
    <xf borderId="7" fillId="0" fontId="6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left" shrinkToFit="0" vertical="center" wrapText="0"/>
    </xf>
    <xf borderId="7" fillId="5" fontId="5" numFmtId="3" xfId="0" applyAlignment="1" applyBorder="1" applyFont="1" applyNumberFormat="1">
      <alignment shrinkToFit="0" vertical="center" wrapText="0"/>
    </xf>
    <xf borderId="7" fillId="0" fontId="12" numFmtId="4" xfId="0" applyAlignment="1" applyBorder="1" applyFont="1" applyNumberFormat="1">
      <alignment shrinkToFit="0" vertical="center" wrapText="0"/>
    </xf>
    <xf borderId="7" fillId="2" fontId="6" numFmtId="0" xfId="0" applyAlignment="1" applyBorder="1" applyFont="1">
      <alignment horizontal="center" shrinkToFit="0" vertical="center" wrapText="1"/>
    </xf>
    <xf borderId="30" fillId="0" fontId="2" numFmtId="0" xfId="0" applyBorder="1" applyFont="1"/>
    <xf borderId="7" fillId="0" fontId="6" numFmtId="0" xfId="0" applyAlignment="1" applyBorder="1" applyFont="1">
      <alignment shrinkToFit="0" vertical="center" wrapText="0"/>
    </xf>
    <xf borderId="7" fillId="0" fontId="12" numFmtId="4" xfId="0" applyAlignment="1" applyBorder="1" applyFont="1" applyNumberFormat="1">
      <alignment readingOrder="0" shrinkToFit="0" vertical="center" wrapText="0"/>
    </xf>
    <xf borderId="7" fillId="0" fontId="6" numFmtId="0" xfId="0" applyAlignment="1" applyBorder="1" applyFont="1">
      <alignment shrinkToFit="0" vertical="center" wrapText="1"/>
    </xf>
    <xf borderId="27" fillId="0" fontId="2" numFmtId="0" xfId="0" applyBorder="1" applyFont="1"/>
    <xf borderId="7" fillId="0" fontId="4" numFmtId="0" xfId="0" applyAlignment="1" applyBorder="1" applyFont="1">
      <alignment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7" fillId="6" fontId="5" numFmtId="0" xfId="0" applyAlignment="1" applyBorder="1" applyFont="1">
      <alignment shrinkToFit="0" vertical="center" wrapText="0"/>
    </xf>
    <xf borderId="7" fillId="6" fontId="5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12" numFmtId="4" xfId="0" applyAlignment="1" applyFont="1" applyNumberFormat="1">
      <alignment shrinkToFit="0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4" numFmtId="3" xfId="0" applyAlignment="1" applyFont="1" applyNumberFormat="1">
      <alignment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6" numFmtId="0" xfId="0" applyAlignment="1" applyFont="1">
      <alignment shrinkToFit="0" vertical="center" wrapText="0"/>
    </xf>
    <xf borderId="31" fillId="4" fontId="4" numFmtId="0" xfId="0" applyAlignment="1" applyBorder="1" applyFont="1">
      <alignment horizontal="right" shrinkToFit="0" vertical="center" wrapText="0"/>
    </xf>
    <xf borderId="32" fillId="0" fontId="2" numFmtId="0" xfId="0" applyBorder="1" applyFont="1"/>
    <xf borderId="33" fillId="4" fontId="5" numFmtId="0" xfId="0" applyAlignment="1" applyBorder="1" applyFont="1">
      <alignment horizontal="center" shrinkToFit="0" vertical="center" wrapText="0"/>
    </xf>
    <xf borderId="33" fillId="4" fontId="4" numFmtId="0" xfId="0" applyAlignment="1" applyBorder="1" applyFont="1">
      <alignment horizontal="left" shrinkToFit="0" vertical="center" wrapText="0"/>
    </xf>
    <xf borderId="31" fillId="8" fontId="4" numFmtId="0" xfId="0" applyAlignment="1" applyBorder="1" applyFill="1" applyFont="1">
      <alignment horizontal="right" shrinkToFit="0" vertical="center" wrapText="0"/>
    </xf>
    <xf borderId="34" fillId="0" fontId="2" numFmtId="0" xfId="0" applyBorder="1" applyFont="1"/>
    <xf borderId="31" fillId="8" fontId="5" numFmtId="171" xfId="0" applyAlignment="1" applyBorder="1" applyFont="1" applyNumberFormat="1">
      <alignment horizontal="center" shrinkToFit="0" vertical="center" wrapText="0"/>
    </xf>
    <xf borderId="0" fillId="8" fontId="16" numFmtId="0" xfId="0" applyAlignment="1" applyFont="1">
      <alignment shrinkToFit="0" vertical="center" wrapText="0"/>
    </xf>
    <xf borderId="0" fillId="8" fontId="16" numFmtId="0" xfId="0" applyAlignment="1" applyFont="1">
      <alignment horizontal="center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4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0"/>
    </xf>
    <xf borderId="16" fillId="2" fontId="6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0" fillId="0" fontId="17" numFmtId="0" xfId="0" applyAlignment="1" applyFont="1">
      <alignment shrinkToFit="0" vertical="center" wrapText="0"/>
    </xf>
    <xf borderId="0" fillId="0" fontId="17" numFmtId="0" xfId="0" applyAlignment="1" applyFont="1">
      <alignment horizontal="center" shrinkToFit="0" vertical="center" wrapText="0"/>
    </xf>
    <xf borderId="0" fillId="0" fontId="18" numFmtId="0" xfId="0" applyAlignment="1" applyFont="1">
      <alignment horizontal="center" shrinkToFit="0" vertical="center" wrapText="0"/>
    </xf>
    <xf borderId="0" fillId="0" fontId="18" numFmtId="0" xfId="0" applyAlignment="1" applyFont="1">
      <alignment shrinkToFit="0" vertical="bottom" wrapText="1"/>
    </xf>
    <xf borderId="0" fillId="0" fontId="18" numFmtId="0" xfId="0" applyAlignment="1" applyFont="1">
      <alignment horizontal="center" shrinkToFit="0" vertical="bottom" wrapText="0"/>
    </xf>
    <xf borderId="0" fillId="0" fontId="18" numFmtId="0" xfId="0" applyAlignment="1" applyFont="1">
      <alignment shrinkToFit="0" vertical="bottom" wrapText="0"/>
    </xf>
    <xf borderId="0" fillId="0" fontId="19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center" readingOrder="0" shrinkToFit="0" vertical="center" wrapText="0"/>
    </xf>
    <xf borderId="0" fillId="0" fontId="20" numFmtId="0" xfId="0" applyAlignment="1" applyFont="1">
      <alignment horizontal="center" shrinkToFit="0" vertical="center" wrapText="0"/>
    </xf>
    <xf borderId="7" fillId="9" fontId="4" numFmtId="0" xfId="0" applyAlignment="1" applyBorder="1" applyFill="1" applyFont="1">
      <alignment horizontal="center" shrinkToFit="0" vertical="center" wrapText="1"/>
    </xf>
    <xf borderId="0" fillId="0" fontId="21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vertical="center" wrapText="1"/>
    </xf>
    <xf borderId="7" fillId="0" fontId="6" numFmtId="0" xfId="0" applyAlignment="1" applyBorder="1" applyFont="1">
      <alignment horizontal="center" vertical="center"/>
    </xf>
    <xf borderId="7" fillId="0" fontId="6" numFmtId="2" xfId="0" applyAlignment="1" applyBorder="1" applyFont="1" applyNumberFormat="1">
      <alignment horizontal="center" vertical="center"/>
    </xf>
    <xf borderId="7" fillId="5" fontId="6" numFmtId="172" xfId="0" applyAlignment="1" applyBorder="1" applyFont="1" applyNumberFormat="1">
      <alignment horizontal="center" shrinkToFit="0" vertical="center" wrapText="1"/>
    </xf>
    <xf borderId="35" fillId="5" fontId="24" numFmtId="172" xfId="0" applyAlignment="1" applyBorder="1" applyFont="1" applyNumberFormat="1">
      <alignment horizontal="center" shrinkToFit="0" vertical="center" wrapText="1"/>
    </xf>
    <xf borderId="0" fillId="0" fontId="25" numFmtId="0" xfId="0" applyAlignment="1" applyFont="1">
      <alignment horizontal="left" shrinkToFit="0" vertical="center" wrapText="1"/>
    </xf>
    <xf borderId="0" fillId="0" fontId="26" numFmtId="0" xfId="0" applyAlignment="1" applyFont="1">
      <alignment horizontal="center" shrinkToFit="0" vertical="center" wrapText="1"/>
    </xf>
    <xf borderId="7" fillId="5" fontId="6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left" shrinkToFit="0" vertical="top" wrapText="1"/>
    </xf>
    <xf borderId="0" fillId="0" fontId="24" numFmtId="0" xfId="0" applyAlignment="1" applyFont="1">
      <alignment shrinkToFit="0" vertical="bottom" wrapText="0"/>
    </xf>
    <xf borderId="35" fillId="5" fontId="21" numFmtId="0" xfId="0" applyAlignment="1" applyBorder="1" applyFont="1">
      <alignment horizontal="center" shrinkToFit="0" vertical="center" wrapText="1"/>
    </xf>
    <xf borderId="0" fillId="5" fontId="24" numFmtId="172" xfId="0" applyAlignment="1" applyFont="1" applyNumberFormat="1">
      <alignment horizontal="center" shrinkToFit="0" vertical="center" wrapText="1"/>
    </xf>
    <xf borderId="7" fillId="0" fontId="5" numFmtId="173" xfId="0" applyAlignment="1" applyBorder="1" applyFont="1" applyNumberFormat="1">
      <alignment horizontal="center" shrinkToFit="0" vertical="top" wrapText="1"/>
    </xf>
    <xf borderId="0" fillId="0" fontId="21" numFmtId="0" xfId="0" applyAlignment="1" applyFont="1">
      <alignment horizontal="right" shrinkToFit="0" vertical="top" wrapText="1"/>
    </xf>
    <xf borderId="0" fillId="0" fontId="24" numFmtId="0" xfId="0" applyAlignment="1" applyFont="1">
      <alignment horizontal="center" shrinkToFit="0" vertical="center" wrapText="1"/>
    </xf>
    <xf borderId="0" fillId="0" fontId="24" numFmtId="0" xfId="0" applyAlignment="1" applyFont="1">
      <alignment horizontal="left" shrinkToFit="0" vertical="top" wrapText="1"/>
    </xf>
    <xf borderId="0" fillId="0" fontId="24" numFmtId="0" xfId="0" applyAlignment="1" applyFont="1">
      <alignment horizontal="center" shrinkToFit="0" vertical="top" wrapText="1"/>
    </xf>
    <xf borderId="0" fillId="0" fontId="24" numFmtId="172" xfId="0" applyAlignment="1" applyFont="1" applyNumberFormat="1">
      <alignment horizontal="center" shrinkToFit="0" vertical="bottom" wrapText="0"/>
    </xf>
    <xf borderId="15" fillId="5" fontId="24" numFmtId="172" xfId="0" applyAlignment="1" applyBorder="1" applyFont="1" applyNumberFormat="1">
      <alignment horizontal="center" shrinkToFit="0" vertical="center" wrapText="1"/>
    </xf>
    <xf borderId="1" fillId="9" fontId="4" numFmtId="0" xfId="0" applyAlignment="1" applyBorder="1" applyFont="1">
      <alignment horizontal="center" shrinkToFit="0" vertical="center" wrapText="1"/>
    </xf>
    <xf borderId="14" fillId="5" fontId="4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vertical="center"/>
    </xf>
    <xf borderId="7" fillId="0" fontId="25" numFmtId="0" xfId="0" applyAlignment="1" applyBorder="1" applyFont="1">
      <alignment horizontal="center" shrinkToFit="0" vertical="center" wrapText="1"/>
    </xf>
    <xf borderId="7" fillId="0" fontId="6" numFmtId="174" xfId="0" applyAlignment="1" applyBorder="1" applyFont="1" applyNumberFormat="1">
      <alignment horizontal="center" vertical="center"/>
    </xf>
    <xf borderId="0" fillId="0" fontId="25" numFmtId="0" xfId="0" applyAlignment="1" applyFont="1">
      <alignment shrinkToFit="0" vertical="center" wrapText="1"/>
    </xf>
    <xf borderId="7" fillId="0" fontId="6" numFmtId="0" xfId="0" applyAlignment="1" applyBorder="1" applyFont="1">
      <alignment readingOrder="0" vertical="center"/>
    </xf>
    <xf borderId="0" fillId="0" fontId="6" numFmtId="0" xfId="0" applyAlignment="1" applyFont="1">
      <alignment horizontal="left" shrinkToFit="1" vertical="center" wrapText="0"/>
    </xf>
    <xf borderId="7" fillId="0" fontId="5" numFmtId="173" xfId="0" applyAlignment="1" applyBorder="1" applyFont="1" applyNumberFormat="1">
      <alignment horizontal="right" shrinkToFit="0" vertical="bottom" wrapText="0"/>
    </xf>
    <xf borderId="0" fillId="0" fontId="6" numFmtId="0" xfId="0" applyAlignment="1" applyFont="1">
      <alignment horizontal="center" shrinkToFit="0" vertical="bottom" wrapText="0"/>
    </xf>
    <xf borderId="7" fillId="0" fontId="6" numFmtId="0" xfId="0" applyAlignment="1" applyBorder="1" applyFont="1">
      <alignment readingOrder="0" shrinkToFit="0" vertical="center" wrapText="1"/>
    </xf>
    <xf borderId="1" fillId="0" fontId="27" numFmtId="0" xfId="0" applyAlignment="1" applyBorder="1" applyFont="1">
      <alignment horizontal="right" shrinkToFit="0" vertical="center" wrapText="1"/>
    </xf>
    <xf borderId="7" fillId="0" fontId="27" numFmtId="173" xfId="0" applyAlignment="1" applyBorder="1" applyFont="1" applyNumberFormat="1">
      <alignment horizontal="center" shrinkToFit="0" vertical="top" wrapText="1"/>
    </xf>
    <xf borderId="12" fillId="0" fontId="27" numFmtId="173" xfId="0" applyAlignment="1" applyBorder="1" applyFont="1" applyNumberFormat="1">
      <alignment horizontal="center" shrinkToFit="0" vertical="top" wrapText="1"/>
    </xf>
    <xf borderId="2" fillId="0" fontId="4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center" shrinkToFit="0" vertical="center" wrapText="1"/>
    </xf>
    <xf borderId="0" fillId="0" fontId="6" numFmtId="172" xfId="0" applyAlignment="1" applyFont="1" applyNumberFormat="1">
      <alignment horizontal="center" shrinkToFit="0" vertical="bottom" wrapText="0"/>
    </xf>
    <xf borderId="15" fillId="5" fontId="6" numFmtId="172" xfId="0" applyAlignment="1" applyBorder="1" applyFont="1" applyNumberFormat="1">
      <alignment horizontal="center" shrinkToFit="0" vertical="center" wrapText="1"/>
    </xf>
    <xf borderId="0" fillId="0" fontId="19" numFmtId="0" xfId="0" applyAlignment="1" applyFont="1">
      <alignment shrinkToFit="0" vertical="center" wrapText="0"/>
    </xf>
    <xf borderId="7" fillId="0" fontId="25" numFmtId="0" xfId="0" applyAlignment="1" applyBorder="1" applyFont="1">
      <alignment readingOrder="0" shrinkToFit="0" vertical="center" wrapText="1"/>
    </xf>
    <xf borderId="7" fillId="0" fontId="27" numFmtId="172" xfId="0" applyAlignment="1" applyBorder="1" applyFont="1" applyNumberFormat="1">
      <alignment horizontal="center" shrinkToFit="0" vertical="bottom" wrapText="0"/>
    </xf>
    <xf borderId="15" fillId="5" fontId="25" numFmtId="172" xfId="0" applyAlignment="1" applyBorder="1" applyFont="1" applyNumberFormat="1">
      <alignment horizontal="center" shrinkToFit="0" vertical="center" wrapText="1"/>
    </xf>
    <xf borderId="1" fillId="0" fontId="27" numFmtId="172" xfId="0" applyAlignment="1" applyBorder="1" applyFont="1" applyNumberFormat="1">
      <alignment horizontal="right" shrinkToFit="0" vertical="center" wrapText="0"/>
    </xf>
    <xf borderId="0" fillId="0" fontId="4" numFmtId="172" xfId="0" applyAlignment="1" applyFont="1" applyNumberFormat="1">
      <alignment horizontal="right" shrinkToFit="0" vertical="bottom" wrapText="0"/>
    </xf>
    <xf borderId="0" fillId="0" fontId="27" numFmtId="172" xfId="0" applyAlignment="1" applyFont="1" applyNumberFormat="1">
      <alignment horizontal="right" shrinkToFit="0" vertical="center" wrapText="0"/>
    </xf>
    <xf borderId="0" fillId="0" fontId="27" numFmtId="172" xfId="0" applyAlignment="1" applyFont="1" applyNumberFormat="1">
      <alignment horizontal="right" shrinkToFit="0" vertical="bottom" wrapText="0"/>
    </xf>
    <xf borderId="0" fillId="0" fontId="27" numFmtId="172" xfId="0" applyAlignment="1" applyFont="1" applyNumberFormat="1">
      <alignment horizontal="center" shrinkToFit="0" vertical="bottom" wrapText="0"/>
    </xf>
    <xf borderId="0" fillId="0" fontId="21" numFmtId="172" xfId="0" applyAlignment="1" applyFont="1" applyNumberFormat="1">
      <alignment horizontal="center" shrinkToFit="0" vertical="center" wrapText="0"/>
    </xf>
    <xf borderId="0" fillId="0" fontId="21" numFmtId="172" xfId="0" applyAlignment="1" applyFont="1" applyNumberFormat="1">
      <alignment horizontal="right" shrinkToFit="0" vertical="bottom" wrapText="0"/>
    </xf>
    <xf borderId="7" fillId="10" fontId="22" numFmtId="0" xfId="0" applyAlignment="1" applyBorder="1" applyFill="1" applyFont="1">
      <alignment horizontal="center" shrinkToFit="0" vertical="center" wrapText="0"/>
    </xf>
    <xf borderId="1" fillId="10" fontId="22" numFmtId="0" xfId="0" applyAlignment="1" applyBorder="1" applyFont="1">
      <alignment horizontal="center" shrinkToFit="0" vertical="center" wrapText="0"/>
    </xf>
    <xf borderId="1" fillId="10" fontId="22" numFmtId="0" xfId="0" applyAlignment="1" applyBorder="1" applyFont="1">
      <alignment horizontal="center" shrinkToFit="0" vertical="center" wrapText="1"/>
    </xf>
    <xf borderId="7" fillId="0" fontId="6" numFmtId="4" xfId="0" applyAlignment="1" applyBorder="1" applyFont="1" applyNumberFormat="1">
      <alignment shrinkToFit="0" vertical="center" wrapText="0"/>
    </xf>
    <xf borderId="1" fillId="0" fontId="6" numFmtId="4" xfId="0" applyAlignment="1" applyBorder="1" applyFont="1" applyNumberFormat="1">
      <alignment horizontal="center" shrinkToFit="0" vertical="center" wrapText="0"/>
    </xf>
    <xf borderId="1" fillId="0" fontId="6" numFmtId="169" xfId="0" applyAlignment="1" applyBorder="1" applyFont="1" applyNumberFormat="1">
      <alignment horizontal="center" shrinkToFit="0" vertical="center" wrapText="0"/>
    </xf>
    <xf borderId="0" fillId="0" fontId="4" numFmtId="4" xfId="0" applyAlignment="1" applyFont="1" applyNumberFormat="1">
      <alignment shrinkToFit="0" vertical="center" wrapText="0"/>
    </xf>
    <xf borderId="0" fillId="0" fontId="22" numFmtId="4" xfId="0" applyAlignment="1" applyFont="1" applyNumberFormat="1">
      <alignment horizontal="right" shrinkToFit="0" vertical="center" wrapText="0"/>
    </xf>
    <xf borderId="0" fillId="0" fontId="6" numFmtId="169" xfId="0" applyAlignment="1" applyFont="1" applyNumberFormat="1">
      <alignment horizontal="right" shrinkToFit="0" vertical="center" wrapText="0"/>
    </xf>
    <xf borderId="31" fillId="10" fontId="22" numFmtId="0" xfId="0" applyAlignment="1" applyBorder="1" applyFont="1">
      <alignment horizontal="center" shrinkToFit="0" vertical="center" wrapText="1"/>
    </xf>
    <xf borderId="33" fillId="10" fontId="12" numFmtId="171" xfId="0" applyAlignment="1" applyBorder="1" applyFont="1" applyNumberFormat="1">
      <alignment shrinkToFit="0" vertical="center" wrapText="0"/>
    </xf>
    <xf borderId="0" fillId="0" fontId="24" numFmtId="0" xfId="0" applyAlignment="1" applyFont="1">
      <alignment horizontal="center" shrinkToFit="0" vertical="center" wrapText="0"/>
    </xf>
    <xf borderId="0" fillId="0" fontId="24" numFmtId="0" xfId="0" applyAlignment="1" applyFont="1">
      <alignment shrinkToFit="0" vertical="bottom" wrapText="1"/>
    </xf>
    <xf borderId="0" fillId="0" fontId="24" numFmtId="0" xfId="0" applyAlignment="1" applyFont="1">
      <alignment horizontal="center" shrinkToFit="0" vertical="bottom" wrapText="0"/>
    </xf>
    <xf borderId="12" fillId="11" fontId="13" numFmtId="0" xfId="0" applyAlignment="1" applyBorder="1" applyFill="1" applyFont="1">
      <alignment horizontal="center" shrinkToFit="0" vertical="center" wrapText="1"/>
    </xf>
    <xf borderId="36" fillId="11" fontId="13" numFmtId="0" xfId="0" applyAlignment="1" applyBorder="1" applyFont="1">
      <alignment horizontal="center" shrinkToFit="0" vertical="center" wrapText="1"/>
    </xf>
    <xf borderId="37" fillId="11" fontId="13" numFmtId="0" xfId="0" applyAlignment="1" applyBorder="1" applyFont="1">
      <alignment horizontal="center" shrinkToFit="0" vertical="center" wrapText="1"/>
    </xf>
    <xf borderId="13" fillId="11" fontId="13" numFmtId="0" xfId="0" applyAlignment="1" applyBorder="1" applyFont="1">
      <alignment horizontal="center" shrinkToFit="0" vertical="center" wrapText="1"/>
    </xf>
    <xf borderId="13" fillId="11" fontId="4" numFmtId="0" xfId="0" applyAlignment="1" applyBorder="1" applyFont="1">
      <alignment horizontal="center" shrinkToFit="0" wrapText="1"/>
    </xf>
    <xf borderId="38" fillId="0" fontId="2" numFmtId="0" xfId="0" applyBorder="1" applyFont="1"/>
    <xf borderId="39" fillId="11" fontId="13" numFmtId="0" xfId="0" applyAlignment="1" applyBorder="1" applyFont="1">
      <alignment horizontal="center" shrinkToFit="0" vertical="center" wrapText="1"/>
    </xf>
    <xf borderId="8" fillId="11" fontId="13" numFmtId="0" xfId="0" applyAlignment="1" applyBorder="1" applyFont="1">
      <alignment horizontal="center" shrinkToFit="0" vertical="center" wrapText="1"/>
    </xf>
    <xf borderId="8" fillId="11" fontId="28" numFmtId="0" xfId="0" applyBorder="1" applyFont="1"/>
    <xf borderId="7" fillId="5" fontId="25" numFmtId="0" xfId="0" applyAlignment="1" applyBorder="1" applyFont="1">
      <alignment horizontal="center" shrinkToFit="0" vertical="center" wrapText="1"/>
    </xf>
    <xf borderId="7" fillId="5" fontId="13" numFmtId="0" xfId="0" applyAlignment="1" applyBorder="1" applyFont="1">
      <alignment horizontal="center" shrinkToFit="0" vertical="center" wrapText="1"/>
    </xf>
    <xf borderId="7" fillId="5" fontId="13" numFmtId="172" xfId="0" applyAlignment="1" applyBorder="1" applyFont="1" applyNumberFormat="1">
      <alignment horizontal="center" readingOrder="0" shrinkToFit="0" vertical="center" wrapText="1"/>
    </xf>
    <xf borderId="8" fillId="5" fontId="25" numFmtId="172" xfId="0" applyAlignment="1" applyBorder="1" applyFont="1" applyNumberFormat="1">
      <alignment horizontal="center" shrinkToFit="0" vertical="center" wrapText="1"/>
    </xf>
    <xf borderId="8" fillId="5" fontId="13" numFmtId="172" xfId="0" applyAlignment="1" applyBorder="1" applyFont="1" applyNumberFormat="1">
      <alignment horizontal="center" shrinkToFit="0" vertical="center" wrapText="1"/>
    </xf>
    <xf borderId="8" fillId="5" fontId="4" numFmtId="172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3571875" cy="7620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5.25"/>
    <col customWidth="1" min="2" max="2" width="11.13"/>
    <col customWidth="1" min="3" max="3" width="23.75"/>
    <col customWidth="1" min="4" max="4" width="10.13"/>
    <col customWidth="1" min="5" max="5" width="12.38"/>
    <col customWidth="1" min="6" max="6" width="11.25"/>
    <col customWidth="1" min="7" max="7" width="9.88"/>
    <col customWidth="1" min="8" max="8" width="12.38"/>
    <col customWidth="1" min="9" max="9" width="12.13"/>
  </cols>
  <sheetData>
    <row r="1" ht="52.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3.25" customHeight="1">
      <c r="A2" s="4" t="s">
        <v>1</v>
      </c>
      <c r="B2" s="2"/>
      <c r="C2" s="2"/>
      <c r="D2" s="2"/>
      <c r="E2" s="2"/>
      <c r="F2" s="2"/>
      <c r="G2" s="2"/>
      <c r="H2" s="2"/>
      <c r="I2" s="3"/>
    </row>
    <row r="3" ht="15.75" customHeight="1">
      <c r="A3" s="5" t="s">
        <v>2</v>
      </c>
      <c r="B3" s="6"/>
      <c r="C3" s="6"/>
      <c r="D3" s="6"/>
      <c r="E3" s="7"/>
      <c r="F3" s="8" t="s">
        <v>3</v>
      </c>
      <c r="G3" s="6"/>
      <c r="H3" s="6"/>
      <c r="I3" s="7"/>
    </row>
    <row r="4" ht="15.75" customHeight="1">
      <c r="A4" s="9" t="s">
        <v>4</v>
      </c>
      <c r="B4" s="2"/>
      <c r="C4" s="2"/>
      <c r="D4" s="2"/>
      <c r="E4" s="3"/>
      <c r="F4" s="10" t="s">
        <v>5</v>
      </c>
      <c r="G4" s="2"/>
      <c r="H4" s="2"/>
      <c r="I4" s="3"/>
    </row>
    <row r="5" ht="15.75" customHeight="1">
      <c r="A5" s="9" t="s">
        <v>6</v>
      </c>
      <c r="B5" s="2"/>
      <c r="C5" s="2"/>
      <c r="D5" s="2"/>
      <c r="E5" s="2"/>
      <c r="F5" s="2"/>
      <c r="G5" s="2"/>
      <c r="H5" s="2"/>
      <c r="I5" s="3"/>
    </row>
    <row r="6" ht="20.25" customHeight="1">
      <c r="A6" s="11" t="s">
        <v>7</v>
      </c>
      <c r="B6" s="2"/>
      <c r="C6" s="2"/>
      <c r="D6" s="2"/>
      <c r="E6" s="2"/>
      <c r="F6" s="2"/>
      <c r="G6" s="2"/>
      <c r="H6" s="2"/>
      <c r="I6" s="3"/>
    </row>
    <row r="7" ht="15.75" customHeight="1">
      <c r="A7" s="12" t="s">
        <v>8</v>
      </c>
      <c r="B7" s="9" t="s">
        <v>9</v>
      </c>
      <c r="C7" s="2"/>
      <c r="D7" s="2"/>
      <c r="E7" s="2"/>
      <c r="F7" s="2"/>
      <c r="G7" s="3"/>
      <c r="H7" s="13" t="s">
        <v>10</v>
      </c>
      <c r="I7" s="3"/>
    </row>
    <row r="8" ht="15.75" customHeight="1">
      <c r="A8" s="12" t="s">
        <v>11</v>
      </c>
      <c r="B8" s="9" t="s">
        <v>12</v>
      </c>
      <c r="C8" s="2"/>
      <c r="D8" s="2"/>
      <c r="E8" s="2"/>
      <c r="F8" s="2"/>
      <c r="G8" s="3"/>
      <c r="H8" s="10" t="s">
        <v>13</v>
      </c>
      <c r="I8" s="3"/>
    </row>
    <row r="9" ht="39.75" customHeight="1">
      <c r="A9" s="12" t="s">
        <v>14</v>
      </c>
      <c r="B9" s="9" t="s">
        <v>15</v>
      </c>
      <c r="C9" s="2"/>
      <c r="D9" s="2"/>
      <c r="E9" s="2"/>
      <c r="F9" s="2"/>
      <c r="G9" s="3"/>
      <c r="H9" s="10" t="s">
        <v>16</v>
      </c>
      <c r="I9" s="3"/>
    </row>
    <row r="10" ht="37.5" customHeight="1">
      <c r="A10" s="12" t="s">
        <v>17</v>
      </c>
      <c r="B10" s="9" t="s">
        <v>18</v>
      </c>
      <c r="C10" s="2"/>
      <c r="D10" s="2"/>
      <c r="E10" s="2"/>
      <c r="F10" s="2"/>
      <c r="G10" s="3"/>
      <c r="H10" s="10">
        <v>12.0</v>
      </c>
      <c r="I10" s="3"/>
    </row>
    <row r="11" ht="25.5" customHeight="1">
      <c r="A11" s="14" t="s">
        <v>19</v>
      </c>
      <c r="B11" s="2"/>
      <c r="C11" s="2"/>
      <c r="D11" s="2"/>
      <c r="E11" s="2"/>
      <c r="F11" s="2"/>
      <c r="G11" s="2"/>
      <c r="H11" s="2"/>
      <c r="I11" s="3"/>
    </row>
    <row r="12" ht="43.5" customHeight="1">
      <c r="A12" s="15" t="s">
        <v>20</v>
      </c>
      <c r="B12" s="2"/>
      <c r="C12" s="2"/>
      <c r="D12" s="2"/>
      <c r="E12" s="2"/>
      <c r="F12" s="15" t="s">
        <v>21</v>
      </c>
      <c r="G12" s="3"/>
      <c r="H12" s="15" t="s">
        <v>22</v>
      </c>
      <c r="I12" s="3"/>
    </row>
    <row r="13" ht="12.75" customHeight="1">
      <c r="A13" s="16" t="s">
        <v>23</v>
      </c>
      <c r="B13" s="2"/>
      <c r="C13" s="2"/>
      <c r="D13" s="2"/>
      <c r="E13" s="3"/>
      <c r="F13" s="17" t="s">
        <v>24</v>
      </c>
      <c r="G13" s="3"/>
      <c r="H13" s="18">
        <f>'CÁLCULO DO Nº DE SERVENTES'!D2</f>
        <v>0</v>
      </c>
      <c r="I13" s="3"/>
    </row>
    <row r="14" ht="12.75" customHeight="1">
      <c r="A14" s="16" t="s">
        <v>25</v>
      </c>
      <c r="B14" s="2"/>
      <c r="C14" s="2"/>
      <c r="D14" s="2"/>
      <c r="E14" s="3"/>
      <c r="F14" s="17" t="s">
        <v>24</v>
      </c>
      <c r="G14" s="3"/>
      <c r="H14" s="18">
        <f>'CÁLCULO DO Nº DE SERVENTES'!D3</f>
        <v>1477.96</v>
      </c>
      <c r="I14" s="3"/>
    </row>
    <row r="15" ht="12.75" customHeight="1">
      <c r="A15" s="16" t="s">
        <v>26</v>
      </c>
      <c r="B15" s="2"/>
      <c r="C15" s="2"/>
      <c r="D15" s="2"/>
      <c r="E15" s="3"/>
      <c r="F15" s="17" t="s">
        <v>24</v>
      </c>
      <c r="G15" s="3"/>
      <c r="H15" s="18">
        <f>'CÁLCULO DO Nº DE SERVENTES'!D4</f>
        <v>0</v>
      </c>
      <c r="I15" s="3"/>
    </row>
    <row r="16" ht="12.75" customHeight="1">
      <c r="A16" s="16" t="s">
        <v>27</v>
      </c>
      <c r="B16" s="2"/>
      <c r="C16" s="2"/>
      <c r="D16" s="2"/>
      <c r="E16" s="3"/>
      <c r="F16" s="17" t="s">
        <v>24</v>
      </c>
      <c r="G16" s="3"/>
      <c r="H16" s="18">
        <f>'CÁLCULO DO Nº DE SERVENTES'!D5</f>
        <v>140.7</v>
      </c>
      <c r="I16" s="3"/>
    </row>
    <row r="17" ht="12.75" customHeight="1">
      <c r="A17" s="16" t="s">
        <v>28</v>
      </c>
      <c r="B17" s="2"/>
      <c r="C17" s="2"/>
      <c r="D17" s="2"/>
      <c r="E17" s="3"/>
      <c r="F17" s="17" t="s">
        <v>24</v>
      </c>
      <c r="G17" s="3"/>
      <c r="H17" s="18">
        <f>'CÁLCULO DO Nº DE SERVENTES'!D6</f>
        <v>0</v>
      </c>
      <c r="I17" s="3"/>
    </row>
    <row r="18" ht="12.75" customHeight="1">
      <c r="A18" s="16" t="s">
        <v>29</v>
      </c>
      <c r="B18" s="2"/>
      <c r="C18" s="2"/>
      <c r="D18" s="2"/>
      <c r="E18" s="3"/>
      <c r="F18" s="17" t="s">
        <v>24</v>
      </c>
      <c r="G18" s="3"/>
      <c r="H18" s="18">
        <f>'CÁLCULO DO Nº DE SERVENTES'!D7</f>
        <v>315.73</v>
      </c>
      <c r="I18" s="3"/>
    </row>
    <row r="19" ht="21.75" customHeight="1">
      <c r="A19" s="19" t="s">
        <v>30</v>
      </c>
      <c r="B19" s="2"/>
      <c r="C19" s="2"/>
      <c r="D19" s="2"/>
      <c r="E19" s="3"/>
      <c r="F19" s="17" t="s">
        <v>24</v>
      </c>
      <c r="G19" s="3"/>
      <c r="H19" s="18">
        <f>'CÁLCULO DO Nº DE SERVENTES'!D8</f>
        <v>92.41</v>
      </c>
      <c r="I19" s="3"/>
    </row>
    <row r="20" ht="12.75" customHeight="1">
      <c r="A20" s="20" t="s">
        <v>31</v>
      </c>
      <c r="B20" s="2"/>
      <c r="C20" s="2"/>
      <c r="D20" s="2"/>
      <c r="E20" s="2"/>
      <c r="F20" s="2"/>
      <c r="G20" s="3"/>
      <c r="H20" s="21">
        <f>ROUND(H13+H14+H15+H16+H17+H18+H19,2)</f>
        <v>2026.8</v>
      </c>
      <c r="I20" s="3"/>
    </row>
    <row r="21" ht="8.25" customHeight="1">
      <c r="A21" s="22"/>
      <c r="B21" s="2"/>
      <c r="C21" s="2"/>
      <c r="D21" s="2"/>
      <c r="E21" s="2"/>
      <c r="F21" s="2"/>
      <c r="G21" s="2"/>
      <c r="H21" s="2"/>
      <c r="I21" s="3"/>
    </row>
    <row r="22" ht="23.25" customHeight="1">
      <c r="A22" s="16" t="s">
        <v>32</v>
      </c>
      <c r="B22" s="2"/>
      <c r="C22" s="2"/>
      <c r="D22" s="2"/>
      <c r="E22" s="3"/>
      <c r="F22" s="17" t="s">
        <v>24</v>
      </c>
      <c r="G22" s="3"/>
      <c r="H22" s="23">
        <f>'CÁLCULO DO Nº DE SERVENTES'!D9</f>
        <v>105</v>
      </c>
      <c r="I22" s="3"/>
    </row>
    <row r="23" ht="23.25" customHeight="1">
      <c r="A23" s="16" t="s">
        <v>33</v>
      </c>
      <c r="B23" s="2"/>
      <c r="C23" s="2"/>
      <c r="D23" s="2"/>
      <c r="E23" s="3"/>
      <c r="F23" s="17" t="s">
        <v>24</v>
      </c>
      <c r="G23" s="3"/>
      <c r="H23" s="23">
        <f>'CÁLCULO DO Nº DE SERVENTES'!D10</f>
        <v>1150</v>
      </c>
      <c r="I23" s="3"/>
    </row>
    <row r="24" ht="23.25" customHeight="1">
      <c r="A24" s="16" t="s">
        <v>34</v>
      </c>
      <c r="B24" s="2"/>
      <c r="C24" s="2"/>
      <c r="D24" s="2"/>
      <c r="E24" s="3"/>
      <c r="F24" s="17" t="s">
        <v>24</v>
      </c>
      <c r="G24" s="3"/>
      <c r="H24" s="23">
        <f>'CÁLCULO DO Nº DE SERVENTES'!D11</f>
        <v>0</v>
      </c>
      <c r="I24" s="3"/>
    </row>
    <row r="25" ht="23.25" customHeight="1">
      <c r="A25" s="16" t="s">
        <v>35</v>
      </c>
      <c r="B25" s="2"/>
      <c r="C25" s="2"/>
      <c r="D25" s="2"/>
      <c r="E25" s="3"/>
      <c r="F25" s="17" t="s">
        <v>24</v>
      </c>
      <c r="G25" s="3"/>
      <c r="H25" s="23">
        <f>'CÁLCULO DO Nº DE SERVENTES'!D12</f>
        <v>0</v>
      </c>
      <c r="I25" s="3"/>
    </row>
    <row r="26" ht="23.25" customHeight="1">
      <c r="A26" s="16" t="s">
        <v>36</v>
      </c>
      <c r="B26" s="2"/>
      <c r="C26" s="2"/>
      <c r="D26" s="2"/>
      <c r="E26" s="3"/>
      <c r="F26" s="17" t="s">
        <v>24</v>
      </c>
      <c r="G26" s="3"/>
      <c r="H26" s="23">
        <f>'CÁLCULO DO Nº DE SERVENTES'!D13</f>
        <v>18.58</v>
      </c>
      <c r="I26" s="3"/>
    </row>
    <row r="27" ht="23.25" customHeight="1">
      <c r="A27" s="16" t="s">
        <v>37</v>
      </c>
      <c r="B27" s="2"/>
      <c r="C27" s="2"/>
      <c r="D27" s="2"/>
      <c r="E27" s="3"/>
      <c r="F27" s="17" t="s">
        <v>24</v>
      </c>
      <c r="G27" s="3"/>
      <c r="H27" s="23">
        <f>'CÁLCULO DO Nº DE SERVENTES'!D14</f>
        <v>0</v>
      </c>
      <c r="I27" s="3"/>
    </row>
    <row r="28" ht="15.0" customHeight="1">
      <c r="A28" s="20" t="s">
        <v>38</v>
      </c>
      <c r="B28" s="2"/>
      <c r="C28" s="2"/>
      <c r="D28" s="2"/>
      <c r="E28" s="2"/>
      <c r="F28" s="2"/>
      <c r="G28" s="3"/>
      <c r="H28" s="21">
        <f>ROUND(SUM(H22:I27),2)</f>
        <v>1273.58</v>
      </c>
      <c r="I28" s="3"/>
    </row>
    <row r="29" ht="7.5" customHeight="1">
      <c r="A29" s="22"/>
      <c r="B29" s="2"/>
      <c r="C29" s="2"/>
      <c r="D29" s="2"/>
      <c r="E29" s="2"/>
      <c r="F29" s="2"/>
      <c r="G29" s="2"/>
      <c r="H29" s="2"/>
      <c r="I29" s="3"/>
    </row>
    <row r="30" ht="27.0" customHeight="1">
      <c r="A30" s="16" t="s">
        <v>39</v>
      </c>
      <c r="B30" s="2"/>
      <c r="C30" s="2"/>
      <c r="D30" s="2"/>
      <c r="E30" s="3"/>
      <c r="F30" s="17" t="s">
        <v>24</v>
      </c>
      <c r="G30" s="3"/>
      <c r="H30" s="23">
        <f>'CÁLCULO DO Nº DE SERVENTES'!D15</f>
        <v>0</v>
      </c>
      <c r="I30" s="3"/>
    </row>
    <row r="31" ht="25.5" customHeight="1">
      <c r="A31" s="16" t="s">
        <v>40</v>
      </c>
      <c r="B31" s="2"/>
      <c r="C31" s="2"/>
      <c r="D31" s="2"/>
      <c r="E31" s="3"/>
      <c r="F31" s="17" t="s">
        <v>24</v>
      </c>
      <c r="G31" s="3"/>
      <c r="H31" s="23">
        <f>'CÁLCULO DO Nº DE SERVENTES'!D16</f>
        <v>80</v>
      </c>
      <c r="I31" s="3"/>
    </row>
    <row r="32" ht="12.75" customHeight="1">
      <c r="A32" s="16" t="s">
        <v>41</v>
      </c>
      <c r="B32" s="2"/>
      <c r="C32" s="2"/>
      <c r="D32" s="2"/>
      <c r="E32" s="3"/>
      <c r="F32" s="17" t="s">
        <v>24</v>
      </c>
      <c r="G32" s="3"/>
      <c r="H32" s="23">
        <f>'CÁLCULO DO Nº DE SERVENTES'!D17</f>
        <v>659</v>
      </c>
      <c r="I32" s="3"/>
    </row>
    <row r="33" ht="12.75" customHeight="1">
      <c r="A33" s="24" t="s">
        <v>42</v>
      </c>
      <c r="B33" s="2"/>
      <c r="C33" s="2"/>
      <c r="D33" s="2"/>
      <c r="E33" s="2"/>
      <c r="F33" s="2"/>
      <c r="G33" s="3"/>
      <c r="H33" s="25">
        <f>ROUND(H30+H31+H32,2)</f>
        <v>739</v>
      </c>
      <c r="I33" s="3"/>
    </row>
    <row r="34" ht="7.5" customHeight="1">
      <c r="A34" s="17"/>
      <c r="B34" s="2"/>
      <c r="C34" s="2"/>
      <c r="D34" s="2"/>
      <c r="E34" s="2"/>
      <c r="F34" s="2"/>
      <c r="G34" s="2"/>
      <c r="H34" s="2"/>
      <c r="I34" s="3"/>
    </row>
    <row r="35" ht="18.0" customHeight="1">
      <c r="A35" s="16" t="s">
        <v>43</v>
      </c>
      <c r="B35" s="2"/>
      <c r="C35" s="2"/>
      <c r="D35" s="2"/>
      <c r="E35" s="3"/>
      <c r="F35" s="17" t="s">
        <v>24</v>
      </c>
      <c r="G35" s="3"/>
      <c r="H35" s="23">
        <f>'CÁLCULO DO Nº DE SERVENTES'!D18</f>
        <v>0</v>
      </c>
      <c r="I35" s="3"/>
    </row>
    <row r="36" ht="12.75" customHeight="1">
      <c r="A36" s="20" t="s">
        <v>44</v>
      </c>
      <c r="B36" s="2"/>
      <c r="C36" s="2"/>
      <c r="D36" s="2"/>
      <c r="E36" s="2"/>
      <c r="F36" s="2"/>
      <c r="G36" s="3"/>
      <c r="H36" s="26">
        <f>ROUND(H20+H28+H33+H35,2)</f>
        <v>4039.38</v>
      </c>
      <c r="I36" s="3"/>
    </row>
    <row r="37" ht="7.5" customHeight="1">
      <c r="A37" s="27"/>
      <c r="B37" s="2"/>
      <c r="C37" s="2"/>
      <c r="D37" s="2"/>
      <c r="E37" s="2"/>
      <c r="F37" s="2"/>
      <c r="G37" s="2"/>
      <c r="H37" s="2"/>
      <c r="I37" s="3"/>
    </row>
    <row r="38" ht="21.75" customHeight="1">
      <c r="A38" s="28" t="s">
        <v>45</v>
      </c>
      <c r="B38" s="2"/>
      <c r="C38" s="2"/>
      <c r="D38" s="2"/>
      <c r="E38" s="2"/>
      <c r="F38" s="2"/>
      <c r="G38" s="2"/>
      <c r="H38" s="2"/>
      <c r="I38" s="3"/>
    </row>
    <row r="39" ht="9.75" customHeight="1">
      <c r="A39" s="29"/>
      <c r="B39" s="2"/>
      <c r="C39" s="2"/>
      <c r="D39" s="2"/>
      <c r="E39" s="2"/>
      <c r="F39" s="2"/>
      <c r="G39" s="2"/>
      <c r="H39" s="2"/>
      <c r="I39" s="3"/>
    </row>
    <row r="40" ht="21.75" customHeight="1">
      <c r="A40" s="11" t="s">
        <v>46</v>
      </c>
      <c r="B40" s="2"/>
      <c r="C40" s="2"/>
      <c r="D40" s="2"/>
      <c r="E40" s="2"/>
      <c r="F40" s="2"/>
      <c r="G40" s="2"/>
      <c r="H40" s="2"/>
      <c r="I40" s="3"/>
    </row>
    <row r="41" ht="15.75" customHeight="1">
      <c r="A41" s="12">
        <v>1.0</v>
      </c>
      <c r="B41" s="9" t="s">
        <v>47</v>
      </c>
      <c r="C41" s="2"/>
      <c r="D41" s="2"/>
      <c r="E41" s="2"/>
      <c r="F41" s="2"/>
      <c r="G41" s="3"/>
      <c r="H41" s="30" t="s">
        <v>48</v>
      </c>
      <c r="I41" s="3"/>
    </row>
    <row r="42" ht="15.75" customHeight="1">
      <c r="A42" s="12">
        <v>2.0</v>
      </c>
      <c r="B42" s="9" t="s">
        <v>49</v>
      </c>
      <c r="C42" s="2"/>
      <c r="D42" s="2"/>
      <c r="E42" s="2"/>
      <c r="F42" s="2"/>
      <c r="G42" s="3"/>
      <c r="H42" s="31" t="s">
        <v>50</v>
      </c>
      <c r="I42" s="3"/>
    </row>
    <row r="43" ht="15.75" customHeight="1">
      <c r="A43" s="12">
        <v>3.0</v>
      </c>
      <c r="B43" s="9" t="s">
        <v>51</v>
      </c>
      <c r="C43" s="2"/>
      <c r="D43" s="2"/>
      <c r="E43" s="2"/>
      <c r="F43" s="2"/>
      <c r="G43" s="3"/>
      <c r="H43" s="30">
        <v>1653.58</v>
      </c>
      <c r="I43" s="3"/>
    </row>
    <row r="44" ht="15.75" customHeight="1">
      <c r="A44" s="12">
        <v>4.0</v>
      </c>
      <c r="B44" s="9" t="s">
        <v>52</v>
      </c>
      <c r="C44" s="2"/>
      <c r="D44" s="2"/>
      <c r="E44" s="2"/>
      <c r="F44" s="2"/>
      <c r="G44" s="3"/>
      <c r="H44" s="32" t="s">
        <v>53</v>
      </c>
      <c r="I44" s="3"/>
    </row>
    <row r="45" ht="15.75" customHeight="1">
      <c r="A45" s="12">
        <v>5.0</v>
      </c>
      <c r="B45" s="9" t="s">
        <v>54</v>
      </c>
      <c r="C45" s="2"/>
      <c r="D45" s="2"/>
      <c r="E45" s="2"/>
      <c r="F45" s="2"/>
      <c r="G45" s="3"/>
      <c r="H45" s="33" t="s">
        <v>55</v>
      </c>
      <c r="I45" s="3"/>
    </row>
    <row r="46" ht="9.0" customHeight="1">
      <c r="A46" s="34"/>
      <c r="B46" s="2"/>
      <c r="C46" s="2"/>
      <c r="D46" s="2"/>
      <c r="E46" s="2"/>
      <c r="F46" s="2"/>
      <c r="G46" s="2"/>
      <c r="H46" s="2"/>
      <c r="I46" s="3"/>
    </row>
    <row r="47" ht="22.5" customHeight="1">
      <c r="A47" s="35" t="s">
        <v>56</v>
      </c>
      <c r="B47" s="2"/>
      <c r="C47" s="2"/>
      <c r="D47" s="2"/>
      <c r="E47" s="2"/>
      <c r="F47" s="2"/>
      <c r="G47" s="2"/>
      <c r="H47" s="2"/>
      <c r="I47" s="3"/>
    </row>
    <row r="48" ht="9.0" customHeight="1">
      <c r="A48" s="36"/>
      <c r="B48" s="2"/>
      <c r="C48" s="2"/>
      <c r="D48" s="2"/>
      <c r="E48" s="2"/>
      <c r="F48" s="2"/>
      <c r="G48" s="2"/>
      <c r="H48" s="2"/>
      <c r="I48" s="3"/>
    </row>
    <row r="49" ht="22.5" customHeight="1">
      <c r="A49" s="9" t="s">
        <v>57</v>
      </c>
      <c r="B49" s="2"/>
      <c r="C49" s="2"/>
      <c r="D49" s="2"/>
      <c r="E49" s="2"/>
      <c r="F49" s="2"/>
      <c r="G49" s="2"/>
      <c r="H49" s="2"/>
      <c r="I49" s="3"/>
    </row>
    <row r="50" ht="30.0" customHeight="1">
      <c r="A50" s="37">
        <v>1.0</v>
      </c>
      <c r="B50" s="15" t="s">
        <v>58</v>
      </c>
      <c r="C50" s="2"/>
      <c r="D50" s="2"/>
      <c r="E50" s="2"/>
      <c r="F50" s="2"/>
      <c r="G50" s="3"/>
      <c r="H50" s="37" t="s">
        <v>59</v>
      </c>
      <c r="I50" s="37" t="s">
        <v>60</v>
      </c>
    </row>
    <row r="51" ht="24.0" customHeight="1">
      <c r="A51" s="12" t="s">
        <v>8</v>
      </c>
      <c r="B51" s="9" t="s">
        <v>61</v>
      </c>
      <c r="C51" s="2"/>
      <c r="D51" s="2"/>
      <c r="E51" s="2"/>
      <c r="F51" s="2"/>
      <c r="G51" s="2"/>
      <c r="H51" s="3"/>
      <c r="I51" s="38">
        <v>1653.58</v>
      </c>
    </row>
    <row r="52" ht="18.75" customHeight="1">
      <c r="A52" s="12" t="s">
        <v>11</v>
      </c>
      <c r="B52" s="39" t="s">
        <v>62</v>
      </c>
      <c r="C52" s="2"/>
      <c r="D52" s="2"/>
      <c r="E52" s="2"/>
      <c r="F52" s="2"/>
      <c r="G52" s="3"/>
      <c r="H52" s="40">
        <v>0.4</v>
      </c>
      <c r="I52" s="38">
        <f>ROUND(H52*I51,2)</f>
        <v>661.43</v>
      </c>
    </row>
    <row r="53" ht="15.75" customHeight="1">
      <c r="A53" s="41" t="s">
        <v>63</v>
      </c>
      <c r="B53" s="2"/>
      <c r="C53" s="2"/>
      <c r="D53" s="2"/>
      <c r="E53" s="2"/>
      <c r="F53" s="2"/>
      <c r="G53" s="2"/>
      <c r="H53" s="3"/>
      <c r="I53" s="42">
        <f>SUM(I51:I52)</f>
        <v>2315.01</v>
      </c>
    </row>
    <row r="54" ht="9.75" customHeight="1">
      <c r="A54" s="43"/>
      <c r="B54" s="2"/>
      <c r="C54" s="2"/>
      <c r="D54" s="2"/>
      <c r="E54" s="2"/>
      <c r="F54" s="2"/>
      <c r="G54" s="2"/>
      <c r="H54" s="2"/>
      <c r="I54" s="3"/>
    </row>
    <row r="55" ht="20.25" customHeight="1">
      <c r="A55" s="44" t="s">
        <v>64</v>
      </c>
      <c r="B55" s="2"/>
      <c r="C55" s="2"/>
      <c r="D55" s="2"/>
      <c r="E55" s="2"/>
      <c r="F55" s="2"/>
      <c r="G55" s="2"/>
      <c r="H55" s="2"/>
      <c r="I55" s="3"/>
    </row>
    <row r="56" ht="10.5" customHeight="1">
      <c r="A56" s="45"/>
      <c r="B56" s="2"/>
      <c r="C56" s="2"/>
      <c r="D56" s="2"/>
      <c r="E56" s="2"/>
      <c r="F56" s="2"/>
      <c r="G56" s="2"/>
      <c r="H56" s="2"/>
      <c r="I56" s="3"/>
    </row>
    <row r="57" ht="21.75" customHeight="1">
      <c r="A57" s="46" t="s">
        <v>65</v>
      </c>
      <c r="B57" s="2"/>
      <c r="C57" s="2"/>
      <c r="D57" s="2"/>
      <c r="E57" s="2"/>
      <c r="F57" s="2"/>
      <c r="G57" s="2"/>
      <c r="H57" s="2"/>
      <c r="I57" s="3"/>
    </row>
    <row r="58" ht="25.5" customHeight="1">
      <c r="A58" s="47" t="s">
        <v>66</v>
      </c>
      <c r="B58" s="2"/>
      <c r="C58" s="2"/>
      <c r="D58" s="2"/>
      <c r="E58" s="2"/>
      <c r="F58" s="2"/>
      <c r="G58" s="2"/>
      <c r="H58" s="2"/>
      <c r="I58" s="3"/>
    </row>
    <row r="59" ht="25.5" customHeight="1">
      <c r="A59" s="48" t="s">
        <v>67</v>
      </c>
      <c r="B59" s="49" t="s">
        <v>68</v>
      </c>
      <c r="C59" s="2"/>
      <c r="D59" s="2"/>
      <c r="E59" s="2"/>
      <c r="F59" s="2"/>
      <c r="G59" s="2"/>
      <c r="H59" s="3"/>
      <c r="I59" s="12" t="s">
        <v>69</v>
      </c>
    </row>
    <row r="60" ht="28.5" customHeight="1">
      <c r="A60" s="48" t="s">
        <v>8</v>
      </c>
      <c r="B60" s="9" t="s">
        <v>70</v>
      </c>
      <c r="C60" s="2"/>
      <c r="D60" s="2"/>
      <c r="E60" s="2"/>
      <c r="F60" s="2"/>
      <c r="G60" s="3"/>
      <c r="H60" s="50">
        <v>0.0833</v>
      </c>
      <c r="I60" s="51">
        <f t="shared" ref="I60:I61" si="1">ROUND($I$53*H60,2)</f>
        <v>192.84</v>
      </c>
    </row>
    <row r="61" ht="47.25" customHeight="1">
      <c r="A61" s="52" t="s">
        <v>11</v>
      </c>
      <c r="B61" s="53" t="s">
        <v>71</v>
      </c>
      <c r="C61" s="2"/>
      <c r="D61" s="2"/>
      <c r="E61" s="2"/>
      <c r="F61" s="2"/>
      <c r="G61" s="3"/>
      <c r="H61" s="54">
        <v>0.121</v>
      </c>
      <c r="I61" s="55">
        <f t="shared" si="1"/>
        <v>280.12</v>
      </c>
    </row>
    <row r="62" ht="19.5" customHeight="1">
      <c r="A62" s="56" t="s">
        <v>72</v>
      </c>
      <c r="B62" s="2"/>
      <c r="C62" s="2"/>
      <c r="D62" s="2"/>
      <c r="E62" s="2"/>
      <c r="F62" s="2"/>
      <c r="G62" s="2"/>
      <c r="H62" s="3"/>
      <c r="I62" s="57">
        <f>SUM(I60+I61)</f>
        <v>472.96</v>
      </c>
    </row>
    <row r="63" ht="85.5" customHeight="1">
      <c r="A63" s="58" t="s">
        <v>73</v>
      </c>
      <c r="B63" s="2"/>
      <c r="C63" s="2"/>
      <c r="D63" s="2"/>
      <c r="E63" s="2"/>
      <c r="F63" s="2"/>
      <c r="G63" s="2"/>
      <c r="H63" s="2"/>
      <c r="I63" s="3"/>
    </row>
    <row r="64" ht="32.25" customHeight="1">
      <c r="A64" s="28" t="s">
        <v>74</v>
      </c>
      <c r="B64" s="2"/>
      <c r="C64" s="2"/>
      <c r="D64" s="2"/>
      <c r="E64" s="2"/>
      <c r="F64" s="2"/>
      <c r="G64" s="2"/>
      <c r="H64" s="2"/>
      <c r="I64" s="3"/>
    </row>
    <row r="65" ht="30.0" customHeight="1">
      <c r="A65" s="59" t="s">
        <v>75</v>
      </c>
      <c r="B65" s="15" t="s">
        <v>76</v>
      </c>
      <c r="C65" s="2"/>
      <c r="D65" s="2"/>
      <c r="E65" s="2"/>
      <c r="F65" s="2"/>
      <c r="G65" s="3"/>
      <c r="H65" s="60" t="s">
        <v>77</v>
      </c>
      <c r="I65" s="60" t="s">
        <v>78</v>
      </c>
    </row>
    <row r="66" ht="15.75" customHeight="1">
      <c r="A66" s="49" t="s">
        <v>8</v>
      </c>
      <c r="B66" s="9" t="s">
        <v>79</v>
      </c>
      <c r="C66" s="2"/>
      <c r="D66" s="2"/>
      <c r="E66" s="2"/>
      <c r="F66" s="2"/>
      <c r="G66" s="3"/>
      <c r="H66" s="61">
        <v>0.2</v>
      </c>
      <c r="I66" s="62">
        <f t="shared" ref="I66:I73" si="2">ROUND(($I$53+$I$62)*H66,2)</f>
        <v>557.59</v>
      </c>
    </row>
    <row r="67" ht="15.75" customHeight="1">
      <c r="A67" s="49" t="s">
        <v>11</v>
      </c>
      <c r="B67" s="9" t="s">
        <v>80</v>
      </c>
      <c r="C67" s="2"/>
      <c r="D67" s="2"/>
      <c r="E67" s="2"/>
      <c r="F67" s="2"/>
      <c r="G67" s="3"/>
      <c r="H67" s="61">
        <v>0.025</v>
      </c>
      <c r="I67" s="62">
        <f t="shared" si="2"/>
        <v>69.7</v>
      </c>
    </row>
    <row r="68" ht="57.75" customHeight="1">
      <c r="A68" s="49" t="s">
        <v>14</v>
      </c>
      <c r="B68" s="9" t="s">
        <v>81</v>
      </c>
      <c r="C68" s="3"/>
      <c r="D68" s="63" t="s">
        <v>82</v>
      </c>
      <c r="E68" s="64">
        <v>0.03</v>
      </c>
      <c r="F68" s="63" t="s">
        <v>83</v>
      </c>
      <c r="G68" s="65">
        <v>1.0</v>
      </c>
      <c r="H68" s="66">
        <f>ROUND((E68*G68),6)</f>
        <v>0.03</v>
      </c>
      <c r="I68" s="62">
        <f t="shared" si="2"/>
        <v>83.64</v>
      </c>
    </row>
    <row r="69" ht="15.75" customHeight="1">
      <c r="A69" s="49" t="s">
        <v>17</v>
      </c>
      <c r="B69" s="9" t="s">
        <v>84</v>
      </c>
      <c r="C69" s="2"/>
      <c r="D69" s="2"/>
      <c r="E69" s="2"/>
      <c r="F69" s="2"/>
      <c r="G69" s="3"/>
      <c r="H69" s="61">
        <v>0.015</v>
      </c>
      <c r="I69" s="62">
        <f t="shared" si="2"/>
        <v>41.82</v>
      </c>
    </row>
    <row r="70" ht="15.75" customHeight="1">
      <c r="A70" s="49" t="s">
        <v>85</v>
      </c>
      <c r="B70" s="9" t="s">
        <v>86</v>
      </c>
      <c r="C70" s="2"/>
      <c r="D70" s="2"/>
      <c r="E70" s="2"/>
      <c r="F70" s="2"/>
      <c r="G70" s="3"/>
      <c r="H70" s="61">
        <v>0.01</v>
      </c>
      <c r="I70" s="62">
        <f t="shared" si="2"/>
        <v>27.88</v>
      </c>
    </row>
    <row r="71" ht="15.75" customHeight="1">
      <c r="A71" s="49" t="s">
        <v>87</v>
      </c>
      <c r="B71" s="9" t="s">
        <v>88</v>
      </c>
      <c r="C71" s="2"/>
      <c r="D71" s="2"/>
      <c r="E71" s="2"/>
      <c r="F71" s="2"/>
      <c r="G71" s="3"/>
      <c r="H71" s="61">
        <v>0.006</v>
      </c>
      <c r="I71" s="62">
        <f t="shared" si="2"/>
        <v>16.73</v>
      </c>
    </row>
    <row r="72" ht="20.25" customHeight="1">
      <c r="A72" s="49" t="s">
        <v>89</v>
      </c>
      <c r="B72" s="9" t="s">
        <v>90</v>
      </c>
      <c r="C72" s="2"/>
      <c r="D72" s="2"/>
      <c r="E72" s="2"/>
      <c r="F72" s="2"/>
      <c r="G72" s="3"/>
      <c r="H72" s="61">
        <v>0.002</v>
      </c>
      <c r="I72" s="62">
        <f t="shared" si="2"/>
        <v>5.58</v>
      </c>
    </row>
    <row r="73" ht="15.75" customHeight="1">
      <c r="A73" s="49" t="s">
        <v>91</v>
      </c>
      <c r="B73" s="9" t="s">
        <v>92</v>
      </c>
      <c r="C73" s="2"/>
      <c r="D73" s="2"/>
      <c r="E73" s="2"/>
      <c r="F73" s="2"/>
      <c r="G73" s="3"/>
      <c r="H73" s="61">
        <v>0.08</v>
      </c>
      <c r="I73" s="62">
        <f t="shared" si="2"/>
        <v>223.04</v>
      </c>
    </row>
    <row r="74" ht="15.75" customHeight="1">
      <c r="A74" s="56" t="s">
        <v>72</v>
      </c>
      <c r="B74" s="2"/>
      <c r="C74" s="2"/>
      <c r="D74" s="2"/>
      <c r="E74" s="2"/>
      <c r="F74" s="2"/>
      <c r="G74" s="3"/>
      <c r="H74" s="67">
        <f t="shared" ref="H74:I74" si="3">SUM(H66:H73)</f>
        <v>0.368</v>
      </c>
      <c r="I74" s="68">
        <f t="shared" si="3"/>
        <v>1025.98</v>
      </c>
    </row>
    <row r="75" ht="8.25" customHeight="1">
      <c r="A75" s="69"/>
      <c r="B75" s="70"/>
      <c r="C75" s="70"/>
      <c r="D75" s="70"/>
      <c r="E75" s="70"/>
      <c r="F75" s="70"/>
      <c r="G75" s="70"/>
      <c r="H75" s="71"/>
      <c r="I75" s="72"/>
    </row>
    <row r="76" ht="35.25" customHeight="1">
      <c r="A76" s="35" t="s">
        <v>93</v>
      </c>
      <c r="B76" s="2"/>
      <c r="C76" s="2"/>
      <c r="D76" s="2"/>
      <c r="E76" s="2"/>
      <c r="F76" s="2"/>
      <c r="G76" s="2"/>
      <c r="H76" s="2"/>
      <c r="I76" s="3"/>
    </row>
    <row r="77" ht="7.5" customHeight="1">
      <c r="A77" s="27"/>
      <c r="B77" s="2"/>
      <c r="C77" s="2"/>
      <c r="D77" s="2"/>
      <c r="E77" s="2"/>
      <c r="F77" s="2"/>
      <c r="G77" s="2"/>
      <c r="H77" s="2"/>
      <c r="I77" s="3"/>
    </row>
    <row r="78" ht="18.0" customHeight="1">
      <c r="A78" s="46" t="s">
        <v>94</v>
      </c>
      <c r="B78" s="2"/>
      <c r="C78" s="2"/>
      <c r="D78" s="2"/>
      <c r="E78" s="2"/>
      <c r="F78" s="2"/>
      <c r="G78" s="2"/>
      <c r="H78" s="2"/>
      <c r="I78" s="3"/>
    </row>
    <row r="79" ht="18.75" customHeight="1">
      <c r="A79" s="73" t="s">
        <v>95</v>
      </c>
      <c r="B79" s="15" t="s">
        <v>96</v>
      </c>
      <c r="C79" s="2"/>
      <c r="D79" s="2"/>
      <c r="E79" s="2"/>
      <c r="F79" s="2"/>
      <c r="G79" s="2"/>
      <c r="H79" s="3"/>
      <c r="I79" s="60" t="s">
        <v>69</v>
      </c>
    </row>
    <row r="80" ht="15.75" customHeight="1">
      <c r="A80" s="48" t="s">
        <v>8</v>
      </c>
      <c r="B80" s="9" t="s">
        <v>97</v>
      </c>
      <c r="C80" s="2"/>
      <c r="D80" s="2"/>
      <c r="E80" s="2"/>
      <c r="F80" s="2"/>
      <c r="G80" s="2"/>
      <c r="H80" s="2"/>
      <c r="I80" s="62">
        <f>IF(ROUND((H83*H81*H82)-(I51*H84),2)&lt;0,0,ROUND((H83*H81*H82)-(I51*H84),2))</f>
        <v>191.19</v>
      </c>
    </row>
    <row r="81" ht="22.5" customHeight="1">
      <c r="A81" s="48"/>
      <c r="B81" s="9" t="s">
        <v>98</v>
      </c>
      <c r="C81" s="2"/>
      <c r="D81" s="2"/>
      <c r="E81" s="2"/>
      <c r="F81" s="2"/>
      <c r="G81" s="2"/>
      <c r="H81" s="74">
        <v>6.6</v>
      </c>
      <c r="I81" s="75" t="s">
        <v>99</v>
      </c>
    </row>
    <row r="82" ht="17.25" customHeight="1">
      <c r="A82" s="48"/>
      <c r="B82" s="9" t="s">
        <v>100</v>
      </c>
      <c r="C82" s="2"/>
      <c r="D82" s="2"/>
      <c r="E82" s="2"/>
      <c r="F82" s="2"/>
      <c r="G82" s="3"/>
      <c r="H82" s="76">
        <v>2.0</v>
      </c>
      <c r="I82" s="75"/>
    </row>
    <row r="83" ht="15.0" customHeight="1">
      <c r="A83" s="48"/>
      <c r="B83" s="9" t="s">
        <v>101</v>
      </c>
      <c r="C83" s="2"/>
      <c r="D83" s="2"/>
      <c r="E83" s="2"/>
      <c r="F83" s="2"/>
      <c r="G83" s="3"/>
      <c r="H83" s="77">
        <v>22.0</v>
      </c>
      <c r="I83" s="75"/>
    </row>
    <row r="84" ht="27.0" customHeight="1">
      <c r="A84" s="48"/>
      <c r="B84" s="78" t="s">
        <v>102</v>
      </c>
      <c r="H84" s="79">
        <v>0.06</v>
      </c>
      <c r="I84" s="80"/>
    </row>
    <row r="85" ht="15.75" customHeight="1">
      <c r="A85" s="48" t="s">
        <v>11</v>
      </c>
      <c r="B85" s="9" t="s">
        <v>103</v>
      </c>
      <c r="C85" s="2"/>
      <c r="D85" s="2"/>
      <c r="E85" s="2"/>
      <c r="F85" s="2"/>
      <c r="G85" s="2"/>
      <c r="H85" s="2"/>
      <c r="I85" s="62">
        <f>ROUND(H87*H86*(1-H88),2)</f>
        <v>452.98</v>
      </c>
    </row>
    <row r="86" ht="15.75" customHeight="1">
      <c r="A86" s="48"/>
      <c r="B86" s="9" t="s">
        <v>104</v>
      </c>
      <c r="C86" s="2"/>
      <c r="D86" s="2"/>
      <c r="E86" s="2"/>
      <c r="F86" s="2"/>
      <c r="G86" s="2"/>
      <c r="H86" s="81">
        <v>25.42</v>
      </c>
      <c r="I86" s="75" t="s">
        <v>99</v>
      </c>
    </row>
    <row r="87" ht="15.75" customHeight="1">
      <c r="A87" s="82"/>
      <c r="B87" s="9" t="s">
        <v>105</v>
      </c>
      <c r="C87" s="2"/>
      <c r="D87" s="2"/>
      <c r="E87" s="2"/>
      <c r="F87" s="2"/>
      <c r="G87" s="2"/>
      <c r="H87" s="77">
        <v>22.0</v>
      </c>
      <c r="I87" s="75"/>
    </row>
    <row r="88" ht="15.75" customHeight="1">
      <c r="A88" s="82"/>
      <c r="B88" s="83" t="s">
        <v>106</v>
      </c>
      <c r="C88" s="2"/>
      <c r="D88" s="2"/>
      <c r="E88" s="2"/>
      <c r="F88" s="2"/>
      <c r="G88" s="2"/>
      <c r="H88" s="84">
        <v>0.19</v>
      </c>
      <c r="I88" s="75"/>
    </row>
    <row r="89" ht="30.75" customHeight="1">
      <c r="A89" s="52" t="s">
        <v>14</v>
      </c>
      <c r="B89" s="85" t="s">
        <v>107</v>
      </c>
      <c r="C89" s="2"/>
      <c r="D89" s="2"/>
      <c r="E89" s="2"/>
      <c r="F89" s="2"/>
      <c r="G89" s="2"/>
      <c r="H89" s="3"/>
      <c r="I89" s="86">
        <v>24.1</v>
      </c>
    </row>
    <row r="90" ht="15.75" customHeight="1">
      <c r="A90" s="87"/>
      <c r="B90" s="56" t="s">
        <v>63</v>
      </c>
      <c r="C90" s="2"/>
      <c r="D90" s="2"/>
      <c r="E90" s="2"/>
      <c r="F90" s="2"/>
      <c r="G90" s="2"/>
      <c r="H90" s="3"/>
      <c r="I90" s="68">
        <f>SUM(I80:I89)</f>
        <v>668.27</v>
      </c>
    </row>
    <row r="91" ht="7.5" customHeight="1">
      <c r="A91" s="27"/>
      <c r="B91" s="2"/>
      <c r="C91" s="2"/>
      <c r="D91" s="2"/>
      <c r="E91" s="2"/>
      <c r="F91" s="2"/>
      <c r="G91" s="2"/>
      <c r="H91" s="2"/>
      <c r="I91" s="3"/>
    </row>
    <row r="92" ht="36.0" customHeight="1">
      <c r="A92" s="35" t="s">
        <v>108</v>
      </c>
      <c r="B92" s="2"/>
      <c r="C92" s="2"/>
      <c r="D92" s="2"/>
      <c r="E92" s="2"/>
      <c r="F92" s="2"/>
      <c r="G92" s="2"/>
      <c r="H92" s="2"/>
      <c r="I92" s="3"/>
    </row>
    <row r="93" ht="7.5" customHeight="1">
      <c r="A93" s="29"/>
      <c r="B93" s="2"/>
      <c r="C93" s="2"/>
      <c r="D93" s="2"/>
      <c r="E93" s="2"/>
      <c r="F93" s="2"/>
      <c r="G93" s="2"/>
      <c r="H93" s="2"/>
      <c r="I93" s="3"/>
    </row>
    <row r="94" ht="21.75" customHeight="1">
      <c r="A94" s="28" t="s">
        <v>109</v>
      </c>
      <c r="B94" s="2"/>
      <c r="C94" s="2"/>
      <c r="D94" s="2"/>
      <c r="E94" s="2"/>
      <c r="F94" s="2"/>
      <c r="G94" s="2"/>
      <c r="H94" s="2"/>
      <c r="I94" s="3"/>
    </row>
    <row r="95" ht="23.25" customHeight="1">
      <c r="A95" s="60">
        <v>2.0</v>
      </c>
      <c r="B95" s="15" t="s">
        <v>110</v>
      </c>
      <c r="C95" s="2"/>
      <c r="D95" s="2"/>
      <c r="E95" s="2"/>
      <c r="F95" s="2"/>
      <c r="G95" s="2"/>
      <c r="H95" s="3"/>
      <c r="I95" s="60" t="s">
        <v>69</v>
      </c>
    </row>
    <row r="96" ht="21.75" customHeight="1">
      <c r="A96" s="12" t="s">
        <v>67</v>
      </c>
      <c r="B96" s="9" t="s">
        <v>111</v>
      </c>
      <c r="C96" s="2"/>
      <c r="D96" s="2"/>
      <c r="E96" s="2"/>
      <c r="F96" s="2"/>
      <c r="G96" s="2"/>
      <c r="H96" s="3"/>
      <c r="I96" s="51">
        <f>I62</f>
        <v>472.96</v>
      </c>
    </row>
    <row r="97" ht="18.75" customHeight="1">
      <c r="A97" s="12" t="s">
        <v>75</v>
      </c>
      <c r="B97" s="9" t="s">
        <v>76</v>
      </c>
      <c r="C97" s="2"/>
      <c r="D97" s="2"/>
      <c r="E97" s="2"/>
      <c r="F97" s="2"/>
      <c r="G97" s="2"/>
      <c r="H97" s="3"/>
      <c r="I97" s="51">
        <f>I74</f>
        <v>1025.98</v>
      </c>
    </row>
    <row r="98" ht="21.75" customHeight="1">
      <c r="A98" s="12" t="s">
        <v>95</v>
      </c>
      <c r="B98" s="9" t="s">
        <v>96</v>
      </c>
      <c r="C98" s="2"/>
      <c r="D98" s="2"/>
      <c r="E98" s="2"/>
      <c r="F98" s="2"/>
      <c r="G98" s="2"/>
      <c r="H98" s="3"/>
      <c r="I98" s="51">
        <f>I90</f>
        <v>668.27</v>
      </c>
    </row>
    <row r="99" ht="21.75" customHeight="1">
      <c r="A99" s="41" t="s">
        <v>72</v>
      </c>
      <c r="B99" s="2"/>
      <c r="C99" s="2"/>
      <c r="D99" s="2"/>
      <c r="E99" s="2"/>
      <c r="F99" s="2"/>
      <c r="G99" s="2"/>
      <c r="H99" s="3"/>
      <c r="I99" s="88">
        <f>SUM(I96+I97+I98)</f>
        <v>2167.21</v>
      </c>
    </row>
    <row r="100" ht="12.0" customHeight="1">
      <c r="A100" s="89"/>
      <c r="B100" s="2"/>
      <c r="C100" s="2"/>
      <c r="D100" s="2"/>
      <c r="E100" s="2"/>
      <c r="F100" s="2"/>
      <c r="G100" s="2"/>
      <c r="H100" s="2"/>
      <c r="I100" s="3"/>
    </row>
    <row r="101" ht="26.25" customHeight="1">
      <c r="A101" s="46" t="s">
        <v>112</v>
      </c>
      <c r="B101" s="2"/>
      <c r="C101" s="2"/>
      <c r="D101" s="2"/>
      <c r="E101" s="2"/>
      <c r="F101" s="2"/>
      <c r="G101" s="2"/>
      <c r="H101" s="2"/>
      <c r="I101" s="3"/>
    </row>
    <row r="102" ht="28.5" customHeight="1">
      <c r="A102" s="73">
        <v>3.0</v>
      </c>
      <c r="B102" s="90" t="s">
        <v>113</v>
      </c>
      <c r="C102" s="2"/>
      <c r="D102" s="2"/>
      <c r="E102" s="2"/>
      <c r="F102" s="2"/>
      <c r="G102" s="2"/>
      <c r="H102" s="3"/>
      <c r="I102" s="73" t="s">
        <v>114</v>
      </c>
    </row>
    <row r="103" ht="49.5" customHeight="1">
      <c r="A103" s="48" t="s">
        <v>8</v>
      </c>
      <c r="B103" s="9" t="s">
        <v>115</v>
      </c>
      <c r="C103" s="2"/>
      <c r="D103" s="2"/>
      <c r="E103" s="2"/>
      <c r="F103" s="2"/>
      <c r="G103" s="2"/>
      <c r="H103" s="3"/>
      <c r="I103" s="62">
        <f>ROUND((($I$53/12)+($I$60/12)+($I$53*0.121/12))*(30/30)*0.05,2)</f>
        <v>11.62</v>
      </c>
    </row>
    <row r="104" ht="15.75" customHeight="1">
      <c r="A104" s="48" t="s">
        <v>11</v>
      </c>
      <c r="B104" s="91" t="s">
        <v>116</v>
      </c>
      <c r="C104" s="2"/>
      <c r="D104" s="2"/>
      <c r="E104" s="2"/>
      <c r="F104" s="2"/>
      <c r="G104" s="2"/>
      <c r="H104" s="3"/>
      <c r="I104" s="62">
        <f>ROUND($I$103*H73,2)</f>
        <v>0.93</v>
      </c>
    </row>
    <row r="105" ht="36.75" customHeight="1">
      <c r="A105" s="48" t="s">
        <v>14</v>
      </c>
      <c r="B105" s="9" t="s">
        <v>117</v>
      </c>
      <c r="C105" s="2"/>
      <c r="D105" s="2"/>
      <c r="E105" s="2"/>
      <c r="F105" s="2"/>
      <c r="G105" s="2"/>
      <c r="H105" s="3"/>
      <c r="I105" s="62">
        <f>ROUND(((($I$53/30)*7)/$H$10)*(30/30),2)</f>
        <v>45.01</v>
      </c>
    </row>
    <row r="106" ht="15.75" customHeight="1">
      <c r="A106" s="48" t="s">
        <v>17</v>
      </c>
      <c r="B106" s="91" t="s">
        <v>118</v>
      </c>
      <c r="C106" s="2"/>
      <c r="D106" s="2"/>
      <c r="E106" s="2"/>
      <c r="F106" s="2"/>
      <c r="G106" s="2"/>
      <c r="H106" s="3"/>
      <c r="I106" s="62">
        <f>ROUND($H$74*I105,2)</f>
        <v>16.56</v>
      </c>
    </row>
    <row r="107" ht="35.25" customHeight="1">
      <c r="A107" s="48" t="s">
        <v>85</v>
      </c>
      <c r="B107" s="9" t="s">
        <v>119</v>
      </c>
      <c r="C107" s="2"/>
      <c r="D107" s="2"/>
      <c r="E107" s="2"/>
      <c r="F107" s="2"/>
      <c r="G107" s="3"/>
      <c r="H107" s="92">
        <v>0.04</v>
      </c>
      <c r="I107" s="62">
        <f>ROUND($I$53*H107,2)</f>
        <v>92.6</v>
      </c>
    </row>
    <row r="108" ht="15.75" customHeight="1">
      <c r="A108" s="56" t="s">
        <v>72</v>
      </c>
      <c r="B108" s="2"/>
      <c r="C108" s="2"/>
      <c r="D108" s="2"/>
      <c r="E108" s="2"/>
      <c r="F108" s="2"/>
      <c r="G108" s="2"/>
      <c r="H108" s="3"/>
      <c r="I108" s="68">
        <f>SUM(I103:I107)</f>
        <v>166.72</v>
      </c>
    </row>
    <row r="109" ht="10.5" customHeight="1">
      <c r="A109" s="90"/>
      <c r="B109" s="2"/>
      <c r="C109" s="2"/>
      <c r="D109" s="2"/>
      <c r="E109" s="2"/>
      <c r="F109" s="2"/>
      <c r="G109" s="2"/>
      <c r="H109" s="2"/>
      <c r="I109" s="3"/>
    </row>
    <row r="110" ht="57.0" customHeight="1">
      <c r="A110" s="35" t="s">
        <v>120</v>
      </c>
      <c r="B110" s="2"/>
      <c r="C110" s="2"/>
      <c r="D110" s="2"/>
      <c r="E110" s="2"/>
      <c r="F110" s="2"/>
      <c r="G110" s="2"/>
      <c r="H110" s="2"/>
      <c r="I110" s="3"/>
    </row>
    <row r="111" ht="10.5" customHeight="1">
      <c r="A111" s="90"/>
      <c r="B111" s="2"/>
      <c r="C111" s="2"/>
      <c r="D111" s="2"/>
      <c r="E111" s="2"/>
      <c r="F111" s="2"/>
      <c r="G111" s="2"/>
      <c r="H111" s="2"/>
      <c r="I111" s="3"/>
    </row>
    <row r="112" ht="24.0" customHeight="1">
      <c r="A112" s="28" t="s">
        <v>121</v>
      </c>
      <c r="B112" s="2"/>
      <c r="C112" s="2"/>
      <c r="D112" s="2"/>
      <c r="E112" s="2"/>
      <c r="F112" s="2"/>
      <c r="G112" s="2"/>
      <c r="H112" s="2"/>
      <c r="I112" s="3"/>
    </row>
    <row r="113" ht="27.0" customHeight="1">
      <c r="A113" s="35" t="s">
        <v>122</v>
      </c>
      <c r="B113" s="2"/>
      <c r="C113" s="2"/>
      <c r="D113" s="2"/>
      <c r="E113" s="2"/>
      <c r="F113" s="2"/>
      <c r="G113" s="2"/>
      <c r="H113" s="2"/>
      <c r="I113" s="3"/>
    </row>
    <row r="114" ht="61.5" customHeight="1">
      <c r="A114" s="93" t="s">
        <v>123</v>
      </c>
      <c r="B114" s="2"/>
      <c r="C114" s="2"/>
      <c r="D114" s="2"/>
      <c r="E114" s="2"/>
      <c r="F114" s="2"/>
      <c r="G114" s="2"/>
      <c r="H114" s="2"/>
      <c r="I114" s="3"/>
    </row>
    <row r="115" ht="8.25" customHeight="1">
      <c r="A115" s="94"/>
      <c r="B115" s="2"/>
      <c r="C115" s="2"/>
      <c r="D115" s="2"/>
      <c r="E115" s="2"/>
      <c r="F115" s="2"/>
      <c r="G115" s="2"/>
      <c r="H115" s="2"/>
      <c r="I115" s="3"/>
    </row>
    <row r="116" ht="57.0" customHeight="1">
      <c r="A116" s="95" t="s">
        <v>124</v>
      </c>
      <c r="B116" s="96">
        <f>I53</f>
        <v>2315.01</v>
      </c>
      <c r="C116" s="97"/>
      <c r="D116" s="95" t="s">
        <v>125</v>
      </c>
      <c r="E116" s="96">
        <f>I99-I80-I85</f>
        <v>1523.04</v>
      </c>
      <c r="F116" s="98"/>
      <c r="G116" s="95" t="s">
        <v>126</v>
      </c>
      <c r="H116" s="96">
        <f>I108</f>
        <v>166.72</v>
      </c>
      <c r="I116" s="99">
        <f>B116+E116+H116</f>
        <v>4004.77</v>
      </c>
    </row>
    <row r="117" ht="7.5" customHeight="1">
      <c r="A117" s="100"/>
      <c r="B117" s="2"/>
      <c r="C117" s="2"/>
      <c r="D117" s="2"/>
      <c r="E117" s="2"/>
      <c r="F117" s="2"/>
      <c r="G117" s="2"/>
      <c r="H117" s="2"/>
      <c r="I117" s="3"/>
    </row>
    <row r="118" ht="22.5" customHeight="1">
      <c r="A118" s="28" t="s">
        <v>127</v>
      </c>
      <c r="B118" s="2"/>
      <c r="C118" s="2"/>
      <c r="D118" s="2"/>
      <c r="E118" s="2"/>
      <c r="F118" s="2"/>
      <c r="G118" s="2"/>
      <c r="H118" s="2"/>
      <c r="I118" s="3"/>
    </row>
    <row r="119" ht="15.75" customHeight="1">
      <c r="A119" s="101" t="s">
        <v>128</v>
      </c>
      <c r="B119" s="90" t="s">
        <v>129</v>
      </c>
      <c r="C119" s="2"/>
      <c r="D119" s="2"/>
      <c r="E119" s="2"/>
      <c r="F119" s="2"/>
      <c r="G119" s="2"/>
      <c r="H119" s="3"/>
      <c r="I119" s="101" t="s">
        <v>69</v>
      </c>
    </row>
    <row r="120" ht="54.0" customHeight="1">
      <c r="A120" s="48" t="s">
        <v>8</v>
      </c>
      <c r="B120" s="102" t="s">
        <v>130</v>
      </c>
      <c r="C120" s="2"/>
      <c r="D120" s="2"/>
      <c r="E120" s="2"/>
      <c r="F120" s="2"/>
      <c r="G120" s="2"/>
      <c r="H120" s="3"/>
      <c r="I120" s="62">
        <f>ROUND(I116/12,2)</f>
        <v>333.73</v>
      </c>
    </row>
    <row r="121" ht="26.25" customHeight="1">
      <c r="A121" s="48" t="s">
        <v>11</v>
      </c>
      <c r="B121" s="102" t="s">
        <v>131</v>
      </c>
      <c r="C121" s="2"/>
      <c r="D121" s="2"/>
      <c r="E121" s="2"/>
      <c r="F121" s="2"/>
      <c r="G121" s="2"/>
      <c r="H121" s="3"/>
      <c r="I121" s="62">
        <f>ROUND((($I$116/30)*1)/12,2)</f>
        <v>11.12</v>
      </c>
    </row>
    <row r="122" ht="26.25" customHeight="1">
      <c r="A122" s="48" t="s">
        <v>14</v>
      </c>
      <c r="B122" s="102" t="s">
        <v>132</v>
      </c>
      <c r="C122" s="2"/>
      <c r="D122" s="2"/>
      <c r="E122" s="2"/>
      <c r="F122" s="2"/>
      <c r="G122" s="2"/>
      <c r="H122" s="3"/>
      <c r="I122" s="62">
        <f>ROUND((($I$116/30)*5)/12*0.015,2)</f>
        <v>0.83</v>
      </c>
    </row>
    <row r="123" ht="36.0" customHeight="1">
      <c r="A123" s="52" t="s">
        <v>17</v>
      </c>
      <c r="B123" s="85" t="s">
        <v>133</v>
      </c>
      <c r="C123" s="2"/>
      <c r="D123" s="2"/>
      <c r="E123" s="2"/>
      <c r="F123" s="2"/>
      <c r="G123" s="2"/>
      <c r="H123" s="3"/>
      <c r="I123" s="103">
        <f>ROUND((((($I$116)/30)*0.97)/12),2)</f>
        <v>10.79</v>
      </c>
    </row>
    <row r="124" ht="87.75" customHeight="1">
      <c r="A124" s="48" t="s">
        <v>85</v>
      </c>
      <c r="B124" s="102" t="s">
        <v>134</v>
      </c>
      <c r="C124" s="2"/>
      <c r="D124" s="2"/>
      <c r="E124" s="2"/>
      <c r="F124" s="2"/>
      <c r="G124" s="2"/>
      <c r="H124" s="3"/>
      <c r="I124" s="62">
        <f>ROUND(((((B116*0.121)+(H74)*(B116*0.121))*(4/12)))*0.02,2)+ROUND(((H73*B116+H74*I60+I90-I80-I85+I108)*4/12)*0.02,2)</f>
        <v>5.53</v>
      </c>
    </row>
    <row r="125" ht="39.75" customHeight="1">
      <c r="A125" s="104" t="s">
        <v>87</v>
      </c>
      <c r="B125" s="9" t="s">
        <v>135</v>
      </c>
      <c r="C125" s="2"/>
      <c r="D125" s="2"/>
      <c r="E125" s="2"/>
      <c r="F125" s="2"/>
      <c r="G125" s="2"/>
      <c r="H125" s="3"/>
      <c r="I125" s="62">
        <f>ROUND((((($I$116)/30)*3)/12),2)</f>
        <v>33.37</v>
      </c>
    </row>
    <row r="126" ht="15.75" customHeight="1">
      <c r="A126" s="56" t="s">
        <v>72</v>
      </c>
      <c r="B126" s="2"/>
      <c r="C126" s="2"/>
      <c r="D126" s="2"/>
      <c r="E126" s="2"/>
      <c r="F126" s="2"/>
      <c r="G126" s="2"/>
      <c r="H126" s="3"/>
      <c r="I126" s="105">
        <f>SUM(I120:I125)</f>
        <v>395.37</v>
      </c>
    </row>
    <row r="127" ht="9.75" customHeight="1">
      <c r="A127" s="56"/>
      <c r="B127" s="2"/>
      <c r="C127" s="2"/>
      <c r="D127" s="2"/>
      <c r="E127" s="2"/>
      <c r="F127" s="2"/>
      <c r="G127" s="2"/>
      <c r="H127" s="2"/>
      <c r="I127" s="3"/>
    </row>
    <row r="128" ht="23.25" customHeight="1">
      <c r="A128" s="28" t="s">
        <v>136</v>
      </c>
      <c r="B128" s="2"/>
      <c r="C128" s="2"/>
      <c r="D128" s="2"/>
      <c r="E128" s="2"/>
      <c r="F128" s="2"/>
      <c r="G128" s="2"/>
      <c r="H128" s="2"/>
      <c r="I128" s="3"/>
    </row>
    <row r="129" ht="27.75" customHeight="1">
      <c r="A129" s="60">
        <v>4.0</v>
      </c>
      <c r="B129" s="90" t="s">
        <v>137</v>
      </c>
      <c r="C129" s="2"/>
      <c r="D129" s="2"/>
      <c r="E129" s="2"/>
      <c r="F129" s="2"/>
      <c r="G129" s="2"/>
      <c r="H129" s="3"/>
      <c r="I129" s="106" t="s">
        <v>69</v>
      </c>
    </row>
    <row r="130" ht="19.5" customHeight="1">
      <c r="A130" s="12" t="s">
        <v>128</v>
      </c>
      <c r="B130" s="91" t="s">
        <v>129</v>
      </c>
      <c r="C130" s="2"/>
      <c r="D130" s="2"/>
      <c r="E130" s="2"/>
      <c r="F130" s="2"/>
      <c r="G130" s="2"/>
      <c r="H130" s="3"/>
      <c r="I130" s="62">
        <f>I126</f>
        <v>395.37</v>
      </c>
    </row>
    <row r="131" ht="19.5" customHeight="1">
      <c r="A131" s="41" t="s">
        <v>72</v>
      </c>
      <c r="B131" s="2"/>
      <c r="C131" s="2"/>
      <c r="D131" s="2"/>
      <c r="E131" s="2"/>
      <c r="F131" s="2"/>
      <c r="G131" s="2"/>
      <c r="H131" s="3"/>
      <c r="I131" s="68">
        <f>SUM(I130)</f>
        <v>395.37</v>
      </c>
    </row>
    <row r="132" ht="9.0" customHeight="1">
      <c r="A132" s="107"/>
      <c r="B132" s="2"/>
      <c r="C132" s="2"/>
      <c r="D132" s="2"/>
      <c r="E132" s="2"/>
      <c r="F132" s="2"/>
      <c r="G132" s="2"/>
      <c r="H132" s="2"/>
      <c r="I132" s="3"/>
    </row>
    <row r="133" ht="30.0" customHeight="1">
      <c r="A133" s="28" t="s">
        <v>138</v>
      </c>
      <c r="B133" s="2"/>
      <c r="C133" s="2"/>
      <c r="D133" s="2"/>
      <c r="E133" s="2"/>
      <c r="F133" s="2"/>
      <c r="G133" s="2"/>
      <c r="H133" s="2"/>
      <c r="I133" s="3"/>
    </row>
    <row r="134" ht="25.5" customHeight="1">
      <c r="A134" s="73">
        <v>5.0</v>
      </c>
      <c r="B134" s="15" t="s">
        <v>139</v>
      </c>
      <c r="C134" s="2"/>
      <c r="D134" s="2"/>
      <c r="E134" s="2"/>
      <c r="F134" s="2"/>
      <c r="G134" s="2"/>
      <c r="H134" s="3"/>
      <c r="I134" s="73" t="s">
        <v>69</v>
      </c>
    </row>
    <row r="135" ht="17.25" customHeight="1">
      <c r="A135" s="108" t="s">
        <v>8</v>
      </c>
      <c r="B135" s="109" t="s">
        <v>140</v>
      </c>
      <c r="C135" s="2"/>
      <c r="D135" s="2"/>
      <c r="E135" s="2"/>
      <c r="F135" s="2"/>
      <c r="G135" s="2"/>
      <c r="H135" s="3"/>
      <c r="I135" s="110">
        <f>'INSUMOS IFRS'!G82</f>
        <v>790.7219965</v>
      </c>
    </row>
    <row r="136" ht="17.25" customHeight="1">
      <c r="A136" s="108" t="s">
        <v>11</v>
      </c>
      <c r="B136" s="109" t="s">
        <v>141</v>
      </c>
      <c r="C136" s="2"/>
      <c r="D136" s="2"/>
      <c r="E136" s="2"/>
      <c r="F136" s="2"/>
      <c r="G136" s="2"/>
      <c r="H136" s="3"/>
      <c r="I136" s="110">
        <f>'INSUMOS IFRS'!G83</f>
        <v>42.64295837</v>
      </c>
    </row>
    <row r="137" ht="15.75" customHeight="1">
      <c r="A137" s="108" t="s">
        <v>14</v>
      </c>
      <c r="B137" s="111" t="s">
        <v>142</v>
      </c>
      <c r="C137" s="2"/>
      <c r="D137" s="2"/>
      <c r="E137" s="2"/>
      <c r="F137" s="2"/>
      <c r="G137" s="2"/>
      <c r="H137" s="3"/>
      <c r="I137" s="110">
        <f>'INSUMOS IFRS'!G84</f>
        <v>51.16968508</v>
      </c>
    </row>
    <row r="138" ht="15.75" customHeight="1">
      <c r="A138" s="108" t="s">
        <v>17</v>
      </c>
      <c r="B138" s="111" t="s">
        <v>143</v>
      </c>
      <c r="C138" s="2"/>
      <c r="D138" s="2"/>
      <c r="E138" s="2"/>
      <c r="F138" s="2"/>
      <c r="G138" s="2"/>
      <c r="H138" s="3"/>
      <c r="I138" s="110">
        <f>'INSUMOS IFRS'!G85</f>
        <v>58.00668545</v>
      </c>
    </row>
    <row r="139" ht="15.75" customHeight="1">
      <c r="A139" s="108" t="s">
        <v>85</v>
      </c>
      <c r="B139" s="109" t="s">
        <v>144</v>
      </c>
      <c r="C139" s="2"/>
      <c r="D139" s="2"/>
      <c r="E139" s="2"/>
      <c r="F139" s="2"/>
      <c r="G139" s="2"/>
      <c r="H139" s="3"/>
      <c r="I139" s="110">
        <f>'INSUMOS IFRS'!J92</f>
        <v>3.983962115</v>
      </c>
    </row>
    <row r="140" ht="15.75" customHeight="1">
      <c r="A140" s="56" t="s">
        <v>63</v>
      </c>
      <c r="B140" s="2"/>
      <c r="C140" s="2"/>
      <c r="D140" s="2"/>
      <c r="E140" s="2"/>
      <c r="F140" s="2"/>
      <c r="G140" s="2"/>
      <c r="H140" s="3"/>
      <c r="I140" s="112">
        <f>SUM(I135:I139)</f>
        <v>946.5252875</v>
      </c>
    </row>
    <row r="141" ht="8.25" customHeight="1">
      <c r="A141" s="27"/>
      <c r="B141" s="2"/>
      <c r="C141" s="2"/>
      <c r="D141" s="2"/>
      <c r="E141" s="2"/>
      <c r="F141" s="2"/>
      <c r="G141" s="2"/>
      <c r="H141" s="2"/>
      <c r="I141" s="3"/>
    </row>
    <row r="142" ht="14.25" customHeight="1">
      <c r="A142" s="113" t="s">
        <v>145</v>
      </c>
      <c r="B142" s="2"/>
      <c r="C142" s="2"/>
      <c r="D142" s="2"/>
      <c r="E142" s="2"/>
      <c r="F142" s="2"/>
      <c r="G142" s="2"/>
      <c r="H142" s="2"/>
      <c r="I142" s="3"/>
    </row>
    <row r="143" ht="8.25" customHeight="1">
      <c r="A143" s="114"/>
      <c r="B143" s="115"/>
      <c r="C143" s="115"/>
      <c r="D143" s="115"/>
      <c r="E143" s="115"/>
      <c r="F143" s="115"/>
      <c r="G143" s="115"/>
      <c r="H143" s="115"/>
      <c r="I143" s="116"/>
    </row>
    <row r="144" ht="29.25" customHeight="1">
      <c r="A144" s="46" t="s">
        <v>146</v>
      </c>
      <c r="B144" s="2"/>
      <c r="C144" s="2"/>
      <c r="D144" s="2"/>
      <c r="E144" s="2"/>
      <c r="F144" s="2"/>
      <c r="G144" s="2"/>
      <c r="H144" s="2"/>
      <c r="I144" s="3"/>
    </row>
    <row r="145" ht="32.25" customHeight="1">
      <c r="A145" s="73">
        <v>6.0</v>
      </c>
      <c r="B145" s="90" t="s">
        <v>147</v>
      </c>
      <c r="C145" s="2"/>
      <c r="D145" s="2"/>
      <c r="E145" s="2"/>
      <c r="F145" s="2"/>
      <c r="G145" s="3"/>
      <c r="H145" s="60" t="s">
        <v>77</v>
      </c>
      <c r="I145" s="117" t="s">
        <v>148</v>
      </c>
    </row>
    <row r="146" ht="51.0" customHeight="1">
      <c r="A146" s="83" t="s">
        <v>149</v>
      </c>
      <c r="B146" s="2"/>
      <c r="C146" s="2"/>
      <c r="D146" s="2"/>
      <c r="E146" s="2"/>
      <c r="F146" s="2"/>
      <c r="G146" s="3"/>
      <c r="H146" s="118" t="s">
        <v>99</v>
      </c>
      <c r="I146" s="119">
        <f>SUM(I53+I99+I108+I131+I140)</f>
        <v>5990.835288</v>
      </c>
    </row>
    <row r="147" ht="15.75" customHeight="1">
      <c r="A147" s="48" t="s">
        <v>8</v>
      </c>
      <c r="B147" s="91" t="s">
        <v>150</v>
      </c>
      <c r="C147" s="2"/>
      <c r="D147" s="2"/>
      <c r="E147" s="2"/>
      <c r="F147" s="2"/>
      <c r="G147" s="3"/>
      <c r="H147" s="61">
        <v>0.05</v>
      </c>
      <c r="I147" s="62">
        <f>ROUND(H147*I146,2)</f>
        <v>299.54</v>
      </c>
    </row>
    <row r="148" ht="48.0" customHeight="1">
      <c r="A148" s="83" t="s">
        <v>151</v>
      </c>
      <c r="B148" s="2"/>
      <c r="C148" s="2"/>
      <c r="D148" s="2"/>
      <c r="E148" s="2"/>
      <c r="F148" s="2"/>
      <c r="G148" s="3"/>
      <c r="H148" s="120" t="s">
        <v>99</v>
      </c>
      <c r="I148" s="119">
        <f>SUM(I53+I99+I108+I131+I140+I147)</f>
        <v>6290.375288</v>
      </c>
    </row>
    <row r="149" ht="15.75" customHeight="1">
      <c r="A149" s="48" t="s">
        <v>11</v>
      </c>
      <c r="B149" s="91" t="s">
        <v>152</v>
      </c>
      <c r="C149" s="2"/>
      <c r="D149" s="2"/>
      <c r="E149" s="2"/>
      <c r="F149" s="2"/>
      <c r="G149" s="3"/>
      <c r="H149" s="61">
        <v>0.1</v>
      </c>
      <c r="I149" s="62">
        <f>ROUND(H149*I148,2)</f>
        <v>629.04</v>
      </c>
    </row>
    <row r="150" ht="49.5" customHeight="1">
      <c r="A150" s="83" t="s">
        <v>153</v>
      </c>
      <c r="B150" s="2"/>
      <c r="C150" s="2"/>
      <c r="D150" s="2"/>
      <c r="E150" s="2"/>
      <c r="F150" s="2"/>
      <c r="G150" s="3"/>
      <c r="H150" s="120" t="s">
        <v>99</v>
      </c>
      <c r="I150" s="119">
        <f>SUM(I146+I147+I149)</f>
        <v>6919.415288</v>
      </c>
    </row>
    <row r="151" ht="15.75" customHeight="1">
      <c r="A151" s="48" t="s">
        <v>14</v>
      </c>
      <c r="B151" s="91" t="s">
        <v>154</v>
      </c>
      <c r="C151" s="2"/>
      <c r="D151" s="2"/>
      <c r="E151" s="2"/>
      <c r="F151" s="2"/>
      <c r="G151" s="3"/>
      <c r="H151" s="50" t="s">
        <v>99</v>
      </c>
      <c r="I151" s="75" t="s">
        <v>99</v>
      </c>
    </row>
    <row r="152" ht="15.75" customHeight="1">
      <c r="A152" s="48"/>
      <c r="B152" s="91" t="s">
        <v>155</v>
      </c>
      <c r="C152" s="2"/>
      <c r="D152" s="2"/>
      <c r="E152" s="2"/>
      <c r="F152" s="2"/>
      <c r="G152" s="3"/>
      <c r="H152" s="50" t="s">
        <v>99</v>
      </c>
      <c r="I152" s="75" t="s">
        <v>99</v>
      </c>
    </row>
    <row r="153" ht="36.0" customHeight="1">
      <c r="A153" s="48"/>
      <c r="B153" s="35" t="s">
        <v>156</v>
      </c>
      <c r="C153" s="2"/>
      <c r="D153" s="2"/>
      <c r="E153" s="2"/>
      <c r="F153" s="2"/>
      <c r="G153" s="3"/>
      <c r="H153" s="121">
        <v>0.076</v>
      </c>
      <c r="I153" s="62">
        <f t="shared" ref="I153:I154" si="4">ROUND(($I$150/(1-$H$162))*H153,2)</f>
        <v>599.29</v>
      </c>
    </row>
    <row r="154" ht="35.25" customHeight="1">
      <c r="A154" s="48"/>
      <c r="B154" s="35" t="s">
        <v>157</v>
      </c>
      <c r="C154" s="2"/>
      <c r="D154" s="2"/>
      <c r="E154" s="2"/>
      <c r="F154" s="2"/>
      <c r="G154" s="3"/>
      <c r="H154" s="121">
        <v>0.0165</v>
      </c>
      <c r="I154" s="62">
        <f t="shared" si="4"/>
        <v>130.11</v>
      </c>
    </row>
    <row r="155" ht="27.0" customHeight="1">
      <c r="A155" s="48"/>
      <c r="B155" s="9" t="s">
        <v>158</v>
      </c>
      <c r="C155" s="2"/>
      <c r="D155" s="2"/>
      <c r="E155" s="2"/>
      <c r="F155" s="2"/>
      <c r="G155" s="3"/>
      <c r="H155" s="122" t="s">
        <v>99</v>
      </c>
      <c r="I155" s="75" t="s">
        <v>99</v>
      </c>
    </row>
    <row r="156" ht="27.0" customHeight="1">
      <c r="A156" s="48"/>
      <c r="B156" s="9" t="s">
        <v>159</v>
      </c>
      <c r="C156" s="2"/>
      <c r="D156" s="2"/>
      <c r="E156" s="2"/>
      <c r="F156" s="2"/>
      <c r="G156" s="3"/>
      <c r="H156" s="122" t="s">
        <v>99</v>
      </c>
      <c r="I156" s="75" t="s">
        <v>99</v>
      </c>
    </row>
    <row r="157" ht="18.0" customHeight="1">
      <c r="A157" s="48"/>
      <c r="B157" s="35" t="s">
        <v>160</v>
      </c>
      <c r="C157" s="2"/>
      <c r="D157" s="2"/>
      <c r="E157" s="2"/>
      <c r="F157" s="2"/>
      <c r="G157" s="2"/>
      <c r="H157" s="122" t="s">
        <v>99</v>
      </c>
      <c r="I157" s="75" t="s">
        <v>99</v>
      </c>
    </row>
    <row r="158" ht="18.0" customHeight="1">
      <c r="A158" s="48"/>
      <c r="B158" s="9" t="s">
        <v>161</v>
      </c>
      <c r="C158" s="2"/>
      <c r="D158" s="2"/>
      <c r="E158" s="2"/>
      <c r="F158" s="2"/>
      <c r="G158" s="2"/>
      <c r="H158" s="122" t="s">
        <v>99</v>
      </c>
      <c r="I158" s="75" t="s">
        <v>99</v>
      </c>
    </row>
    <row r="159" ht="15.0" customHeight="1">
      <c r="A159" s="48"/>
      <c r="B159" s="123" t="s">
        <v>162</v>
      </c>
      <c r="C159" s="2"/>
      <c r="D159" s="2"/>
      <c r="E159" s="2"/>
      <c r="F159" s="2"/>
      <c r="G159" s="3"/>
      <c r="H159" s="124">
        <v>0.03</v>
      </c>
      <c r="I159" s="62">
        <f>ROUND(($I$150/(1-$H$162))*H159,2)</f>
        <v>236.56</v>
      </c>
    </row>
    <row r="160" ht="15.75" customHeight="1">
      <c r="A160" s="56" t="s">
        <v>72</v>
      </c>
      <c r="B160" s="2"/>
      <c r="C160" s="2"/>
      <c r="D160" s="2"/>
      <c r="E160" s="2"/>
      <c r="F160" s="2"/>
      <c r="G160" s="2"/>
      <c r="H160" s="125">
        <f>SUM(H152:H159)</f>
        <v>0.1225</v>
      </c>
      <c r="I160" s="68">
        <f>SUM(I147+I149+I153+I154+I159)</f>
        <v>1894.54</v>
      </c>
    </row>
    <row r="161" ht="6.75" customHeight="1">
      <c r="A161" s="107"/>
      <c r="B161" s="2"/>
      <c r="C161" s="2"/>
      <c r="D161" s="2"/>
      <c r="E161" s="2"/>
      <c r="F161" s="2"/>
      <c r="G161" s="2"/>
      <c r="H161" s="2"/>
      <c r="I161" s="3"/>
    </row>
    <row r="162" ht="15.75" customHeight="1">
      <c r="A162" s="33" t="s">
        <v>163</v>
      </c>
      <c r="B162" s="2"/>
      <c r="C162" s="2"/>
      <c r="D162" s="2"/>
      <c r="E162" s="2"/>
      <c r="F162" s="2"/>
      <c r="G162" s="3"/>
      <c r="H162" s="126">
        <f t="shared" ref="H162:I162" si="5">SUM(H153:H159)</f>
        <v>0.1225</v>
      </c>
      <c r="I162" s="119">
        <f t="shared" si="5"/>
        <v>965.96</v>
      </c>
    </row>
    <row r="163" ht="12.75" customHeight="1">
      <c r="A163" s="127" t="s">
        <v>164</v>
      </c>
      <c r="C163" s="128" t="s">
        <v>165</v>
      </c>
    </row>
    <row r="164" ht="12.0" customHeight="1">
      <c r="A164" s="129"/>
      <c r="C164" s="128" t="s">
        <v>166</v>
      </c>
    </row>
    <row r="165" ht="13.5" customHeight="1">
      <c r="A165" s="130"/>
      <c r="B165" s="6"/>
      <c r="C165" s="131" t="s">
        <v>167</v>
      </c>
      <c r="D165" s="6"/>
      <c r="E165" s="6"/>
      <c r="F165" s="6"/>
      <c r="G165" s="6"/>
      <c r="H165" s="6"/>
      <c r="I165" s="6"/>
    </row>
    <row r="166" ht="6.75" customHeight="1">
      <c r="A166" s="132"/>
      <c r="B166" s="2"/>
      <c r="C166" s="2"/>
      <c r="D166" s="2"/>
      <c r="E166" s="2"/>
      <c r="F166" s="2"/>
      <c r="G166" s="2"/>
      <c r="H166" s="2"/>
      <c r="I166" s="2"/>
    </row>
    <row r="167" ht="25.5" customHeight="1">
      <c r="A167" s="35" t="s">
        <v>168</v>
      </c>
      <c r="B167" s="2"/>
      <c r="C167" s="2"/>
      <c r="D167" s="2"/>
      <c r="E167" s="2"/>
      <c r="F167" s="2"/>
      <c r="G167" s="2"/>
      <c r="H167" s="2"/>
      <c r="I167" s="3"/>
    </row>
    <row r="168" ht="5.25" customHeight="1">
      <c r="A168" s="107"/>
      <c r="B168" s="2"/>
      <c r="C168" s="2"/>
      <c r="D168" s="2"/>
      <c r="E168" s="2"/>
      <c r="F168" s="2"/>
      <c r="G168" s="2"/>
      <c r="H168" s="2"/>
      <c r="I168" s="3"/>
    </row>
    <row r="169" ht="30.0" customHeight="1">
      <c r="A169" s="133" t="s">
        <v>169</v>
      </c>
      <c r="B169" s="2"/>
      <c r="C169" s="2"/>
      <c r="D169" s="2"/>
      <c r="E169" s="2"/>
      <c r="F169" s="2"/>
      <c r="G169" s="2"/>
      <c r="H169" s="2"/>
      <c r="I169" s="3"/>
    </row>
    <row r="170" ht="15.0" customHeight="1">
      <c r="A170" s="11" t="s">
        <v>170</v>
      </c>
      <c r="B170" s="2"/>
      <c r="C170" s="2"/>
      <c r="D170" s="2"/>
      <c r="E170" s="2"/>
      <c r="F170" s="2"/>
      <c r="G170" s="2"/>
      <c r="H170" s="3"/>
      <c r="I170" s="60" t="s">
        <v>69</v>
      </c>
    </row>
    <row r="171" ht="15.0" customHeight="1">
      <c r="A171" s="134" t="s">
        <v>8</v>
      </c>
      <c r="B171" s="39" t="s">
        <v>171</v>
      </c>
      <c r="C171" s="2"/>
      <c r="D171" s="2"/>
      <c r="E171" s="2"/>
      <c r="F171" s="2"/>
      <c r="G171" s="2"/>
      <c r="H171" s="2"/>
      <c r="I171" s="135">
        <f>I53</f>
        <v>2315.01</v>
      </c>
    </row>
    <row r="172" ht="15.0" customHeight="1">
      <c r="A172" s="134" t="s">
        <v>11</v>
      </c>
      <c r="B172" s="39" t="s">
        <v>65</v>
      </c>
      <c r="C172" s="2"/>
      <c r="D172" s="2"/>
      <c r="E172" s="2"/>
      <c r="F172" s="2"/>
      <c r="G172" s="2"/>
      <c r="H172" s="2"/>
      <c r="I172" s="135">
        <f>I99</f>
        <v>2167.21</v>
      </c>
    </row>
    <row r="173" ht="15.0" customHeight="1">
      <c r="A173" s="134" t="s">
        <v>14</v>
      </c>
      <c r="B173" s="39" t="s">
        <v>172</v>
      </c>
      <c r="C173" s="2"/>
      <c r="D173" s="2"/>
      <c r="E173" s="2"/>
      <c r="F173" s="2"/>
      <c r="G173" s="2"/>
      <c r="H173" s="2"/>
      <c r="I173" s="135">
        <f>I108</f>
        <v>166.72</v>
      </c>
    </row>
    <row r="174" ht="15.0" customHeight="1">
      <c r="A174" s="134" t="s">
        <v>17</v>
      </c>
      <c r="B174" s="39" t="s">
        <v>173</v>
      </c>
      <c r="C174" s="2"/>
      <c r="D174" s="2"/>
      <c r="E174" s="2"/>
      <c r="F174" s="2"/>
      <c r="G174" s="2"/>
      <c r="H174" s="2"/>
      <c r="I174" s="135">
        <f>I131</f>
        <v>395.37</v>
      </c>
    </row>
    <row r="175" ht="15.0" customHeight="1">
      <c r="A175" s="134" t="s">
        <v>85</v>
      </c>
      <c r="B175" s="39" t="s">
        <v>174</v>
      </c>
      <c r="C175" s="2"/>
      <c r="D175" s="2"/>
      <c r="E175" s="2"/>
      <c r="F175" s="2"/>
      <c r="G175" s="2"/>
      <c r="H175" s="2"/>
      <c r="I175" s="135">
        <f>I140</f>
        <v>946.5252875</v>
      </c>
    </row>
    <row r="176" ht="15.0" customHeight="1">
      <c r="A176" s="136" t="s">
        <v>175</v>
      </c>
      <c r="B176" s="2"/>
      <c r="C176" s="2"/>
      <c r="D176" s="2"/>
      <c r="E176" s="2"/>
      <c r="F176" s="2"/>
      <c r="G176" s="2"/>
      <c r="H176" s="2"/>
      <c r="I176" s="88">
        <f>SUM(I171:I175)</f>
        <v>5990.835288</v>
      </c>
    </row>
    <row r="177" ht="15.0" customHeight="1">
      <c r="A177" s="137" t="s">
        <v>87</v>
      </c>
      <c r="B177" s="39" t="s">
        <v>176</v>
      </c>
      <c r="C177" s="2"/>
      <c r="D177" s="2"/>
      <c r="E177" s="2"/>
      <c r="F177" s="2"/>
      <c r="G177" s="2"/>
      <c r="H177" s="2"/>
      <c r="I177" s="135">
        <f>I160</f>
        <v>1894.54</v>
      </c>
    </row>
    <row r="178" ht="15.0" customHeight="1">
      <c r="A178" s="136" t="s">
        <v>177</v>
      </c>
      <c r="B178" s="2"/>
      <c r="C178" s="2"/>
      <c r="D178" s="2"/>
      <c r="E178" s="2"/>
      <c r="F178" s="2"/>
      <c r="G178" s="2"/>
      <c r="H178" s="2"/>
      <c r="I178" s="88">
        <f>ROUND(SUM(I176:I177),2)</f>
        <v>7885.38</v>
      </c>
    </row>
    <row r="179" ht="15.0" hidden="1" customHeight="1">
      <c r="A179" s="138"/>
      <c r="B179" s="138"/>
      <c r="C179" s="138"/>
      <c r="D179" s="138"/>
      <c r="E179" s="138"/>
      <c r="F179" s="138"/>
      <c r="G179" s="138"/>
      <c r="H179" s="139"/>
      <c r="I179" s="140"/>
    </row>
    <row r="180" ht="12.75" customHeight="1">
      <c r="A180" s="141"/>
    </row>
    <row r="181" ht="16.5" customHeight="1">
      <c r="A181" s="142" t="s">
        <v>178</v>
      </c>
      <c r="B181" s="143"/>
      <c r="C181" s="143"/>
      <c r="D181" s="143"/>
      <c r="E181" s="143"/>
      <c r="F181" s="143"/>
      <c r="G181" s="143"/>
      <c r="H181" s="143"/>
      <c r="I181" s="143"/>
    </row>
    <row r="182" ht="11.25" customHeight="1">
      <c r="A182" s="144"/>
      <c r="B182" s="144"/>
      <c r="C182" s="144"/>
      <c r="D182" s="144"/>
      <c r="E182" s="144"/>
      <c r="F182" s="144"/>
      <c r="G182" s="144"/>
      <c r="H182" s="144"/>
      <c r="I182" s="145"/>
    </row>
    <row r="183" ht="21.0" customHeight="1">
      <c r="A183" s="138" t="s">
        <v>179</v>
      </c>
    </row>
    <row r="184" ht="45.0" customHeight="1">
      <c r="A184" s="146" t="s">
        <v>180</v>
      </c>
      <c r="B184" s="6"/>
      <c r="C184" s="6"/>
      <c r="D184" s="6"/>
      <c r="E184" s="6"/>
      <c r="F184" s="6"/>
      <c r="G184" s="6"/>
      <c r="H184" s="6"/>
      <c r="I184" s="6"/>
    </row>
    <row r="185" ht="51.0" customHeight="1">
      <c r="A185" s="15" t="s">
        <v>181</v>
      </c>
      <c r="B185" s="3"/>
      <c r="C185" s="15" t="s">
        <v>182</v>
      </c>
      <c r="D185" s="3"/>
      <c r="E185" s="15" t="s">
        <v>183</v>
      </c>
      <c r="F185" s="3"/>
      <c r="G185" s="15" t="s">
        <v>184</v>
      </c>
      <c r="H185" s="2"/>
      <c r="I185" s="3"/>
    </row>
    <row r="186" ht="12.0" customHeight="1">
      <c r="A186" s="147" t="s">
        <v>185</v>
      </c>
      <c r="B186" s="3"/>
      <c r="C186" s="148" t="s">
        <v>186</v>
      </c>
      <c r="D186" s="3"/>
      <c r="E186" s="149">
        <f>I178</f>
        <v>7885.38</v>
      </c>
      <c r="F186" s="3"/>
      <c r="G186" s="150">
        <f>ROUND((1/1200)*E186,2)</f>
        <v>6.57</v>
      </c>
      <c r="H186" s="2"/>
      <c r="I186" s="3"/>
    </row>
    <row r="187" ht="6.75" customHeight="1">
      <c r="A187" s="36"/>
      <c r="B187" s="2"/>
      <c r="C187" s="2"/>
      <c r="D187" s="2"/>
      <c r="E187" s="2"/>
      <c r="F187" s="2"/>
      <c r="G187" s="2"/>
      <c r="H187" s="2"/>
      <c r="I187" s="3"/>
    </row>
    <row r="188" ht="12.75" customHeight="1">
      <c r="A188" s="147" t="s">
        <v>187</v>
      </c>
      <c r="B188" s="3"/>
      <c r="C188" s="148" t="s">
        <v>186</v>
      </c>
      <c r="D188" s="3"/>
      <c r="E188" s="151">
        <f>I178</f>
        <v>7885.38</v>
      </c>
      <c r="F188" s="3"/>
      <c r="G188" s="152">
        <f>ROUND((1/1200)*E188,2)</f>
        <v>6.57</v>
      </c>
      <c r="H188" s="2"/>
      <c r="I188" s="3"/>
    </row>
    <row r="189" ht="6.75" customHeight="1">
      <c r="A189" s="36"/>
      <c r="B189" s="2"/>
      <c r="C189" s="2"/>
      <c r="D189" s="2"/>
      <c r="E189" s="2"/>
      <c r="F189" s="2"/>
      <c r="G189" s="2"/>
      <c r="H189" s="2"/>
      <c r="I189" s="3"/>
    </row>
    <row r="190" ht="12.75" customHeight="1">
      <c r="A190" s="147" t="s">
        <v>188</v>
      </c>
      <c r="B190" s="3"/>
      <c r="C190" s="148" t="s">
        <v>189</v>
      </c>
      <c r="D190" s="3"/>
      <c r="E190" s="150">
        <f>I178</f>
        <v>7885.38</v>
      </c>
      <c r="F190" s="3"/>
      <c r="G190" s="152">
        <f>ROUND((1/450)*E190,2)</f>
        <v>17.52</v>
      </c>
      <c r="H190" s="2"/>
      <c r="I190" s="3"/>
    </row>
    <row r="191" ht="6.0" customHeight="1">
      <c r="A191" s="36"/>
      <c r="B191" s="2"/>
      <c r="C191" s="2"/>
      <c r="D191" s="2"/>
      <c r="E191" s="2"/>
      <c r="F191" s="2"/>
      <c r="G191" s="2"/>
      <c r="H191" s="2"/>
      <c r="I191" s="3"/>
    </row>
    <row r="192" ht="13.5" customHeight="1">
      <c r="A192" s="147" t="s">
        <v>190</v>
      </c>
      <c r="B192" s="3"/>
      <c r="C192" s="148" t="s">
        <v>191</v>
      </c>
      <c r="D192" s="3"/>
      <c r="E192" s="149">
        <f>I178</f>
        <v>7885.38</v>
      </c>
      <c r="F192" s="3"/>
      <c r="G192" s="152">
        <f>ROUND((1/2500)*E192,2)</f>
        <v>3.15</v>
      </c>
      <c r="H192" s="2"/>
      <c r="I192" s="3"/>
    </row>
    <row r="193" ht="6.75" customHeight="1">
      <c r="A193" s="153"/>
      <c r="B193" s="3"/>
      <c r="C193" s="154"/>
      <c r="D193" s="3"/>
      <c r="E193" s="155"/>
      <c r="F193" s="3"/>
      <c r="G193" s="156"/>
      <c r="H193" s="2"/>
      <c r="I193" s="3"/>
    </row>
    <row r="194" ht="13.5" customHeight="1">
      <c r="A194" s="147" t="s">
        <v>192</v>
      </c>
      <c r="B194" s="3"/>
      <c r="C194" s="148" t="s">
        <v>193</v>
      </c>
      <c r="D194" s="3"/>
      <c r="E194" s="149">
        <f>I178</f>
        <v>7885.38</v>
      </c>
      <c r="F194" s="3"/>
      <c r="G194" s="152">
        <f>ROUND((1/1800)*E194,2)</f>
        <v>4.38</v>
      </c>
      <c r="H194" s="2"/>
      <c r="I194" s="3"/>
    </row>
    <row r="195" ht="6.75" customHeight="1">
      <c r="A195" s="157"/>
      <c r="B195" s="2"/>
      <c r="C195" s="2"/>
      <c r="D195" s="2"/>
      <c r="E195" s="2"/>
      <c r="F195" s="2"/>
      <c r="G195" s="2"/>
      <c r="H195" s="2"/>
      <c r="I195" s="3"/>
    </row>
    <row r="196" ht="25.5" customHeight="1">
      <c r="A196" s="147" t="s">
        <v>194</v>
      </c>
      <c r="B196" s="3"/>
      <c r="C196" s="148" t="s">
        <v>195</v>
      </c>
      <c r="D196" s="3"/>
      <c r="E196" s="149">
        <f>I178</f>
        <v>7885.38</v>
      </c>
      <c r="F196" s="3"/>
      <c r="G196" s="152">
        <f>ROUND((1/15000)*E196,2)</f>
        <v>0.53</v>
      </c>
      <c r="H196" s="2"/>
      <c r="I196" s="3"/>
    </row>
    <row r="197" ht="9.75" customHeight="1">
      <c r="A197" s="158"/>
      <c r="B197" s="159"/>
      <c r="C197" s="159"/>
      <c r="D197" s="159"/>
      <c r="E197" s="159"/>
      <c r="F197" s="159"/>
      <c r="G197" s="159"/>
      <c r="H197" s="159"/>
      <c r="I197" s="160"/>
    </row>
    <row r="198" ht="14.25" customHeight="1">
      <c r="A198" s="161" t="s">
        <v>196</v>
      </c>
      <c r="B198" s="162"/>
      <c r="C198" s="163" t="s">
        <v>197</v>
      </c>
      <c r="D198" s="162"/>
      <c r="E198" s="164">
        <f>I178</f>
        <v>7885.38</v>
      </c>
      <c r="F198" s="162"/>
      <c r="G198" s="150">
        <f>ROUND((1/300)*E198,2)</f>
        <v>26.28</v>
      </c>
      <c r="H198" s="2"/>
      <c r="I198" s="3"/>
    </row>
    <row r="199" ht="9.75" customHeight="1">
      <c r="A199" s="158"/>
      <c r="B199" s="159"/>
      <c r="C199" s="159"/>
      <c r="D199" s="159"/>
      <c r="E199" s="159"/>
      <c r="F199" s="159"/>
      <c r="G199" s="159"/>
      <c r="H199" s="159"/>
      <c r="I199" s="160"/>
    </row>
    <row r="200" ht="14.25" customHeight="1">
      <c r="A200" s="161" t="s">
        <v>198</v>
      </c>
      <c r="B200" s="165"/>
      <c r="C200" s="165"/>
      <c r="D200" s="165"/>
      <c r="E200" s="165"/>
      <c r="F200" s="165"/>
      <c r="G200" s="165"/>
      <c r="H200" s="165"/>
      <c r="I200" s="162"/>
    </row>
    <row r="201" ht="9.0" customHeight="1">
      <c r="A201" s="166"/>
      <c r="B201" s="2"/>
      <c r="C201" s="2"/>
      <c r="D201" s="2"/>
      <c r="E201" s="2"/>
      <c r="F201" s="2"/>
      <c r="G201" s="2"/>
      <c r="H201" s="2"/>
      <c r="I201" s="3"/>
    </row>
    <row r="202" ht="24.0" customHeight="1">
      <c r="A202" s="167" t="s">
        <v>199</v>
      </c>
      <c r="B202" s="2"/>
      <c r="C202" s="2"/>
      <c r="D202" s="2"/>
      <c r="E202" s="2"/>
      <c r="F202" s="2"/>
      <c r="G202" s="2"/>
      <c r="H202" s="2"/>
      <c r="I202" s="3"/>
    </row>
    <row r="203" ht="9.0" customHeight="1">
      <c r="A203" s="166"/>
      <c r="B203" s="2"/>
      <c r="C203" s="2"/>
      <c r="D203" s="2"/>
      <c r="E203" s="2"/>
      <c r="F203" s="2"/>
      <c r="G203" s="2"/>
      <c r="H203" s="2"/>
      <c r="I203" s="3"/>
    </row>
    <row r="204" ht="46.5" customHeight="1">
      <c r="A204" s="168" t="s">
        <v>200</v>
      </c>
      <c r="B204" s="2"/>
      <c r="C204" s="2"/>
      <c r="D204" s="2"/>
      <c r="E204" s="2"/>
      <c r="F204" s="2"/>
      <c r="G204" s="2"/>
      <c r="H204" s="2"/>
      <c r="I204" s="2"/>
    </row>
    <row r="205" ht="44.25" customHeight="1">
      <c r="A205" s="15" t="s">
        <v>201</v>
      </c>
      <c r="B205" s="3"/>
      <c r="C205" s="15" t="s">
        <v>202</v>
      </c>
      <c r="D205" s="3"/>
      <c r="E205" s="15" t="s">
        <v>203</v>
      </c>
      <c r="F205" s="3"/>
      <c r="G205" s="15" t="s">
        <v>184</v>
      </c>
      <c r="H205" s="2"/>
      <c r="I205" s="3"/>
    </row>
    <row r="206" ht="42.0" customHeight="1">
      <c r="A206" s="35" t="s">
        <v>204</v>
      </c>
      <c r="B206" s="3"/>
      <c r="C206" s="169" t="s">
        <v>205</v>
      </c>
      <c r="D206" s="3"/>
      <c r="E206" s="151">
        <f>I178</f>
        <v>7885.38</v>
      </c>
      <c r="F206" s="3"/>
      <c r="G206" s="151">
        <f>ROUND((1/2700)*E206,2)</f>
        <v>2.92</v>
      </c>
      <c r="H206" s="2"/>
      <c r="I206" s="3"/>
    </row>
    <row r="207" ht="9.75" customHeight="1">
      <c r="A207" s="94"/>
      <c r="B207" s="2"/>
      <c r="C207" s="2"/>
      <c r="D207" s="2"/>
      <c r="E207" s="2"/>
      <c r="F207" s="2"/>
      <c r="G207" s="2"/>
      <c r="H207" s="2"/>
      <c r="I207" s="3"/>
    </row>
    <row r="208" ht="42.0" customHeight="1">
      <c r="A208" s="35" t="s">
        <v>206</v>
      </c>
      <c r="B208" s="3"/>
      <c r="C208" s="169" t="s">
        <v>207</v>
      </c>
      <c r="D208" s="3"/>
      <c r="E208" s="151">
        <f>I178</f>
        <v>7885.38</v>
      </c>
      <c r="F208" s="3"/>
      <c r="G208" s="151">
        <f>ROUND((1/9000)*E208,2)</f>
        <v>0.88</v>
      </c>
      <c r="H208" s="2"/>
      <c r="I208" s="3"/>
    </row>
    <row r="209" ht="7.5" customHeight="1">
      <c r="A209" s="94"/>
      <c r="B209" s="2"/>
      <c r="C209" s="2"/>
      <c r="D209" s="2"/>
      <c r="E209" s="2"/>
      <c r="F209" s="2"/>
      <c r="G209" s="2"/>
      <c r="H209" s="2"/>
      <c r="I209" s="3"/>
    </row>
    <row r="210" ht="42.0" customHeight="1">
      <c r="A210" s="35" t="s">
        <v>208</v>
      </c>
      <c r="B210" s="3"/>
      <c r="C210" s="169" t="s">
        <v>205</v>
      </c>
      <c r="D210" s="3"/>
      <c r="E210" s="151">
        <f>I178</f>
        <v>7885.38</v>
      </c>
      <c r="F210" s="3"/>
      <c r="G210" s="151">
        <f>ROUND((1/2700)*E210,2)</f>
        <v>2.92</v>
      </c>
      <c r="H210" s="2"/>
      <c r="I210" s="3"/>
    </row>
    <row r="211" ht="8.25" customHeight="1">
      <c r="A211" s="94"/>
      <c r="B211" s="2"/>
      <c r="C211" s="2"/>
      <c r="D211" s="2"/>
      <c r="E211" s="2"/>
      <c r="F211" s="2"/>
      <c r="G211" s="2"/>
      <c r="H211" s="2"/>
      <c r="I211" s="3"/>
    </row>
    <row r="212" ht="42.0" customHeight="1">
      <c r="A212" s="35" t="s">
        <v>209</v>
      </c>
      <c r="B212" s="3"/>
      <c r="C212" s="169" t="s">
        <v>205</v>
      </c>
      <c r="D212" s="3"/>
      <c r="E212" s="151">
        <f>I178</f>
        <v>7885.38</v>
      </c>
      <c r="F212" s="3"/>
      <c r="G212" s="151">
        <f>ROUND((1/2700)*E212,2)</f>
        <v>2.92</v>
      </c>
      <c r="H212" s="2"/>
      <c r="I212" s="3"/>
    </row>
    <row r="213" ht="8.25" customHeight="1">
      <c r="A213" s="94"/>
      <c r="B213" s="2"/>
      <c r="C213" s="2"/>
      <c r="D213" s="2"/>
      <c r="E213" s="2"/>
      <c r="F213" s="2"/>
      <c r="G213" s="2"/>
      <c r="H213" s="2"/>
      <c r="I213" s="3"/>
    </row>
    <row r="214" ht="34.5" customHeight="1">
      <c r="A214" s="35" t="s">
        <v>209</v>
      </c>
      <c r="B214" s="3"/>
      <c r="C214" s="169" t="s">
        <v>205</v>
      </c>
      <c r="D214" s="3"/>
      <c r="E214" s="151">
        <f>I178</f>
        <v>7885.38</v>
      </c>
      <c r="F214" s="3"/>
      <c r="G214" s="151">
        <f>ROUND((1/2700)*E214,2)</f>
        <v>2.92</v>
      </c>
      <c r="H214" s="2"/>
      <c r="I214" s="3"/>
    </row>
    <row r="215" ht="8.25" customHeight="1">
      <c r="A215" s="170"/>
      <c r="B215" s="170"/>
      <c r="C215" s="170"/>
      <c r="D215" s="170"/>
      <c r="E215" s="170"/>
      <c r="F215" s="170"/>
      <c r="G215" s="170"/>
      <c r="H215" s="170"/>
      <c r="I215" s="170"/>
    </row>
    <row r="216" ht="30.0" customHeight="1">
      <c r="A216" s="35" t="s">
        <v>210</v>
      </c>
      <c r="B216" s="3"/>
      <c r="C216" s="169" t="s">
        <v>211</v>
      </c>
      <c r="D216" s="3"/>
      <c r="E216" s="151">
        <f>I178</f>
        <v>7885.38</v>
      </c>
      <c r="F216" s="3"/>
      <c r="G216" s="151">
        <f>ROUND((1/100000)*E216,2)</f>
        <v>0.08</v>
      </c>
      <c r="H216" s="2"/>
      <c r="I216" s="3"/>
    </row>
    <row r="217" ht="8.25" customHeight="1">
      <c r="A217" s="170"/>
      <c r="B217" s="170"/>
      <c r="C217" s="170"/>
      <c r="D217" s="170"/>
      <c r="E217" s="170"/>
      <c r="F217" s="170"/>
      <c r="G217" s="170"/>
      <c r="H217" s="170"/>
      <c r="I217" s="170"/>
    </row>
    <row r="218" ht="15.75" customHeight="1">
      <c r="A218" s="35" t="s">
        <v>212</v>
      </c>
      <c r="B218" s="2"/>
      <c r="C218" s="2"/>
      <c r="D218" s="2"/>
      <c r="E218" s="2"/>
      <c r="F218" s="2"/>
      <c r="G218" s="2"/>
      <c r="H218" s="2"/>
      <c r="I218" s="3"/>
    </row>
    <row r="219" ht="10.5" customHeight="1">
      <c r="A219" s="29"/>
      <c r="B219" s="2"/>
      <c r="C219" s="2"/>
      <c r="D219" s="2"/>
      <c r="E219" s="2"/>
      <c r="F219" s="2"/>
      <c r="G219" s="2"/>
      <c r="H219" s="2"/>
      <c r="I219" s="3"/>
    </row>
    <row r="220" ht="24.75" customHeight="1">
      <c r="A220" s="9" t="s">
        <v>213</v>
      </c>
      <c r="B220" s="2"/>
      <c r="C220" s="2"/>
      <c r="D220" s="2"/>
      <c r="E220" s="2"/>
      <c r="F220" s="2"/>
      <c r="G220" s="2"/>
      <c r="H220" s="2"/>
      <c r="I220" s="3"/>
    </row>
    <row r="221" ht="10.5" customHeight="1">
      <c r="A221" s="29"/>
      <c r="B221" s="2"/>
      <c r="C221" s="2"/>
      <c r="D221" s="2"/>
      <c r="E221" s="2"/>
      <c r="F221" s="2"/>
      <c r="G221" s="2"/>
      <c r="H221" s="2"/>
      <c r="I221" s="3"/>
    </row>
    <row r="222" ht="12.0" customHeight="1">
      <c r="A222" s="171" t="s">
        <v>214</v>
      </c>
      <c r="B222" s="165"/>
      <c r="C222" s="165"/>
      <c r="D222" s="165"/>
      <c r="E222" s="165"/>
      <c r="F222" s="165"/>
      <c r="G222" s="165"/>
      <c r="H222" s="165"/>
      <c r="I222" s="162"/>
    </row>
    <row r="223" ht="36.75" customHeight="1">
      <c r="A223" s="130"/>
      <c r="B223" s="6"/>
      <c r="C223" s="6"/>
      <c r="D223" s="6"/>
      <c r="E223" s="6"/>
      <c r="F223" s="6"/>
      <c r="G223" s="6"/>
      <c r="H223" s="6"/>
      <c r="I223" s="7"/>
    </row>
    <row r="224" ht="69.0" customHeight="1">
      <c r="A224" s="60" t="s">
        <v>215</v>
      </c>
      <c r="B224" s="172" t="s">
        <v>216</v>
      </c>
      <c r="C224" s="172" t="s">
        <v>217</v>
      </c>
      <c r="D224" s="173" t="s">
        <v>218</v>
      </c>
      <c r="E224" s="3"/>
      <c r="F224" s="172" t="s">
        <v>219</v>
      </c>
      <c r="G224" s="172" t="s">
        <v>220</v>
      </c>
      <c r="H224" s="173" t="s">
        <v>221</v>
      </c>
      <c r="I224" s="3"/>
    </row>
    <row r="225" ht="51.0" customHeight="1">
      <c r="A225" s="174" t="s">
        <v>222</v>
      </c>
      <c r="B225" s="175" t="s">
        <v>223</v>
      </c>
      <c r="C225" s="118" t="s">
        <v>224</v>
      </c>
      <c r="D225" s="176" t="s">
        <v>225</v>
      </c>
      <c r="E225" s="3"/>
      <c r="F225" s="177">
        <f>ROUND((1/160)*16*(1/188.76),7)</f>
        <v>0.0005298</v>
      </c>
      <c r="G225" s="119">
        <f>I178</f>
        <v>7885.38</v>
      </c>
      <c r="H225" s="151">
        <f>ROUND(F225*G225,2)</f>
        <v>4.18</v>
      </c>
      <c r="I225" s="3"/>
    </row>
    <row r="226" ht="9.0" customHeight="1">
      <c r="A226" s="43"/>
      <c r="B226" s="2"/>
      <c r="C226" s="2"/>
      <c r="D226" s="2"/>
      <c r="E226" s="2"/>
      <c r="F226" s="2"/>
      <c r="G226" s="2"/>
      <c r="H226" s="2"/>
      <c r="I226" s="3"/>
    </row>
    <row r="227" ht="51.0" customHeight="1">
      <c r="A227" s="174" t="s">
        <v>226</v>
      </c>
      <c r="B227" s="175" t="s">
        <v>227</v>
      </c>
      <c r="C227" s="118" t="s">
        <v>224</v>
      </c>
      <c r="D227" s="176" t="s">
        <v>225</v>
      </c>
      <c r="E227" s="3"/>
      <c r="F227" s="177">
        <f>ROUND((1/380)*16*(1/188.76),7)</f>
        <v>0.0002231</v>
      </c>
      <c r="G227" s="119">
        <f>I178</f>
        <v>7885.38</v>
      </c>
      <c r="H227" s="151">
        <f>ROUND(F227*G227,2)</f>
        <v>1.76</v>
      </c>
      <c r="I227" s="3"/>
    </row>
    <row r="228" ht="6.75" customHeight="1">
      <c r="A228" s="178"/>
      <c r="B228" s="2"/>
      <c r="C228" s="2"/>
      <c r="D228" s="2"/>
      <c r="E228" s="2"/>
      <c r="F228" s="2"/>
      <c r="G228" s="2"/>
      <c r="H228" s="2"/>
      <c r="I228" s="3"/>
    </row>
    <row r="229" ht="25.5" customHeight="1">
      <c r="A229" s="174" t="s">
        <v>228</v>
      </c>
      <c r="B229" s="179" t="s">
        <v>227</v>
      </c>
      <c r="C229" s="180" t="s">
        <v>224</v>
      </c>
      <c r="D229" s="176" t="s">
        <v>225</v>
      </c>
      <c r="E229" s="3"/>
      <c r="F229" s="177">
        <f>ROUND((1/380)*16*(1/188.76),7)</f>
        <v>0.0002231</v>
      </c>
      <c r="G229" s="119">
        <f>I178</f>
        <v>7885.38</v>
      </c>
      <c r="H229" s="151">
        <f>ROUND(F229*G229,2)</f>
        <v>1.76</v>
      </c>
      <c r="I229" s="3"/>
    </row>
    <row r="230" ht="9.75" customHeight="1">
      <c r="A230" s="43"/>
      <c r="B230" s="2"/>
      <c r="C230" s="2"/>
      <c r="D230" s="2"/>
      <c r="E230" s="2"/>
      <c r="F230" s="2"/>
      <c r="G230" s="2"/>
      <c r="H230" s="2"/>
      <c r="I230" s="3"/>
    </row>
    <row r="231" ht="37.5" customHeight="1">
      <c r="A231" s="174" t="s">
        <v>229</v>
      </c>
      <c r="B231" s="179" t="s">
        <v>189</v>
      </c>
      <c r="C231" s="180" t="s">
        <v>224</v>
      </c>
      <c r="D231" s="176" t="s">
        <v>225</v>
      </c>
      <c r="E231" s="3"/>
      <c r="F231" s="177">
        <f>ROUND((1/450)*16*(1/188.76),7)</f>
        <v>0.0001884</v>
      </c>
      <c r="G231" s="119">
        <f>I178</f>
        <v>7885.38</v>
      </c>
      <c r="H231" s="151">
        <f>ROUND(F231*G231,2)</f>
        <v>1.49</v>
      </c>
      <c r="I231" s="3"/>
    </row>
    <row r="232" ht="9.75" customHeight="1">
      <c r="A232" s="43"/>
      <c r="B232" s="2"/>
      <c r="C232" s="2"/>
      <c r="D232" s="2"/>
      <c r="E232" s="2"/>
      <c r="F232" s="2"/>
      <c r="G232" s="2"/>
      <c r="H232" s="2"/>
      <c r="I232" s="3"/>
    </row>
    <row r="233" ht="16.5" customHeight="1">
      <c r="A233" s="181" t="s">
        <v>230</v>
      </c>
      <c r="B233" s="179" t="s">
        <v>223</v>
      </c>
      <c r="C233" s="180" t="s">
        <v>224</v>
      </c>
      <c r="D233" s="176" t="s">
        <v>225</v>
      </c>
      <c r="E233" s="3"/>
      <c r="F233" s="182">
        <f>ROUND((1/160)*16*(1/188.76),7)</f>
        <v>0.0005298</v>
      </c>
      <c r="G233" s="183">
        <f>I178</f>
        <v>7885.38</v>
      </c>
      <c r="H233" s="13">
        <f>ROUND(F233*G233,2)</f>
        <v>4.18</v>
      </c>
      <c r="I233" s="3"/>
    </row>
    <row r="234" ht="9.75" customHeight="1">
      <c r="A234" s="43"/>
      <c r="B234" s="2"/>
      <c r="C234" s="2"/>
      <c r="D234" s="2"/>
      <c r="E234" s="2"/>
      <c r="F234" s="2"/>
      <c r="G234" s="2"/>
      <c r="H234" s="2"/>
      <c r="I234" s="3"/>
    </row>
    <row r="235" ht="12.75" customHeight="1">
      <c r="A235" s="35" t="s">
        <v>231</v>
      </c>
      <c r="B235" s="2"/>
      <c r="C235" s="2"/>
      <c r="D235" s="2"/>
      <c r="E235" s="2"/>
      <c r="F235" s="2"/>
      <c r="G235" s="2"/>
      <c r="H235" s="2"/>
      <c r="I235" s="3"/>
    </row>
    <row r="236" ht="7.5" customHeight="1">
      <c r="A236" s="36"/>
      <c r="B236" s="2"/>
      <c r="C236" s="2"/>
      <c r="D236" s="2"/>
      <c r="E236" s="2"/>
      <c r="F236" s="2"/>
      <c r="G236" s="2"/>
      <c r="H236" s="2"/>
      <c r="I236" s="3"/>
    </row>
    <row r="237" ht="25.5" customHeight="1">
      <c r="A237" s="184" t="s">
        <v>232</v>
      </c>
      <c r="B237" s="2"/>
      <c r="C237" s="2"/>
      <c r="D237" s="2"/>
      <c r="E237" s="2"/>
      <c r="F237" s="2"/>
      <c r="G237" s="2"/>
      <c r="H237" s="2"/>
      <c r="I237" s="3"/>
    </row>
    <row r="238" ht="7.5" customHeight="1">
      <c r="A238" s="36"/>
      <c r="B238" s="2"/>
      <c r="C238" s="2"/>
      <c r="D238" s="2"/>
      <c r="E238" s="2"/>
      <c r="F238" s="2"/>
      <c r="G238" s="2"/>
      <c r="H238" s="2"/>
      <c r="I238" s="3"/>
    </row>
    <row r="239" ht="11.25" customHeight="1">
      <c r="A239" s="185" t="s">
        <v>233</v>
      </c>
      <c r="B239" s="165"/>
      <c r="C239" s="165"/>
      <c r="D239" s="165"/>
      <c r="E239" s="165"/>
      <c r="F239" s="165"/>
      <c r="G239" s="165"/>
      <c r="H239" s="165"/>
      <c r="I239" s="162"/>
    </row>
    <row r="240" ht="11.25" customHeight="1">
      <c r="A240" s="130"/>
      <c r="B240" s="6"/>
      <c r="C240" s="6"/>
      <c r="D240" s="6"/>
      <c r="E240" s="6"/>
      <c r="F240" s="6"/>
      <c r="G240" s="6"/>
      <c r="H240" s="6"/>
      <c r="I240" s="7"/>
    </row>
    <row r="241" ht="25.5" customHeight="1">
      <c r="A241" s="186" t="s">
        <v>234</v>
      </c>
      <c r="B241" s="187"/>
      <c r="C241" s="188"/>
      <c r="D241" s="189" t="s">
        <v>235</v>
      </c>
      <c r="E241" s="188"/>
      <c r="F241" s="37" t="s">
        <v>236</v>
      </c>
      <c r="G241" s="189" t="s">
        <v>237</v>
      </c>
      <c r="H241" s="187"/>
      <c r="I241" s="188"/>
    </row>
    <row r="242" ht="13.5" customHeight="1">
      <c r="A242" s="167" t="s">
        <v>23</v>
      </c>
      <c r="B242" s="2"/>
      <c r="C242" s="3"/>
      <c r="D242" s="190">
        <f>G186</f>
        <v>6.57</v>
      </c>
      <c r="E242" s="3"/>
      <c r="F242" s="191">
        <f t="shared" ref="F242:F249" si="6">H13</f>
        <v>0</v>
      </c>
      <c r="G242" s="192">
        <f t="shared" ref="G242:G248" si="7">ROUND(D242*F242,2)</f>
        <v>0</v>
      </c>
      <c r="H242" s="2"/>
      <c r="I242" s="3"/>
    </row>
    <row r="243" ht="13.5" customHeight="1">
      <c r="A243" s="167" t="s">
        <v>25</v>
      </c>
      <c r="B243" s="2"/>
      <c r="C243" s="3"/>
      <c r="D243" s="190">
        <f>G188</f>
        <v>6.57</v>
      </c>
      <c r="E243" s="3"/>
      <c r="F243" s="191">
        <f t="shared" si="6"/>
        <v>1477.96</v>
      </c>
      <c r="G243" s="192">
        <f t="shared" si="7"/>
        <v>9710.2</v>
      </c>
      <c r="H243" s="2"/>
      <c r="I243" s="3"/>
    </row>
    <row r="244" ht="13.5" customHeight="1">
      <c r="A244" s="167" t="s">
        <v>26</v>
      </c>
      <c r="B244" s="2"/>
      <c r="C244" s="3"/>
      <c r="D244" s="190">
        <f>G190</f>
        <v>17.52</v>
      </c>
      <c r="E244" s="3"/>
      <c r="F244" s="191">
        <f t="shared" si="6"/>
        <v>0</v>
      </c>
      <c r="G244" s="192">
        <f t="shared" si="7"/>
        <v>0</v>
      </c>
      <c r="H244" s="2"/>
      <c r="I244" s="3"/>
    </row>
    <row r="245" ht="13.5" customHeight="1">
      <c r="A245" s="167" t="s">
        <v>27</v>
      </c>
      <c r="B245" s="2"/>
      <c r="C245" s="3"/>
      <c r="D245" s="190">
        <f>G192</f>
        <v>3.15</v>
      </c>
      <c r="E245" s="3"/>
      <c r="F245" s="191">
        <f t="shared" si="6"/>
        <v>140.7</v>
      </c>
      <c r="G245" s="192">
        <f t="shared" si="7"/>
        <v>443.21</v>
      </c>
      <c r="H245" s="2"/>
      <c r="I245" s="3"/>
    </row>
    <row r="246" ht="13.5" customHeight="1">
      <c r="A246" s="167" t="s">
        <v>28</v>
      </c>
      <c r="B246" s="2"/>
      <c r="C246" s="3"/>
      <c r="D246" s="190">
        <f>G194</f>
        <v>4.38</v>
      </c>
      <c r="E246" s="3"/>
      <c r="F246" s="191">
        <f t="shared" si="6"/>
        <v>0</v>
      </c>
      <c r="G246" s="192">
        <f t="shared" si="7"/>
        <v>0</v>
      </c>
      <c r="H246" s="2"/>
      <c r="I246" s="3"/>
    </row>
    <row r="247" ht="15.75" customHeight="1">
      <c r="A247" s="184" t="s">
        <v>29</v>
      </c>
      <c r="B247" s="2"/>
      <c r="C247" s="3"/>
      <c r="D247" s="190">
        <f>G196</f>
        <v>0.53</v>
      </c>
      <c r="E247" s="3"/>
      <c r="F247" s="191">
        <f t="shared" si="6"/>
        <v>315.73</v>
      </c>
      <c r="G247" s="192">
        <f t="shared" si="7"/>
        <v>167.34</v>
      </c>
      <c r="H247" s="2"/>
      <c r="I247" s="3"/>
    </row>
    <row r="248" ht="20.25" customHeight="1">
      <c r="A248" s="9" t="s">
        <v>238</v>
      </c>
      <c r="B248" s="2"/>
      <c r="C248" s="3"/>
      <c r="D248" s="193">
        <f>G198</f>
        <v>26.28</v>
      </c>
      <c r="E248" s="3"/>
      <c r="F248" s="194">
        <f t="shared" si="6"/>
        <v>92.41</v>
      </c>
      <c r="G248" s="192">
        <f t="shared" si="7"/>
        <v>2428.53</v>
      </c>
      <c r="H248" s="2"/>
      <c r="I248" s="3"/>
    </row>
    <row r="249" ht="16.5" customHeight="1">
      <c r="A249" s="195" t="s">
        <v>31</v>
      </c>
      <c r="B249" s="2"/>
      <c r="C249" s="2"/>
      <c r="D249" s="2"/>
      <c r="E249" s="3"/>
      <c r="F249" s="196">
        <f t="shared" si="6"/>
        <v>2026.8</v>
      </c>
      <c r="G249" s="197">
        <f>SUM(G242:I248)</f>
        <v>12749.28</v>
      </c>
      <c r="H249" s="2"/>
      <c r="I249" s="3"/>
    </row>
    <row r="250" ht="6.75" customHeight="1">
      <c r="A250" s="198"/>
      <c r="B250" s="2"/>
      <c r="C250" s="2"/>
      <c r="D250" s="2"/>
      <c r="E250" s="2"/>
      <c r="F250" s="2"/>
      <c r="G250" s="2"/>
      <c r="H250" s="2"/>
      <c r="I250" s="3"/>
    </row>
    <row r="251" ht="24.0" customHeight="1">
      <c r="A251" s="199" t="s">
        <v>32</v>
      </c>
      <c r="B251" s="6"/>
      <c r="C251" s="7"/>
      <c r="D251" s="200">
        <f>G206</f>
        <v>2.92</v>
      </c>
      <c r="E251" s="7"/>
      <c r="F251" s="201">
        <f t="shared" ref="F251:F257" si="8">H22</f>
        <v>105</v>
      </c>
      <c r="G251" s="192">
        <f t="shared" ref="G251:G256" si="9">ROUND(D251*F251,2)</f>
        <v>306.6</v>
      </c>
      <c r="H251" s="2"/>
      <c r="I251" s="3"/>
    </row>
    <row r="252" ht="24.0" customHeight="1">
      <c r="A252" s="199" t="s">
        <v>239</v>
      </c>
      <c r="B252" s="6"/>
      <c r="C252" s="7"/>
      <c r="D252" s="200">
        <f>G208</f>
        <v>0.88</v>
      </c>
      <c r="E252" s="7"/>
      <c r="F252" s="201">
        <f t="shared" si="8"/>
        <v>1150</v>
      </c>
      <c r="G252" s="192">
        <f t="shared" si="9"/>
        <v>1012</v>
      </c>
      <c r="H252" s="2"/>
      <c r="I252" s="3"/>
    </row>
    <row r="253" ht="24.0" customHeight="1">
      <c r="A253" s="199" t="s">
        <v>240</v>
      </c>
      <c r="B253" s="6"/>
      <c r="C253" s="7"/>
      <c r="D253" s="200">
        <f>G210</f>
        <v>2.92</v>
      </c>
      <c r="E253" s="7"/>
      <c r="F253" s="201">
        <f t="shared" si="8"/>
        <v>0</v>
      </c>
      <c r="G253" s="192">
        <f t="shared" si="9"/>
        <v>0</v>
      </c>
      <c r="H253" s="2"/>
      <c r="I253" s="3"/>
    </row>
    <row r="254" ht="24.0" customHeight="1">
      <c r="A254" s="199" t="s">
        <v>241</v>
      </c>
      <c r="B254" s="6"/>
      <c r="C254" s="7"/>
      <c r="D254" s="200">
        <f>G212</f>
        <v>2.92</v>
      </c>
      <c r="E254" s="7"/>
      <c r="F254" s="201">
        <f t="shared" si="8"/>
        <v>0</v>
      </c>
      <c r="G254" s="192">
        <f t="shared" si="9"/>
        <v>0</v>
      </c>
      <c r="H254" s="2"/>
      <c r="I254" s="3"/>
    </row>
    <row r="255" ht="24.0" customHeight="1">
      <c r="A255" s="199" t="s">
        <v>242</v>
      </c>
      <c r="B255" s="6"/>
      <c r="C255" s="7"/>
      <c r="D255" s="200">
        <f>G214</f>
        <v>2.92</v>
      </c>
      <c r="E255" s="7"/>
      <c r="F255" s="201">
        <f t="shared" si="8"/>
        <v>18.58</v>
      </c>
      <c r="G255" s="192">
        <f t="shared" si="9"/>
        <v>54.25</v>
      </c>
      <c r="H255" s="2"/>
      <c r="I255" s="3"/>
    </row>
    <row r="256" ht="24.0" customHeight="1">
      <c r="A256" s="199" t="s">
        <v>243</v>
      </c>
      <c r="B256" s="6"/>
      <c r="C256" s="7"/>
      <c r="D256" s="200">
        <f>G216</f>
        <v>0.08</v>
      </c>
      <c r="E256" s="7"/>
      <c r="F256" s="201">
        <f t="shared" si="8"/>
        <v>0</v>
      </c>
      <c r="G256" s="192">
        <f t="shared" si="9"/>
        <v>0</v>
      </c>
      <c r="H256" s="2"/>
      <c r="I256" s="3"/>
    </row>
    <row r="257" ht="12.75" customHeight="1">
      <c r="A257" s="195" t="s">
        <v>38</v>
      </c>
      <c r="B257" s="2"/>
      <c r="C257" s="2"/>
      <c r="D257" s="2"/>
      <c r="E257" s="3"/>
      <c r="F257" s="202">
        <f t="shared" si="8"/>
        <v>1273.58</v>
      </c>
      <c r="G257" s="197">
        <f>SUM(G251:I256)</f>
        <v>1372.85</v>
      </c>
      <c r="H257" s="2"/>
      <c r="I257" s="3"/>
    </row>
    <row r="258" ht="9.0" customHeight="1">
      <c r="A258" s="203"/>
      <c r="B258" s="2"/>
      <c r="C258" s="2"/>
      <c r="D258" s="2"/>
      <c r="E258" s="2"/>
      <c r="F258" s="2"/>
      <c r="G258" s="2"/>
      <c r="H258" s="2"/>
      <c r="I258" s="3"/>
    </row>
    <row r="259" ht="24.0" customHeight="1">
      <c r="A259" s="184" t="s">
        <v>244</v>
      </c>
      <c r="B259" s="2"/>
      <c r="C259" s="3"/>
      <c r="D259" s="190">
        <f>H225</f>
        <v>4.18</v>
      </c>
      <c r="E259" s="3"/>
      <c r="F259" s="191">
        <f t="shared" ref="F259:F261" si="10">H30</f>
        <v>0</v>
      </c>
      <c r="G259" s="192">
        <f t="shared" ref="G259:G262" si="11">ROUND((D259*F259),2)</f>
        <v>0</v>
      </c>
      <c r="H259" s="2"/>
      <c r="I259" s="3"/>
    </row>
    <row r="260" ht="24.0" customHeight="1">
      <c r="A260" s="184" t="s">
        <v>245</v>
      </c>
      <c r="B260" s="2"/>
      <c r="C260" s="3"/>
      <c r="D260" s="190">
        <f>H227</f>
        <v>1.76</v>
      </c>
      <c r="E260" s="3"/>
      <c r="F260" s="191">
        <f t="shared" si="10"/>
        <v>80</v>
      </c>
      <c r="G260" s="192">
        <f t="shared" si="11"/>
        <v>140.8</v>
      </c>
      <c r="H260" s="2"/>
      <c r="I260" s="3"/>
    </row>
    <row r="261" ht="13.5" customHeight="1">
      <c r="A261" s="184" t="s">
        <v>246</v>
      </c>
      <c r="B261" s="2"/>
      <c r="C261" s="3"/>
      <c r="D261" s="190">
        <f>H229</f>
        <v>1.76</v>
      </c>
      <c r="E261" s="3"/>
      <c r="F261" s="191">
        <f t="shared" si="10"/>
        <v>659</v>
      </c>
      <c r="G261" s="192">
        <f t="shared" si="11"/>
        <v>1159.84</v>
      </c>
      <c r="H261" s="2"/>
      <c r="I261" s="3"/>
    </row>
    <row r="262" ht="13.5" customHeight="1">
      <c r="A262" s="184" t="s">
        <v>43</v>
      </c>
      <c r="B262" s="2"/>
      <c r="C262" s="3"/>
      <c r="D262" s="190">
        <f>H231</f>
        <v>1.49</v>
      </c>
      <c r="E262" s="3"/>
      <c r="F262" s="191">
        <f>H35</f>
        <v>0</v>
      </c>
      <c r="G262" s="192">
        <f t="shared" si="11"/>
        <v>0</v>
      </c>
      <c r="H262" s="2"/>
      <c r="I262" s="3"/>
    </row>
    <row r="263" ht="12.75" customHeight="1">
      <c r="A263" s="195" t="s">
        <v>247</v>
      </c>
      <c r="B263" s="2"/>
      <c r="C263" s="2"/>
      <c r="D263" s="2"/>
      <c r="E263" s="3"/>
      <c r="F263" s="196">
        <f>H33</f>
        <v>739</v>
      </c>
      <c r="G263" s="197">
        <f>SUM(G259:I262)</f>
        <v>1300.64</v>
      </c>
      <c r="H263" s="2"/>
      <c r="I263" s="3"/>
    </row>
    <row r="264" ht="7.5" customHeight="1">
      <c r="A264" s="36"/>
      <c r="B264" s="2"/>
      <c r="C264" s="2"/>
      <c r="D264" s="2"/>
      <c r="E264" s="2"/>
      <c r="F264" s="2"/>
      <c r="G264" s="2"/>
      <c r="H264" s="2"/>
      <c r="I264" s="3"/>
    </row>
    <row r="265" ht="12.75" customHeight="1">
      <c r="A265" s="204" t="s">
        <v>248</v>
      </c>
      <c r="B265" s="6"/>
      <c r="C265" s="6"/>
      <c r="D265" s="6"/>
      <c r="E265" s="7"/>
      <c r="F265" s="205">
        <f>ROUND(F249+F257+F262+F263,2)</f>
        <v>4039.38</v>
      </c>
      <c r="G265" s="206">
        <f>SUM(G249+G257+G263)</f>
        <v>15422.77</v>
      </c>
      <c r="H265" s="2"/>
      <c r="I265" s="3"/>
    </row>
    <row r="266" ht="6.75" customHeight="1">
      <c r="A266" s="157"/>
      <c r="B266" s="2"/>
      <c r="C266" s="2"/>
      <c r="D266" s="2"/>
      <c r="E266" s="2"/>
      <c r="F266" s="2"/>
      <c r="G266" s="2"/>
      <c r="H266" s="2"/>
      <c r="I266" s="3"/>
    </row>
    <row r="267" ht="18.75" customHeight="1">
      <c r="A267" s="9" t="s">
        <v>249</v>
      </c>
      <c r="B267" s="2"/>
      <c r="C267" s="2"/>
      <c r="D267" s="2"/>
      <c r="E267" s="2"/>
      <c r="F267" s="3"/>
      <c r="G267" s="207">
        <f>G265</f>
        <v>15422.77</v>
      </c>
      <c r="H267" s="2"/>
      <c r="I267" s="3"/>
    </row>
    <row r="268" ht="8.25" customHeight="1">
      <c r="A268" s="208"/>
      <c r="B268" s="159"/>
      <c r="C268" s="159"/>
      <c r="D268" s="159"/>
      <c r="E268" s="159"/>
      <c r="F268" s="159"/>
      <c r="G268" s="159"/>
      <c r="H268" s="159"/>
      <c r="I268" s="159"/>
    </row>
    <row r="269" ht="19.5" customHeight="1">
      <c r="A269" s="9" t="s">
        <v>250</v>
      </c>
      <c r="B269" s="2"/>
      <c r="C269" s="2"/>
      <c r="D269" s="2"/>
      <c r="E269" s="2"/>
      <c r="F269" s="3"/>
      <c r="G269" s="13">
        <f>H10</f>
        <v>12</v>
      </c>
      <c r="H269" s="2"/>
      <c r="I269" s="3"/>
    </row>
    <row r="270" ht="14.25" customHeight="1">
      <c r="A270" s="209"/>
      <c r="B270" s="2"/>
      <c r="C270" s="2"/>
      <c r="D270" s="2"/>
      <c r="E270" s="2"/>
      <c r="F270" s="2"/>
      <c r="G270" s="2"/>
      <c r="H270" s="2"/>
      <c r="I270" s="2"/>
    </row>
    <row r="271" ht="31.5" customHeight="1">
      <c r="A271" s="9" t="s">
        <v>251</v>
      </c>
      <c r="B271" s="2"/>
      <c r="C271" s="2"/>
      <c r="D271" s="2"/>
      <c r="E271" s="2"/>
      <c r="F271" s="3"/>
      <c r="G271" s="210">
        <f>ROUND(G265*G269,2)</f>
        <v>185073.24</v>
      </c>
      <c r="H271" s="2"/>
      <c r="I271" s="3"/>
    </row>
    <row r="272" ht="8.25" customHeight="1">
      <c r="A272" s="94"/>
      <c r="B272" s="2"/>
      <c r="C272" s="2"/>
      <c r="D272" s="2"/>
      <c r="E272" s="2"/>
      <c r="F272" s="2"/>
      <c r="G272" s="2"/>
      <c r="H272" s="2"/>
      <c r="I272" s="3"/>
    </row>
    <row r="273" ht="29.25" customHeight="1">
      <c r="A273" s="211" t="s">
        <v>252</v>
      </c>
      <c r="B273" s="2"/>
      <c r="C273" s="2"/>
      <c r="D273" s="2"/>
      <c r="E273" s="2"/>
      <c r="F273" s="2"/>
      <c r="G273" s="2"/>
      <c r="H273" s="2"/>
      <c r="I273" s="3"/>
    </row>
    <row r="274" ht="12.0" customHeight="1">
      <c r="A274" s="212" t="s">
        <v>253</v>
      </c>
      <c r="B274" s="165"/>
      <c r="C274" s="165"/>
      <c r="D274" s="165"/>
      <c r="E274" s="165"/>
      <c r="F274" s="165"/>
      <c r="G274" s="162"/>
      <c r="H274" s="213" t="s">
        <v>254</v>
      </c>
      <c r="I274" s="162"/>
    </row>
    <row r="275" ht="11.25" customHeight="1">
      <c r="A275" s="130"/>
      <c r="B275" s="6"/>
      <c r="C275" s="6"/>
      <c r="D275" s="6"/>
      <c r="E275" s="6"/>
      <c r="F275" s="6"/>
      <c r="G275" s="7"/>
      <c r="H275" s="130"/>
      <c r="I275" s="7"/>
    </row>
    <row r="276" ht="11.25" customHeight="1">
      <c r="A276" s="214" t="s">
        <v>255</v>
      </c>
      <c r="B276" s="2"/>
      <c r="C276" s="2"/>
      <c r="D276" s="2"/>
      <c r="E276" s="2"/>
      <c r="F276" s="2"/>
      <c r="G276" s="3"/>
      <c r="H276" s="215">
        <f>'CÁLCULO DO Nº DE SERVENTES'!P23</f>
        <v>2</v>
      </c>
      <c r="I276" s="3"/>
    </row>
    <row r="277" ht="12.75" customHeight="1">
      <c r="A277" s="184"/>
      <c r="B277" s="2"/>
      <c r="C277" s="2"/>
      <c r="D277" s="2"/>
      <c r="E277" s="2"/>
      <c r="F277" s="2"/>
      <c r="G277" s="2"/>
      <c r="H277" s="2"/>
      <c r="I277" s="3"/>
    </row>
    <row r="278" ht="9.0" customHeight="1">
      <c r="A278" s="216"/>
      <c r="B278" s="165"/>
      <c r="C278" s="165"/>
      <c r="D278" s="165"/>
      <c r="E278" s="165"/>
      <c r="F278" s="165"/>
      <c r="G278" s="165"/>
      <c r="H278" s="165"/>
      <c r="I278" s="162"/>
    </row>
    <row r="279" ht="11.25" hidden="1" customHeight="1">
      <c r="A279" s="130"/>
      <c r="B279" s="6"/>
      <c r="C279" s="6"/>
      <c r="D279" s="6"/>
      <c r="E279" s="6"/>
      <c r="F279" s="6"/>
      <c r="G279" s="6"/>
      <c r="H279" s="6"/>
      <c r="I279" s="7"/>
    </row>
    <row r="280" ht="11.25" customHeight="1">
      <c r="A280" s="217"/>
      <c r="B280" s="217"/>
      <c r="C280" s="217"/>
      <c r="D280" s="217"/>
      <c r="E280" s="217"/>
      <c r="F280" s="217"/>
      <c r="G280" s="217"/>
      <c r="H280" s="217"/>
      <c r="I280" s="218"/>
    </row>
    <row r="281" ht="11.25" customHeight="1">
      <c r="A281" s="217"/>
      <c r="B281" s="217"/>
      <c r="C281" s="217"/>
      <c r="D281" s="217"/>
      <c r="E281" s="217"/>
      <c r="F281" s="217"/>
      <c r="G281" s="217"/>
      <c r="H281" s="217"/>
      <c r="I281" s="218"/>
    </row>
  </sheetData>
  <mergeCells count="419">
    <mergeCell ref="A37:I37"/>
    <mergeCell ref="A38:I38"/>
    <mergeCell ref="A39:I39"/>
    <mergeCell ref="A40:I40"/>
    <mergeCell ref="B41:G41"/>
    <mergeCell ref="H41:I41"/>
    <mergeCell ref="H42:I42"/>
    <mergeCell ref="B42:G42"/>
    <mergeCell ref="B43:G43"/>
    <mergeCell ref="H43:I43"/>
    <mergeCell ref="B44:G44"/>
    <mergeCell ref="H44:I44"/>
    <mergeCell ref="B45:G45"/>
    <mergeCell ref="H45:I45"/>
    <mergeCell ref="A1:I1"/>
    <mergeCell ref="A2:I2"/>
    <mergeCell ref="A3:E3"/>
    <mergeCell ref="F3:I3"/>
    <mergeCell ref="A4:E4"/>
    <mergeCell ref="F4:I4"/>
    <mergeCell ref="A5:I5"/>
    <mergeCell ref="A6:I6"/>
    <mergeCell ref="B7:G7"/>
    <mergeCell ref="H7:I7"/>
    <mergeCell ref="B8:G8"/>
    <mergeCell ref="H8:I8"/>
    <mergeCell ref="B9:G9"/>
    <mergeCell ref="H9:I9"/>
    <mergeCell ref="F13:G13"/>
    <mergeCell ref="H13:I13"/>
    <mergeCell ref="B10:G10"/>
    <mergeCell ref="H10:I10"/>
    <mergeCell ref="A11:I11"/>
    <mergeCell ref="A12:E12"/>
    <mergeCell ref="F12:G12"/>
    <mergeCell ref="H12:I12"/>
    <mergeCell ref="A13:E13"/>
    <mergeCell ref="F16:G16"/>
    <mergeCell ref="H16:I16"/>
    <mergeCell ref="A14:E14"/>
    <mergeCell ref="F14:G14"/>
    <mergeCell ref="H14:I14"/>
    <mergeCell ref="A15:E15"/>
    <mergeCell ref="F15:G15"/>
    <mergeCell ref="H15:I15"/>
    <mergeCell ref="A16:E16"/>
    <mergeCell ref="B60:G60"/>
    <mergeCell ref="B61:G61"/>
    <mergeCell ref="A62:H62"/>
    <mergeCell ref="A63:I63"/>
    <mergeCell ref="A64:I64"/>
    <mergeCell ref="B65:G65"/>
    <mergeCell ref="B66:G66"/>
    <mergeCell ref="A110:I110"/>
    <mergeCell ref="A111:I111"/>
    <mergeCell ref="A112:I112"/>
    <mergeCell ref="A113:I113"/>
    <mergeCell ref="A114:I114"/>
    <mergeCell ref="A115:I115"/>
    <mergeCell ref="A117:I117"/>
    <mergeCell ref="A118:I118"/>
    <mergeCell ref="B119:H119"/>
    <mergeCell ref="B120:H120"/>
    <mergeCell ref="B121:H121"/>
    <mergeCell ref="B122:H122"/>
    <mergeCell ref="B123:H123"/>
    <mergeCell ref="B124:H124"/>
    <mergeCell ref="B67:G67"/>
    <mergeCell ref="B68:C68"/>
    <mergeCell ref="B69:G69"/>
    <mergeCell ref="B70:G70"/>
    <mergeCell ref="B71:G71"/>
    <mergeCell ref="B72:G72"/>
    <mergeCell ref="B73:G73"/>
    <mergeCell ref="A74:G74"/>
    <mergeCell ref="A76:I76"/>
    <mergeCell ref="A77:I77"/>
    <mergeCell ref="A78:I78"/>
    <mergeCell ref="B79:H79"/>
    <mergeCell ref="B80:H80"/>
    <mergeCell ref="B81:G81"/>
    <mergeCell ref="B82:G82"/>
    <mergeCell ref="B83:G83"/>
    <mergeCell ref="B84:G84"/>
    <mergeCell ref="B85:H85"/>
    <mergeCell ref="B86:G86"/>
    <mergeCell ref="B87:G87"/>
    <mergeCell ref="B88:G88"/>
    <mergeCell ref="B89:H89"/>
    <mergeCell ref="B90:H90"/>
    <mergeCell ref="A91:I91"/>
    <mergeCell ref="A92:I92"/>
    <mergeCell ref="A93:I93"/>
    <mergeCell ref="A94:I94"/>
    <mergeCell ref="B95:H95"/>
    <mergeCell ref="B96:H96"/>
    <mergeCell ref="B97:H97"/>
    <mergeCell ref="B98:H98"/>
    <mergeCell ref="A99:H99"/>
    <mergeCell ref="A100:I100"/>
    <mergeCell ref="A101:I101"/>
    <mergeCell ref="B102:H102"/>
    <mergeCell ref="B103:H103"/>
    <mergeCell ref="B104:H104"/>
    <mergeCell ref="B105:H105"/>
    <mergeCell ref="B106:H106"/>
    <mergeCell ref="B107:G107"/>
    <mergeCell ref="A108:H108"/>
    <mergeCell ref="A109:I109"/>
    <mergeCell ref="B139:H139"/>
    <mergeCell ref="A140:H140"/>
    <mergeCell ref="A141:I141"/>
    <mergeCell ref="A142:I142"/>
    <mergeCell ref="A144:I144"/>
    <mergeCell ref="B145:G145"/>
    <mergeCell ref="A146:G146"/>
    <mergeCell ref="B147:G147"/>
    <mergeCell ref="A148:G148"/>
    <mergeCell ref="B149:G149"/>
    <mergeCell ref="A150:G150"/>
    <mergeCell ref="B151:G151"/>
    <mergeCell ref="B152:G152"/>
    <mergeCell ref="B153:G153"/>
    <mergeCell ref="B154:G154"/>
    <mergeCell ref="B155:G155"/>
    <mergeCell ref="B156:G156"/>
    <mergeCell ref="B157:G157"/>
    <mergeCell ref="B158:G158"/>
    <mergeCell ref="B159:G159"/>
    <mergeCell ref="A160:G160"/>
    <mergeCell ref="A161:I161"/>
    <mergeCell ref="A162:G162"/>
    <mergeCell ref="A163:B165"/>
    <mergeCell ref="C163:I163"/>
    <mergeCell ref="C164:I164"/>
    <mergeCell ref="C165:I165"/>
    <mergeCell ref="A166:I166"/>
    <mergeCell ref="A167:I167"/>
    <mergeCell ref="A168:I168"/>
    <mergeCell ref="A169:I169"/>
    <mergeCell ref="A170:H170"/>
    <mergeCell ref="B171:H171"/>
    <mergeCell ref="B172:H172"/>
    <mergeCell ref="B173:H173"/>
    <mergeCell ref="B174:H174"/>
    <mergeCell ref="B175:H175"/>
    <mergeCell ref="A176:H176"/>
    <mergeCell ref="B177:H177"/>
    <mergeCell ref="A178:H178"/>
    <mergeCell ref="A180:I180"/>
    <mergeCell ref="A181:I181"/>
    <mergeCell ref="C186:D186"/>
    <mergeCell ref="E186:F186"/>
    <mergeCell ref="E192:F192"/>
    <mergeCell ref="G192:I192"/>
    <mergeCell ref="A190:B190"/>
    <mergeCell ref="C190:D190"/>
    <mergeCell ref="E190:F190"/>
    <mergeCell ref="G190:I190"/>
    <mergeCell ref="A191:I191"/>
    <mergeCell ref="A192:B192"/>
    <mergeCell ref="C192:D192"/>
    <mergeCell ref="A183:I183"/>
    <mergeCell ref="A184:I184"/>
    <mergeCell ref="A185:B185"/>
    <mergeCell ref="C185:D185"/>
    <mergeCell ref="E185:F185"/>
    <mergeCell ref="G185:I185"/>
    <mergeCell ref="A186:B186"/>
    <mergeCell ref="G186:I186"/>
    <mergeCell ref="A187:I187"/>
    <mergeCell ref="A188:B188"/>
    <mergeCell ref="C188:D188"/>
    <mergeCell ref="E188:F188"/>
    <mergeCell ref="G188:I188"/>
    <mergeCell ref="A189:I189"/>
    <mergeCell ref="A193:B193"/>
    <mergeCell ref="C193:D193"/>
    <mergeCell ref="E193:F193"/>
    <mergeCell ref="G193:I193"/>
    <mergeCell ref="A194:B194"/>
    <mergeCell ref="C194:D194"/>
    <mergeCell ref="E194:F194"/>
    <mergeCell ref="G194:I194"/>
    <mergeCell ref="A195:I195"/>
    <mergeCell ref="A196:B196"/>
    <mergeCell ref="C196:D196"/>
    <mergeCell ref="E196:F196"/>
    <mergeCell ref="G196:I196"/>
    <mergeCell ref="A197:I197"/>
    <mergeCell ref="A198:B198"/>
    <mergeCell ref="C198:D198"/>
    <mergeCell ref="E198:F198"/>
    <mergeCell ref="G198:I198"/>
    <mergeCell ref="A199:I199"/>
    <mergeCell ref="A200:I200"/>
    <mergeCell ref="A201:I201"/>
    <mergeCell ref="A202:I202"/>
    <mergeCell ref="A203:I203"/>
    <mergeCell ref="A204:I204"/>
    <mergeCell ref="A205:B205"/>
    <mergeCell ref="C205:D205"/>
    <mergeCell ref="E205:F205"/>
    <mergeCell ref="G205:I205"/>
    <mergeCell ref="E208:F208"/>
    <mergeCell ref="G208:I208"/>
    <mergeCell ref="A208:B208"/>
    <mergeCell ref="A210:B210"/>
    <mergeCell ref="C210:D210"/>
    <mergeCell ref="E210:F210"/>
    <mergeCell ref="A206:B206"/>
    <mergeCell ref="C206:D206"/>
    <mergeCell ref="E206:F206"/>
    <mergeCell ref="G206:I206"/>
    <mergeCell ref="A207:I207"/>
    <mergeCell ref="C208:D208"/>
    <mergeCell ref="A209:I209"/>
    <mergeCell ref="G210:I210"/>
    <mergeCell ref="A211:I211"/>
    <mergeCell ref="A212:B212"/>
    <mergeCell ref="C212:D212"/>
    <mergeCell ref="E212:F212"/>
    <mergeCell ref="G212:I212"/>
    <mergeCell ref="A213:I213"/>
    <mergeCell ref="A214:B214"/>
    <mergeCell ref="C214:D214"/>
    <mergeCell ref="E214:F214"/>
    <mergeCell ref="G214:I214"/>
    <mergeCell ref="A216:B216"/>
    <mergeCell ref="C216:D216"/>
    <mergeCell ref="E216:F216"/>
    <mergeCell ref="G216:I216"/>
    <mergeCell ref="A218:I218"/>
    <mergeCell ref="A219:I219"/>
    <mergeCell ref="A220:I220"/>
    <mergeCell ref="A221:I221"/>
    <mergeCell ref="A222:I223"/>
    <mergeCell ref="H224:I224"/>
    <mergeCell ref="D224:E224"/>
    <mergeCell ref="D225:E225"/>
    <mergeCell ref="H225:I225"/>
    <mergeCell ref="A226:I226"/>
    <mergeCell ref="D227:E227"/>
    <mergeCell ref="H227:I227"/>
    <mergeCell ref="A228:I228"/>
    <mergeCell ref="G255:I255"/>
    <mergeCell ref="G256:I256"/>
    <mergeCell ref="A254:C254"/>
    <mergeCell ref="D254:E254"/>
    <mergeCell ref="G254:I254"/>
    <mergeCell ref="A255:C255"/>
    <mergeCell ref="D255:E255"/>
    <mergeCell ref="A256:C256"/>
    <mergeCell ref="D256:E256"/>
    <mergeCell ref="G259:I259"/>
    <mergeCell ref="G260:I260"/>
    <mergeCell ref="G261:I261"/>
    <mergeCell ref="G262:I262"/>
    <mergeCell ref="G263:I263"/>
    <mergeCell ref="A257:E257"/>
    <mergeCell ref="G257:I257"/>
    <mergeCell ref="A258:I258"/>
    <mergeCell ref="A259:C259"/>
    <mergeCell ref="D259:E259"/>
    <mergeCell ref="A260:C260"/>
    <mergeCell ref="D260:E260"/>
    <mergeCell ref="A261:C261"/>
    <mergeCell ref="D261:E261"/>
    <mergeCell ref="A262:C262"/>
    <mergeCell ref="D262:E262"/>
    <mergeCell ref="A263:E263"/>
    <mergeCell ref="A264:I264"/>
    <mergeCell ref="G265:I265"/>
    <mergeCell ref="A265:E265"/>
    <mergeCell ref="A266:I266"/>
    <mergeCell ref="A267:F267"/>
    <mergeCell ref="G267:I267"/>
    <mergeCell ref="A268:I268"/>
    <mergeCell ref="A269:F269"/>
    <mergeCell ref="G269:I269"/>
    <mergeCell ref="A276:G276"/>
    <mergeCell ref="H276:I276"/>
    <mergeCell ref="A277:I277"/>
    <mergeCell ref="A278:I279"/>
    <mergeCell ref="A270:I270"/>
    <mergeCell ref="A271:F271"/>
    <mergeCell ref="G271:I271"/>
    <mergeCell ref="A272:I272"/>
    <mergeCell ref="A273:I273"/>
    <mergeCell ref="A274:G275"/>
    <mergeCell ref="H274:I275"/>
    <mergeCell ref="D229:E229"/>
    <mergeCell ref="H229:I229"/>
    <mergeCell ref="A230:I230"/>
    <mergeCell ref="D231:E231"/>
    <mergeCell ref="H231:I231"/>
    <mergeCell ref="A232:I232"/>
    <mergeCell ref="D233:E233"/>
    <mergeCell ref="H233:I233"/>
    <mergeCell ref="A234:I234"/>
    <mergeCell ref="A235:I235"/>
    <mergeCell ref="A236:I236"/>
    <mergeCell ref="A237:I237"/>
    <mergeCell ref="A238:I238"/>
    <mergeCell ref="A239:I240"/>
    <mergeCell ref="G242:I242"/>
    <mergeCell ref="G243:I243"/>
    <mergeCell ref="G244:I244"/>
    <mergeCell ref="G245:I245"/>
    <mergeCell ref="G246:I246"/>
    <mergeCell ref="G247:I247"/>
    <mergeCell ref="G248:I248"/>
    <mergeCell ref="G249:I249"/>
    <mergeCell ref="A241:C241"/>
    <mergeCell ref="D241:E241"/>
    <mergeCell ref="G241:I241"/>
    <mergeCell ref="A242:C242"/>
    <mergeCell ref="D242:E242"/>
    <mergeCell ref="A243:C243"/>
    <mergeCell ref="D243:E243"/>
    <mergeCell ref="A244:C244"/>
    <mergeCell ref="D244:E244"/>
    <mergeCell ref="A245:C245"/>
    <mergeCell ref="D245:E245"/>
    <mergeCell ref="A246:C246"/>
    <mergeCell ref="D246:E246"/>
    <mergeCell ref="D247:E247"/>
    <mergeCell ref="A247:C247"/>
    <mergeCell ref="A248:C248"/>
    <mergeCell ref="D248:E248"/>
    <mergeCell ref="A249:E249"/>
    <mergeCell ref="A250:I250"/>
    <mergeCell ref="D251:E251"/>
    <mergeCell ref="G251:I251"/>
    <mergeCell ref="A251:C251"/>
    <mergeCell ref="A252:C252"/>
    <mergeCell ref="D252:E252"/>
    <mergeCell ref="G252:I252"/>
    <mergeCell ref="A253:C253"/>
    <mergeCell ref="D253:E253"/>
    <mergeCell ref="G253:I253"/>
    <mergeCell ref="F19:G19"/>
    <mergeCell ref="H19:I19"/>
    <mergeCell ref="A17:E17"/>
    <mergeCell ref="F17:G17"/>
    <mergeCell ref="H17:I17"/>
    <mergeCell ref="A18:E18"/>
    <mergeCell ref="F18:G18"/>
    <mergeCell ref="H18:I18"/>
    <mergeCell ref="A19:E19"/>
    <mergeCell ref="F23:G23"/>
    <mergeCell ref="H23:I23"/>
    <mergeCell ref="A20:G20"/>
    <mergeCell ref="H20:I20"/>
    <mergeCell ref="A21:I21"/>
    <mergeCell ref="A22:E22"/>
    <mergeCell ref="F22:G22"/>
    <mergeCell ref="H22:I22"/>
    <mergeCell ref="A23:E23"/>
    <mergeCell ref="F26:G26"/>
    <mergeCell ref="H26:I26"/>
    <mergeCell ref="A24:E24"/>
    <mergeCell ref="F24:G24"/>
    <mergeCell ref="H24:I24"/>
    <mergeCell ref="A25:E25"/>
    <mergeCell ref="F25:G25"/>
    <mergeCell ref="H25:I25"/>
    <mergeCell ref="A26:E26"/>
    <mergeCell ref="F30:G30"/>
    <mergeCell ref="H30:I30"/>
    <mergeCell ref="A27:E27"/>
    <mergeCell ref="F27:G27"/>
    <mergeCell ref="H27:I27"/>
    <mergeCell ref="A28:G28"/>
    <mergeCell ref="H28:I28"/>
    <mergeCell ref="A29:I29"/>
    <mergeCell ref="A30:E30"/>
    <mergeCell ref="A31:E31"/>
    <mergeCell ref="F31:G31"/>
    <mergeCell ref="H31:I31"/>
    <mergeCell ref="A32:E32"/>
    <mergeCell ref="F32:G32"/>
    <mergeCell ref="H32:I32"/>
    <mergeCell ref="H33:I33"/>
    <mergeCell ref="A33:G33"/>
    <mergeCell ref="A34:I34"/>
    <mergeCell ref="A35:E35"/>
    <mergeCell ref="F35:G35"/>
    <mergeCell ref="H35:I35"/>
    <mergeCell ref="A36:G36"/>
    <mergeCell ref="H36:I36"/>
    <mergeCell ref="A46:I46"/>
    <mergeCell ref="A47:I47"/>
    <mergeCell ref="A48:I48"/>
    <mergeCell ref="A49:I49"/>
    <mergeCell ref="B50:G50"/>
    <mergeCell ref="B51:H51"/>
    <mergeCell ref="B52:G52"/>
    <mergeCell ref="A53:H53"/>
    <mergeCell ref="A54:I54"/>
    <mergeCell ref="A55:I55"/>
    <mergeCell ref="A56:I56"/>
    <mergeCell ref="A57:I57"/>
    <mergeCell ref="A58:I58"/>
    <mergeCell ref="B59:H59"/>
    <mergeCell ref="B125:H125"/>
    <mergeCell ref="A126:H126"/>
    <mergeCell ref="A127:I127"/>
    <mergeCell ref="A128:I128"/>
    <mergeCell ref="B129:H129"/>
    <mergeCell ref="B130:H130"/>
    <mergeCell ref="A131:H131"/>
    <mergeCell ref="A132:I132"/>
    <mergeCell ref="A133:I133"/>
    <mergeCell ref="B134:H134"/>
    <mergeCell ref="B135:H135"/>
    <mergeCell ref="B136:H136"/>
    <mergeCell ref="B137:H137"/>
    <mergeCell ref="B138:H138"/>
  </mergeCell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3.75"/>
    <col customWidth="1" min="2" max="2" width="14.38"/>
    <col customWidth="1" min="3" max="4" width="9.38"/>
    <col customWidth="1" min="5" max="6" width="9.75"/>
    <col customWidth="1" min="7" max="8" width="10.13"/>
    <col customWidth="1" min="9" max="9" width="4.0"/>
    <col customWidth="1" min="10" max="10" width="9.75"/>
    <col customWidth="1" min="11" max="11" width="3.0"/>
    <col customWidth="1" min="12" max="12" width="5.88"/>
    <col customWidth="1" min="13" max="13" width="2.38"/>
    <col customWidth="1" min="14" max="15" width="9.38"/>
    <col customWidth="1" min="16" max="16" width="7.38"/>
  </cols>
  <sheetData>
    <row r="1" ht="114.75" customHeight="1">
      <c r="A1" s="219" t="s">
        <v>234</v>
      </c>
      <c r="B1" s="219" t="s">
        <v>256</v>
      </c>
      <c r="C1" s="220" t="s">
        <v>257</v>
      </c>
      <c r="D1" s="220" t="s">
        <v>258</v>
      </c>
      <c r="E1" s="220" t="s">
        <v>259</v>
      </c>
      <c r="F1" s="220" t="s">
        <v>260</v>
      </c>
      <c r="G1" s="220" t="s">
        <v>261</v>
      </c>
      <c r="H1" s="220" t="s">
        <v>262</v>
      </c>
      <c r="I1" s="221" t="s">
        <v>263</v>
      </c>
      <c r="J1" s="2"/>
      <c r="K1" s="2"/>
      <c r="L1" s="2"/>
      <c r="M1" s="2"/>
      <c r="N1" s="2"/>
      <c r="O1" s="2"/>
      <c r="P1" s="3"/>
    </row>
    <row r="2" ht="38.25" customHeight="1">
      <c r="A2" s="222" t="s">
        <v>264</v>
      </c>
      <c r="B2" s="223" t="s">
        <v>265</v>
      </c>
      <c r="C2" s="224">
        <v>1200.0</v>
      </c>
      <c r="D2" s="225">
        <v>0.0</v>
      </c>
      <c r="E2" s="219">
        <f t="shared" ref="E2:E14" si="1">D2/C2</f>
        <v>0</v>
      </c>
      <c r="F2" s="48">
        <f t="shared" ref="F2:F19" si="2">TRUNC(E2,0)</f>
        <v>0</v>
      </c>
      <c r="G2" s="219">
        <f t="shared" ref="G2:G19" si="3">E2-F2</f>
        <v>0</v>
      </c>
      <c r="H2" s="219">
        <f t="shared" ref="H2:H19" si="4">G2*$C$23*60</f>
        <v>0</v>
      </c>
      <c r="I2" s="226">
        <f t="shared" ref="I2:I19" si="5">F2</f>
        <v>0</v>
      </c>
      <c r="J2" s="220" t="s">
        <v>266</v>
      </c>
      <c r="K2" s="226">
        <f t="shared" ref="K2:K19" si="6">$C$23</f>
        <v>8</v>
      </c>
      <c r="L2" s="220" t="s">
        <v>267</v>
      </c>
      <c r="M2" s="226">
        <v>1.0</v>
      </c>
      <c r="N2" s="220" t="s">
        <v>268</v>
      </c>
      <c r="O2" s="226">
        <f t="shared" ref="O2:O19" si="7">H2</f>
        <v>0</v>
      </c>
      <c r="P2" s="220" t="s">
        <v>269</v>
      </c>
    </row>
    <row r="3" ht="33.75" customHeight="1">
      <c r="A3" s="227"/>
      <c r="B3" s="228" t="s">
        <v>270</v>
      </c>
      <c r="C3" s="224">
        <v>1200.0</v>
      </c>
      <c r="D3" s="229">
        <v>1477.96</v>
      </c>
      <c r="E3" s="219">
        <f t="shared" si="1"/>
        <v>1.231633333</v>
      </c>
      <c r="F3" s="48">
        <f t="shared" si="2"/>
        <v>1</v>
      </c>
      <c r="G3" s="219">
        <f t="shared" si="3"/>
        <v>0.2316333333</v>
      </c>
      <c r="H3" s="219">
        <f t="shared" si="4"/>
        <v>111.184</v>
      </c>
      <c r="I3" s="226">
        <f t="shared" si="5"/>
        <v>1</v>
      </c>
      <c r="J3" s="220" t="s">
        <v>266</v>
      </c>
      <c r="K3" s="226">
        <f t="shared" si="6"/>
        <v>8</v>
      </c>
      <c r="L3" s="220" t="s">
        <v>267</v>
      </c>
      <c r="M3" s="226">
        <v>1.0</v>
      </c>
      <c r="N3" s="220" t="s">
        <v>268</v>
      </c>
      <c r="O3" s="226">
        <f t="shared" si="7"/>
        <v>111.184</v>
      </c>
      <c r="P3" s="220" t="s">
        <v>269</v>
      </c>
    </row>
    <row r="4" ht="33.75" customHeight="1">
      <c r="A4" s="227"/>
      <c r="B4" s="228" t="s">
        <v>271</v>
      </c>
      <c r="C4" s="224">
        <v>450.0</v>
      </c>
      <c r="D4" s="225">
        <v>0.0</v>
      </c>
      <c r="E4" s="219">
        <f t="shared" si="1"/>
        <v>0</v>
      </c>
      <c r="F4" s="48">
        <f t="shared" si="2"/>
        <v>0</v>
      </c>
      <c r="G4" s="219">
        <f t="shared" si="3"/>
        <v>0</v>
      </c>
      <c r="H4" s="219">
        <f t="shared" si="4"/>
        <v>0</v>
      </c>
      <c r="I4" s="226">
        <f t="shared" si="5"/>
        <v>0</v>
      </c>
      <c r="J4" s="220" t="s">
        <v>266</v>
      </c>
      <c r="K4" s="226">
        <f t="shared" si="6"/>
        <v>8</v>
      </c>
      <c r="L4" s="220" t="s">
        <v>267</v>
      </c>
      <c r="M4" s="226">
        <v>1.0</v>
      </c>
      <c r="N4" s="220" t="s">
        <v>268</v>
      </c>
      <c r="O4" s="226">
        <f t="shared" si="7"/>
        <v>0</v>
      </c>
      <c r="P4" s="220" t="s">
        <v>269</v>
      </c>
    </row>
    <row r="5" ht="33.75" customHeight="1">
      <c r="A5" s="227"/>
      <c r="B5" s="230" t="s">
        <v>272</v>
      </c>
      <c r="C5" s="224">
        <v>2500.0</v>
      </c>
      <c r="D5" s="229">
        <v>140.7</v>
      </c>
      <c r="E5" s="219">
        <f t="shared" si="1"/>
        <v>0.05628</v>
      </c>
      <c r="F5" s="48">
        <f t="shared" si="2"/>
        <v>0</v>
      </c>
      <c r="G5" s="219">
        <f t="shared" si="3"/>
        <v>0.05628</v>
      </c>
      <c r="H5" s="219">
        <f t="shared" si="4"/>
        <v>27.0144</v>
      </c>
      <c r="I5" s="226">
        <f t="shared" si="5"/>
        <v>0</v>
      </c>
      <c r="J5" s="220" t="s">
        <v>266</v>
      </c>
      <c r="K5" s="226">
        <f t="shared" si="6"/>
        <v>8</v>
      </c>
      <c r="L5" s="220" t="s">
        <v>267</v>
      </c>
      <c r="M5" s="226">
        <v>1.0</v>
      </c>
      <c r="N5" s="220" t="s">
        <v>268</v>
      </c>
      <c r="O5" s="226">
        <f t="shared" si="7"/>
        <v>27.0144</v>
      </c>
      <c r="P5" s="220" t="s">
        <v>269</v>
      </c>
    </row>
    <row r="6" ht="33.75" customHeight="1">
      <c r="A6" s="227"/>
      <c r="B6" s="228" t="s">
        <v>273</v>
      </c>
      <c r="C6" s="224">
        <v>1800.0</v>
      </c>
      <c r="D6" s="225">
        <v>0.0</v>
      </c>
      <c r="E6" s="219">
        <f t="shared" si="1"/>
        <v>0</v>
      </c>
      <c r="F6" s="48">
        <f t="shared" si="2"/>
        <v>0</v>
      </c>
      <c r="G6" s="219">
        <f t="shared" si="3"/>
        <v>0</v>
      </c>
      <c r="H6" s="219">
        <f t="shared" si="4"/>
        <v>0</v>
      </c>
      <c r="I6" s="226">
        <f t="shared" si="5"/>
        <v>0</v>
      </c>
      <c r="J6" s="220" t="s">
        <v>266</v>
      </c>
      <c r="K6" s="226">
        <f t="shared" si="6"/>
        <v>8</v>
      </c>
      <c r="L6" s="220" t="s">
        <v>267</v>
      </c>
      <c r="M6" s="226">
        <v>1.0</v>
      </c>
      <c r="N6" s="220" t="s">
        <v>268</v>
      </c>
      <c r="O6" s="226">
        <f t="shared" si="7"/>
        <v>0</v>
      </c>
      <c r="P6" s="220" t="s">
        <v>269</v>
      </c>
    </row>
    <row r="7" ht="45.0" customHeight="1">
      <c r="A7" s="227"/>
      <c r="B7" s="230" t="s">
        <v>274</v>
      </c>
      <c r="C7" s="224">
        <v>1500.0</v>
      </c>
      <c r="D7" s="229">
        <v>315.73</v>
      </c>
      <c r="E7" s="219">
        <f t="shared" si="1"/>
        <v>0.2104866667</v>
      </c>
      <c r="F7" s="48">
        <f t="shared" si="2"/>
        <v>0</v>
      </c>
      <c r="G7" s="219">
        <f t="shared" si="3"/>
        <v>0.2104866667</v>
      </c>
      <c r="H7" s="219">
        <f t="shared" si="4"/>
        <v>101.0336</v>
      </c>
      <c r="I7" s="226">
        <f t="shared" si="5"/>
        <v>0</v>
      </c>
      <c r="J7" s="220" t="s">
        <v>266</v>
      </c>
      <c r="K7" s="226">
        <f t="shared" si="6"/>
        <v>8</v>
      </c>
      <c r="L7" s="220" t="s">
        <v>267</v>
      </c>
      <c r="M7" s="226">
        <v>1.0</v>
      </c>
      <c r="N7" s="220" t="s">
        <v>268</v>
      </c>
      <c r="O7" s="226">
        <f t="shared" si="7"/>
        <v>101.0336</v>
      </c>
      <c r="P7" s="220" t="s">
        <v>269</v>
      </c>
    </row>
    <row r="8" ht="33.75" customHeight="1">
      <c r="A8" s="231"/>
      <c r="B8" s="232" t="s">
        <v>275</v>
      </c>
      <c r="C8" s="224">
        <v>300.0</v>
      </c>
      <c r="D8" s="229">
        <v>92.41</v>
      </c>
      <c r="E8" s="219">
        <f t="shared" si="1"/>
        <v>0.3080333333</v>
      </c>
      <c r="F8" s="48">
        <f t="shared" si="2"/>
        <v>0</v>
      </c>
      <c r="G8" s="219">
        <f t="shared" si="3"/>
        <v>0.3080333333</v>
      </c>
      <c r="H8" s="219">
        <f t="shared" si="4"/>
        <v>147.856</v>
      </c>
      <c r="I8" s="226">
        <f t="shared" si="5"/>
        <v>0</v>
      </c>
      <c r="J8" s="220" t="s">
        <v>266</v>
      </c>
      <c r="K8" s="226">
        <f t="shared" si="6"/>
        <v>8</v>
      </c>
      <c r="L8" s="220" t="s">
        <v>267</v>
      </c>
      <c r="M8" s="226">
        <v>1.0</v>
      </c>
      <c r="N8" s="220" t="s">
        <v>268</v>
      </c>
      <c r="O8" s="226">
        <f t="shared" si="7"/>
        <v>147.856</v>
      </c>
      <c r="P8" s="220" t="s">
        <v>269</v>
      </c>
    </row>
    <row r="9" ht="45.0" customHeight="1">
      <c r="A9" s="222" t="s">
        <v>276</v>
      </c>
      <c r="B9" s="230" t="s">
        <v>277</v>
      </c>
      <c r="C9" s="224">
        <v>2700.0</v>
      </c>
      <c r="D9" s="229">
        <v>105.0</v>
      </c>
      <c r="E9" s="219">
        <f t="shared" si="1"/>
        <v>0.03888888889</v>
      </c>
      <c r="F9" s="48">
        <f t="shared" si="2"/>
        <v>0</v>
      </c>
      <c r="G9" s="219">
        <f t="shared" si="3"/>
        <v>0.03888888889</v>
      </c>
      <c r="H9" s="219">
        <f t="shared" si="4"/>
        <v>18.66666667</v>
      </c>
      <c r="I9" s="226">
        <f t="shared" si="5"/>
        <v>0</v>
      </c>
      <c r="J9" s="220" t="s">
        <v>266</v>
      </c>
      <c r="K9" s="226">
        <f t="shared" si="6"/>
        <v>8</v>
      </c>
      <c r="L9" s="220" t="s">
        <v>267</v>
      </c>
      <c r="M9" s="226">
        <v>1.0</v>
      </c>
      <c r="N9" s="220" t="s">
        <v>268</v>
      </c>
      <c r="O9" s="226">
        <f t="shared" si="7"/>
        <v>18.66666667</v>
      </c>
      <c r="P9" s="220" t="s">
        <v>269</v>
      </c>
    </row>
    <row r="10" ht="33.75" customHeight="1">
      <c r="A10" s="227"/>
      <c r="B10" s="230" t="s">
        <v>278</v>
      </c>
      <c r="C10" s="224">
        <v>9000.0</v>
      </c>
      <c r="D10" s="229">
        <v>1150.0</v>
      </c>
      <c r="E10" s="219">
        <f t="shared" si="1"/>
        <v>0.1277777778</v>
      </c>
      <c r="F10" s="48">
        <f t="shared" si="2"/>
        <v>0</v>
      </c>
      <c r="G10" s="219">
        <f t="shared" si="3"/>
        <v>0.1277777778</v>
      </c>
      <c r="H10" s="219">
        <f t="shared" si="4"/>
        <v>61.33333333</v>
      </c>
      <c r="I10" s="226">
        <f t="shared" si="5"/>
        <v>0</v>
      </c>
      <c r="J10" s="220" t="s">
        <v>266</v>
      </c>
      <c r="K10" s="226">
        <f t="shared" si="6"/>
        <v>8</v>
      </c>
      <c r="L10" s="220" t="s">
        <v>267</v>
      </c>
      <c r="M10" s="226">
        <v>1.0</v>
      </c>
      <c r="N10" s="220" t="s">
        <v>268</v>
      </c>
      <c r="O10" s="226">
        <f t="shared" si="7"/>
        <v>61.33333333</v>
      </c>
      <c r="P10" s="220" t="s">
        <v>269</v>
      </c>
    </row>
    <row r="11" ht="33.75" customHeight="1">
      <c r="A11" s="227"/>
      <c r="B11" s="230" t="s">
        <v>279</v>
      </c>
      <c r="C11" s="224">
        <v>2700.0</v>
      </c>
      <c r="D11" s="225">
        <v>0.0</v>
      </c>
      <c r="E11" s="219">
        <f t="shared" si="1"/>
        <v>0</v>
      </c>
      <c r="F11" s="48">
        <f t="shared" si="2"/>
        <v>0</v>
      </c>
      <c r="G11" s="219">
        <f t="shared" si="3"/>
        <v>0</v>
      </c>
      <c r="H11" s="219">
        <f t="shared" si="4"/>
        <v>0</v>
      </c>
      <c r="I11" s="226">
        <f t="shared" si="5"/>
        <v>0</v>
      </c>
      <c r="J11" s="220" t="s">
        <v>266</v>
      </c>
      <c r="K11" s="226">
        <f t="shared" si="6"/>
        <v>8</v>
      </c>
      <c r="L11" s="220" t="s">
        <v>267</v>
      </c>
      <c r="M11" s="226">
        <v>1.0</v>
      </c>
      <c r="N11" s="220" t="s">
        <v>268</v>
      </c>
      <c r="O11" s="226">
        <f t="shared" si="7"/>
        <v>0</v>
      </c>
      <c r="P11" s="220" t="s">
        <v>269</v>
      </c>
    </row>
    <row r="12" ht="33.75" customHeight="1">
      <c r="A12" s="227"/>
      <c r="B12" s="230" t="s">
        <v>280</v>
      </c>
      <c r="C12" s="224">
        <v>2700.0</v>
      </c>
      <c r="D12" s="225">
        <v>0.0</v>
      </c>
      <c r="E12" s="219">
        <f t="shared" si="1"/>
        <v>0</v>
      </c>
      <c r="F12" s="48">
        <f t="shared" si="2"/>
        <v>0</v>
      </c>
      <c r="G12" s="219">
        <f t="shared" si="3"/>
        <v>0</v>
      </c>
      <c r="H12" s="219">
        <f t="shared" si="4"/>
        <v>0</v>
      </c>
      <c r="I12" s="226">
        <f t="shared" si="5"/>
        <v>0</v>
      </c>
      <c r="J12" s="220" t="s">
        <v>266</v>
      </c>
      <c r="K12" s="226">
        <f t="shared" si="6"/>
        <v>8</v>
      </c>
      <c r="L12" s="220" t="s">
        <v>267</v>
      </c>
      <c r="M12" s="226">
        <v>1.0</v>
      </c>
      <c r="N12" s="220" t="s">
        <v>268</v>
      </c>
      <c r="O12" s="226">
        <f t="shared" si="7"/>
        <v>0</v>
      </c>
      <c r="P12" s="220" t="s">
        <v>269</v>
      </c>
    </row>
    <row r="13" ht="33.75" customHeight="1">
      <c r="A13" s="227"/>
      <c r="B13" s="230" t="s">
        <v>281</v>
      </c>
      <c r="C13" s="224">
        <v>2700.0</v>
      </c>
      <c r="D13" s="229">
        <v>18.58</v>
      </c>
      <c r="E13" s="219">
        <f t="shared" si="1"/>
        <v>0.006881481481</v>
      </c>
      <c r="F13" s="48">
        <f t="shared" si="2"/>
        <v>0</v>
      </c>
      <c r="G13" s="219">
        <f t="shared" si="3"/>
        <v>0.006881481481</v>
      </c>
      <c r="H13" s="219">
        <f t="shared" si="4"/>
        <v>3.303111111</v>
      </c>
      <c r="I13" s="226">
        <f t="shared" si="5"/>
        <v>0</v>
      </c>
      <c r="J13" s="220" t="s">
        <v>266</v>
      </c>
      <c r="K13" s="226">
        <f t="shared" si="6"/>
        <v>8</v>
      </c>
      <c r="L13" s="220" t="s">
        <v>267</v>
      </c>
      <c r="M13" s="226">
        <v>1.0</v>
      </c>
      <c r="N13" s="220" t="s">
        <v>268</v>
      </c>
      <c r="O13" s="226">
        <f t="shared" si="7"/>
        <v>3.303111111</v>
      </c>
      <c r="P13" s="220" t="s">
        <v>269</v>
      </c>
    </row>
    <row r="14" ht="45.0" customHeight="1">
      <c r="A14" s="231"/>
      <c r="B14" s="230" t="s">
        <v>282</v>
      </c>
      <c r="C14" s="224">
        <v>100000.0</v>
      </c>
      <c r="D14" s="225">
        <v>0.0</v>
      </c>
      <c r="E14" s="219">
        <f t="shared" si="1"/>
        <v>0</v>
      </c>
      <c r="F14" s="48">
        <f t="shared" si="2"/>
        <v>0</v>
      </c>
      <c r="G14" s="219">
        <f t="shared" si="3"/>
        <v>0</v>
      </c>
      <c r="H14" s="219">
        <f t="shared" si="4"/>
        <v>0</v>
      </c>
      <c r="I14" s="226">
        <f t="shared" si="5"/>
        <v>0</v>
      </c>
      <c r="J14" s="220" t="s">
        <v>266</v>
      </c>
      <c r="K14" s="226">
        <f t="shared" si="6"/>
        <v>8</v>
      </c>
      <c r="L14" s="220" t="s">
        <v>267</v>
      </c>
      <c r="M14" s="226">
        <v>1.0</v>
      </c>
      <c r="N14" s="220" t="s">
        <v>268</v>
      </c>
      <c r="O14" s="226">
        <f t="shared" si="7"/>
        <v>0</v>
      </c>
      <c r="P14" s="220" t="s">
        <v>269</v>
      </c>
    </row>
    <row r="15" ht="38.25" customHeight="1">
      <c r="A15" s="233" t="s">
        <v>283</v>
      </c>
      <c r="B15" s="230" t="s">
        <v>284</v>
      </c>
      <c r="C15" s="224">
        <v>160.0</v>
      </c>
      <c r="D15" s="225">
        <v>0.0</v>
      </c>
      <c r="E15" s="219">
        <f t="shared" ref="E15:E17" si="8">(D15/C15)*(16/188.76)</f>
        <v>0</v>
      </c>
      <c r="F15" s="48">
        <f t="shared" si="2"/>
        <v>0</v>
      </c>
      <c r="G15" s="219">
        <f t="shared" si="3"/>
        <v>0</v>
      </c>
      <c r="H15" s="219">
        <f t="shared" si="4"/>
        <v>0</v>
      </c>
      <c r="I15" s="226">
        <f t="shared" si="5"/>
        <v>0</v>
      </c>
      <c r="J15" s="220" t="s">
        <v>266</v>
      </c>
      <c r="K15" s="226">
        <f t="shared" si="6"/>
        <v>8</v>
      </c>
      <c r="L15" s="220" t="s">
        <v>267</v>
      </c>
      <c r="M15" s="226">
        <v>1.0</v>
      </c>
      <c r="N15" s="220" t="s">
        <v>268</v>
      </c>
      <c r="O15" s="226">
        <f t="shared" si="7"/>
        <v>0</v>
      </c>
      <c r="P15" s="220" t="s">
        <v>269</v>
      </c>
    </row>
    <row r="16" ht="33.75" customHeight="1">
      <c r="A16" s="227"/>
      <c r="B16" s="230" t="s">
        <v>285</v>
      </c>
      <c r="C16" s="224">
        <v>380.0</v>
      </c>
      <c r="D16" s="229">
        <v>80.0</v>
      </c>
      <c r="E16" s="219">
        <f t="shared" si="8"/>
        <v>0.01784499392</v>
      </c>
      <c r="F16" s="48">
        <f t="shared" si="2"/>
        <v>0</v>
      </c>
      <c r="G16" s="219">
        <f t="shared" si="3"/>
        <v>0.01784499392</v>
      </c>
      <c r="H16" s="219">
        <f t="shared" si="4"/>
        <v>8.565597082</v>
      </c>
      <c r="I16" s="226">
        <f t="shared" si="5"/>
        <v>0</v>
      </c>
      <c r="J16" s="220" t="s">
        <v>266</v>
      </c>
      <c r="K16" s="226">
        <f t="shared" si="6"/>
        <v>8</v>
      </c>
      <c r="L16" s="220" t="s">
        <v>267</v>
      </c>
      <c r="M16" s="226">
        <v>1.0</v>
      </c>
      <c r="N16" s="220" t="s">
        <v>268</v>
      </c>
      <c r="O16" s="226">
        <f t="shared" si="7"/>
        <v>8.565597082</v>
      </c>
      <c r="P16" s="220" t="s">
        <v>269</v>
      </c>
    </row>
    <row r="17" ht="33.75" customHeight="1">
      <c r="A17" s="231"/>
      <c r="B17" s="230" t="s">
        <v>286</v>
      </c>
      <c r="C17" s="224">
        <v>380.0</v>
      </c>
      <c r="D17" s="229">
        <v>659.0</v>
      </c>
      <c r="E17" s="219">
        <f t="shared" si="8"/>
        <v>0.1469981374</v>
      </c>
      <c r="F17" s="48">
        <f t="shared" si="2"/>
        <v>0</v>
      </c>
      <c r="G17" s="219">
        <f t="shared" si="3"/>
        <v>0.1469981374</v>
      </c>
      <c r="H17" s="219">
        <f t="shared" si="4"/>
        <v>70.55910597</v>
      </c>
      <c r="I17" s="226">
        <f t="shared" si="5"/>
        <v>0</v>
      </c>
      <c r="J17" s="220" t="s">
        <v>266</v>
      </c>
      <c r="K17" s="226">
        <f t="shared" si="6"/>
        <v>8</v>
      </c>
      <c r="L17" s="220" t="s">
        <v>267</v>
      </c>
      <c r="M17" s="226">
        <v>1.0</v>
      </c>
      <c r="N17" s="220" t="s">
        <v>268</v>
      </c>
      <c r="O17" s="226">
        <f t="shared" si="7"/>
        <v>70.55910597</v>
      </c>
      <c r="P17" s="220" t="s">
        <v>269</v>
      </c>
    </row>
    <row r="18" ht="33.75" customHeight="1">
      <c r="A18" s="230" t="s">
        <v>287</v>
      </c>
      <c r="B18" s="230" t="s">
        <v>288</v>
      </c>
      <c r="C18" s="234">
        <v>160.0</v>
      </c>
      <c r="D18" s="225">
        <v>0.0</v>
      </c>
      <c r="E18" s="219">
        <f>(D18/C18)*(8/1132.6)</f>
        <v>0</v>
      </c>
      <c r="F18" s="48">
        <f t="shared" si="2"/>
        <v>0</v>
      </c>
      <c r="G18" s="219">
        <f t="shared" si="3"/>
        <v>0</v>
      </c>
      <c r="H18" s="219">
        <f t="shared" si="4"/>
        <v>0</v>
      </c>
      <c r="I18" s="226">
        <f t="shared" si="5"/>
        <v>0</v>
      </c>
      <c r="J18" s="220" t="s">
        <v>266</v>
      </c>
      <c r="K18" s="226">
        <f t="shared" si="6"/>
        <v>8</v>
      </c>
      <c r="L18" s="220" t="s">
        <v>267</v>
      </c>
      <c r="M18" s="226">
        <v>1.0</v>
      </c>
      <c r="N18" s="220" t="s">
        <v>268</v>
      </c>
      <c r="O18" s="226">
        <f t="shared" si="7"/>
        <v>0</v>
      </c>
      <c r="P18" s="220" t="s">
        <v>269</v>
      </c>
    </row>
    <row r="19" ht="33.75" customHeight="1">
      <c r="A19" s="230" t="s">
        <v>289</v>
      </c>
      <c r="B19" s="230" t="s">
        <v>290</v>
      </c>
      <c r="C19" s="235">
        <v>450.0</v>
      </c>
      <c r="D19" s="225">
        <v>0.0</v>
      </c>
      <c r="E19" s="219">
        <f>D19/C19</f>
        <v>0</v>
      </c>
      <c r="F19" s="48">
        <f t="shared" si="2"/>
        <v>0</v>
      </c>
      <c r="G19" s="219">
        <f t="shared" si="3"/>
        <v>0</v>
      </c>
      <c r="H19" s="219">
        <f t="shared" si="4"/>
        <v>0</v>
      </c>
      <c r="I19" s="226">
        <f t="shared" si="5"/>
        <v>0</v>
      </c>
      <c r="J19" s="220" t="s">
        <v>266</v>
      </c>
      <c r="K19" s="226">
        <f t="shared" si="6"/>
        <v>8</v>
      </c>
      <c r="L19" s="220" t="s">
        <v>267</v>
      </c>
      <c r="M19" s="226">
        <v>1.0</v>
      </c>
      <c r="N19" s="220" t="s">
        <v>268</v>
      </c>
      <c r="O19" s="226">
        <f t="shared" si="7"/>
        <v>0</v>
      </c>
      <c r="P19" s="220" t="s">
        <v>269</v>
      </c>
    </row>
    <row r="20" ht="12.75" customHeight="1">
      <c r="A20" s="236"/>
      <c r="B20" s="236"/>
      <c r="C20" s="237"/>
      <c r="D20" s="238">
        <f>SUM(D2:D19)</f>
        <v>4039.38</v>
      </c>
      <c r="E20" s="239"/>
      <c r="F20" s="48"/>
      <c r="G20" s="239"/>
      <c r="H20" s="239"/>
      <c r="I20" s="237"/>
      <c r="J20" s="237"/>
      <c r="K20" s="237"/>
      <c r="L20" s="237"/>
      <c r="M20" s="237"/>
      <c r="N20" s="237"/>
      <c r="O20" s="237"/>
      <c r="P20" s="237"/>
    </row>
    <row r="21" ht="52.5" customHeight="1">
      <c r="A21" s="35" t="s">
        <v>291</v>
      </c>
      <c r="B21" s="2"/>
      <c r="C21" s="2"/>
      <c r="D21" s="3"/>
      <c r="E21" s="219">
        <f>SUM(E3:E19)</f>
        <v>2.144824613</v>
      </c>
      <c r="F21" s="48">
        <f>TRUNC(E21,0)</f>
        <v>2</v>
      </c>
      <c r="G21" s="219">
        <f>E21-F21</f>
        <v>0.1448246128</v>
      </c>
      <c r="H21" s="219">
        <f>G21*$C$23*60</f>
        <v>69.51581416</v>
      </c>
      <c r="I21" s="60">
        <f>F21</f>
        <v>2</v>
      </c>
      <c r="J21" s="220" t="s">
        <v>266</v>
      </c>
      <c r="K21" s="226">
        <f>$C$23</f>
        <v>8</v>
      </c>
      <c r="L21" s="220" t="s">
        <v>267</v>
      </c>
      <c r="M21" s="60">
        <v>1.0</v>
      </c>
      <c r="N21" s="220" t="s">
        <v>268</v>
      </c>
      <c r="O21" s="60">
        <f>H21</f>
        <v>69.51581416</v>
      </c>
      <c r="P21" s="220" t="s">
        <v>269</v>
      </c>
    </row>
    <row r="22" ht="12.75" customHeight="1">
      <c r="A22" s="236"/>
      <c r="B22" s="236"/>
      <c r="C22" s="236"/>
      <c r="D22" s="240"/>
      <c r="E22" s="241"/>
      <c r="F22" s="242"/>
      <c r="G22" s="241"/>
      <c r="H22" s="241"/>
      <c r="I22" s="243"/>
      <c r="J22" s="237"/>
      <c r="K22" s="237"/>
      <c r="L22" s="237"/>
      <c r="M22" s="237"/>
      <c r="N22" s="237"/>
      <c r="O22" s="243"/>
      <c r="P22" s="237"/>
    </row>
    <row r="23" ht="20.25" customHeight="1">
      <c r="A23" s="244" t="s">
        <v>292</v>
      </c>
      <c r="B23" s="245"/>
      <c r="C23" s="246">
        <v>8.0</v>
      </c>
      <c r="D23" s="247" t="s">
        <v>293</v>
      </c>
      <c r="E23" s="248" t="s">
        <v>294</v>
      </c>
      <c r="F23" s="249"/>
      <c r="G23" s="249"/>
      <c r="H23" s="249"/>
      <c r="I23" s="249"/>
      <c r="J23" s="249"/>
      <c r="K23" s="245"/>
      <c r="L23" s="250">
        <f>(F21+G21)</f>
        <v>2.144824613</v>
      </c>
      <c r="M23" s="249"/>
      <c r="N23" s="245"/>
      <c r="O23" s="251" t="s">
        <v>295</v>
      </c>
      <c r="P23" s="252">
        <f>ROUND(F21+G21,0)</f>
        <v>2</v>
      </c>
    </row>
    <row r="24" ht="12.75" customHeight="1">
      <c r="A24" s="253"/>
      <c r="B24" s="253"/>
      <c r="C24" s="241"/>
      <c r="D24" s="241"/>
      <c r="E24" s="241"/>
      <c r="F24" s="243"/>
      <c r="G24" s="241"/>
      <c r="H24" s="241"/>
      <c r="I24" s="243"/>
      <c r="J24" s="243"/>
      <c r="K24" s="243"/>
      <c r="L24" s="243"/>
      <c r="M24" s="243"/>
      <c r="N24" s="243"/>
      <c r="O24" s="243"/>
      <c r="P24" s="243"/>
    </row>
    <row r="25" ht="18.75" customHeight="1">
      <c r="A25" s="254" t="s">
        <v>296</v>
      </c>
    </row>
    <row r="26" ht="18.75" customHeight="1">
      <c r="A26" s="254" t="s">
        <v>297</v>
      </c>
    </row>
    <row r="27" ht="35.25" customHeight="1">
      <c r="A27" s="255" t="s">
        <v>298</v>
      </c>
    </row>
    <row r="28" ht="36.0" customHeight="1">
      <c r="A28" s="255" t="s">
        <v>299</v>
      </c>
    </row>
    <row r="29" ht="36.0" customHeight="1">
      <c r="A29" s="255" t="s">
        <v>300</v>
      </c>
    </row>
    <row r="30" ht="18.75" customHeight="1">
      <c r="A30" s="255"/>
    </row>
    <row r="31" ht="18.75" customHeight="1">
      <c r="A31" s="138" t="s">
        <v>301</v>
      </c>
    </row>
    <row r="32" ht="36.0" customHeight="1">
      <c r="A32" s="138" t="s">
        <v>302</v>
      </c>
    </row>
    <row r="33" ht="15.0" customHeight="1">
      <c r="A33" s="128" t="s">
        <v>303</v>
      </c>
    </row>
    <row r="34" ht="15.0" customHeight="1">
      <c r="A34" s="256" t="s">
        <v>304</v>
      </c>
    </row>
    <row r="35" ht="36.0" customHeight="1">
      <c r="A35" s="257" t="s">
        <v>305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</row>
    <row r="36" ht="15.0" customHeight="1">
      <c r="A36" s="243"/>
      <c r="B36" s="243"/>
      <c r="C36" s="243"/>
      <c r="D36" s="243"/>
      <c r="E36" s="241"/>
      <c r="F36" s="243"/>
      <c r="G36" s="241"/>
      <c r="H36" s="241"/>
      <c r="I36" s="243"/>
      <c r="J36" s="243"/>
      <c r="K36" s="243"/>
      <c r="L36" s="243"/>
      <c r="M36" s="243"/>
      <c r="N36" s="243"/>
      <c r="O36" s="243"/>
      <c r="P36" s="243"/>
    </row>
    <row r="37" ht="15.0" customHeight="1">
      <c r="A37" s="243"/>
      <c r="B37" s="243"/>
      <c r="C37" s="243"/>
      <c r="D37" s="243"/>
      <c r="E37" s="241"/>
      <c r="F37" s="243"/>
      <c r="G37" s="241"/>
      <c r="H37" s="241"/>
      <c r="I37" s="243"/>
      <c r="J37" s="243"/>
      <c r="K37" s="243"/>
      <c r="L37" s="243"/>
      <c r="M37" s="243"/>
      <c r="N37" s="243"/>
      <c r="O37" s="243"/>
      <c r="P37" s="243"/>
    </row>
    <row r="38" ht="18.75" customHeight="1">
      <c r="A38" s="236" t="s">
        <v>306</v>
      </c>
    </row>
    <row r="39" ht="15.0" customHeight="1">
      <c r="A39" s="243"/>
      <c r="B39" s="243"/>
      <c r="C39" s="243"/>
      <c r="D39" s="243"/>
      <c r="E39" s="241"/>
      <c r="F39" s="243"/>
      <c r="G39" s="241"/>
      <c r="H39" s="241"/>
      <c r="I39" s="243"/>
      <c r="J39" s="243"/>
      <c r="K39" s="243"/>
      <c r="L39" s="243"/>
      <c r="M39" s="243"/>
      <c r="N39" s="243"/>
      <c r="O39" s="243"/>
      <c r="P39" s="243"/>
    </row>
    <row r="40" ht="36.0" customHeight="1">
      <c r="A40" s="236" t="s">
        <v>307</v>
      </c>
    </row>
    <row r="41" ht="15.0" customHeight="1">
      <c r="A41" s="243"/>
      <c r="B41" s="243"/>
      <c r="C41" s="243"/>
      <c r="D41" s="243"/>
      <c r="E41" s="241"/>
      <c r="F41" s="243"/>
      <c r="G41" s="241"/>
      <c r="H41" s="241"/>
      <c r="I41" s="243"/>
      <c r="J41" s="243"/>
      <c r="K41" s="243"/>
      <c r="L41" s="243"/>
      <c r="M41" s="243"/>
      <c r="N41" s="243"/>
      <c r="O41" s="243"/>
      <c r="P41" s="243"/>
    </row>
    <row r="42" ht="18.75" customHeight="1">
      <c r="A42" s="236" t="s">
        <v>308</v>
      </c>
    </row>
    <row r="43" ht="18.75" customHeight="1">
      <c r="A43" s="236" t="s">
        <v>309</v>
      </c>
      <c r="P43" s="243"/>
    </row>
    <row r="44" ht="35.25" customHeight="1">
      <c r="A44" s="141" t="s">
        <v>310</v>
      </c>
    </row>
    <row r="45" ht="12.75" customHeight="1">
      <c r="A45" s="258" t="s">
        <v>311</v>
      </c>
    </row>
    <row r="46" ht="12.75" customHeight="1">
      <c r="A46" s="259"/>
      <c r="B46" s="259"/>
      <c r="C46" s="259"/>
      <c r="D46" s="259"/>
      <c r="E46" s="260"/>
      <c r="F46" s="259"/>
      <c r="G46" s="260"/>
      <c r="H46" s="260"/>
      <c r="I46" s="259"/>
      <c r="J46" s="259"/>
      <c r="K46" s="259"/>
      <c r="L46" s="259"/>
      <c r="M46" s="259"/>
      <c r="N46" s="259"/>
      <c r="O46" s="259"/>
      <c r="P46" s="259"/>
    </row>
  </sheetData>
  <mergeCells count="25">
    <mergeCell ref="I1:P1"/>
    <mergeCell ref="A2:A8"/>
    <mergeCell ref="A9:A14"/>
    <mergeCell ref="A15:A17"/>
    <mergeCell ref="A21:D21"/>
    <mergeCell ref="A23:B23"/>
    <mergeCell ref="L23:N23"/>
    <mergeCell ref="E23:K23"/>
    <mergeCell ref="A25:P25"/>
    <mergeCell ref="A26:P26"/>
    <mergeCell ref="A27:P27"/>
    <mergeCell ref="A28:P28"/>
    <mergeCell ref="A29:P29"/>
    <mergeCell ref="A30:P30"/>
    <mergeCell ref="A43:O43"/>
    <mergeCell ref="A44:P44"/>
    <mergeCell ref="A42:P42"/>
    <mergeCell ref="A45:P45"/>
    <mergeCell ref="A31:P31"/>
    <mergeCell ref="A32:P32"/>
    <mergeCell ref="A33:P33"/>
    <mergeCell ref="A34:P34"/>
    <mergeCell ref="A35:P35"/>
    <mergeCell ref="A38:P38"/>
    <mergeCell ref="A40:P40"/>
  </mergeCells>
  <printOptions/>
  <pageMargins bottom="0.75" footer="0.0" header="0.0" left="0.7" right="0.7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40.38"/>
    <col customWidth="1" min="3" max="3" width="12.13"/>
    <col customWidth="1" min="4" max="4" width="10.88"/>
    <col customWidth="1" min="5" max="5" width="11.38"/>
    <col customWidth="1" min="6" max="6" width="13.75"/>
    <col customWidth="1" min="7" max="7" width="11.13"/>
    <col customWidth="1" min="8" max="8" width="14.13"/>
    <col customWidth="1" min="9" max="10" width="9.38"/>
  </cols>
  <sheetData>
    <row r="1" ht="69.75" customHeight="1">
      <c r="A1" s="261"/>
      <c r="B1" s="262"/>
      <c r="C1" s="263"/>
      <c r="D1" s="263"/>
      <c r="F1" s="263"/>
      <c r="G1" s="263"/>
      <c r="H1" s="263"/>
      <c r="I1" s="264"/>
      <c r="J1" s="264"/>
    </row>
    <row r="2" ht="12.75" customHeight="1">
      <c r="A2" s="265" t="s">
        <v>312</v>
      </c>
      <c r="I2" s="264"/>
      <c r="J2" s="264"/>
    </row>
    <row r="3" ht="12.75" customHeight="1">
      <c r="A3" s="265" t="s">
        <v>313</v>
      </c>
      <c r="I3" s="264"/>
      <c r="J3" s="264"/>
    </row>
    <row r="4" ht="12.75" customHeight="1">
      <c r="A4" s="265" t="s">
        <v>314</v>
      </c>
      <c r="I4" s="264"/>
      <c r="J4" s="264"/>
    </row>
    <row r="5" ht="12.75" customHeight="1">
      <c r="A5" s="266" t="s">
        <v>315</v>
      </c>
      <c r="I5" s="264"/>
      <c r="J5" s="264"/>
    </row>
    <row r="6" ht="12.75" customHeight="1">
      <c r="A6" s="261"/>
      <c r="I6" s="264"/>
      <c r="J6" s="264"/>
    </row>
    <row r="7" ht="54.0" customHeight="1">
      <c r="A7" s="267" t="s">
        <v>316</v>
      </c>
      <c r="I7" s="264"/>
      <c r="J7" s="264"/>
    </row>
    <row r="8" ht="40.5" customHeight="1">
      <c r="A8" s="268" t="s">
        <v>317</v>
      </c>
      <c r="B8" s="268" t="s">
        <v>318</v>
      </c>
      <c r="C8" s="268" t="s">
        <v>319</v>
      </c>
      <c r="D8" s="268" t="s">
        <v>320</v>
      </c>
      <c r="E8" s="268" t="s">
        <v>321</v>
      </c>
      <c r="F8" s="268" t="s">
        <v>322</v>
      </c>
      <c r="G8" s="268" t="s">
        <v>323</v>
      </c>
      <c r="H8" s="269"/>
      <c r="I8" s="270"/>
      <c r="J8" s="271"/>
    </row>
    <row r="9" ht="33.0" customHeight="1">
      <c r="A9" s="220">
        <v>1.0</v>
      </c>
      <c r="B9" s="230" t="s">
        <v>324</v>
      </c>
      <c r="C9" s="272" t="s">
        <v>325</v>
      </c>
      <c r="D9" s="272">
        <v>2.0</v>
      </c>
      <c r="E9" s="272">
        <v>24.0</v>
      </c>
      <c r="F9" s="273">
        <v>15.34</v>
      </c>
      <c r="G9" s="274">
        <f t="shared" ref="G9:G32" si="1">ROUND(E9*F9,2)</f>
        <v>368.16</v>
      </c>
      <c r="H9" s="275"/>
      <c r="I9" s="276"/>
      <c r="J9" s="277"/>
    </row>
    <row r="10" ht="21.75" customHeight="1">
      <c r="A10" s="278">
        <v>2.0</v>
      </c>
      <c r="B10" s="230" t="s">
        <v>326</v>
      </c>
      <c r="C10" s="272" t="s">
        <v>327</v>
      </c>
      <c r="D10" s="272">
        <v>18.0</v>
      </c>
      <c r="E10" s="272">
        <f t="shared" ref="E10:E13" si="2">D10*12</f>
        <v>216</v>
      </c>
      <c r="F10" s="273">
        <v>11.33</v>
      </c>
      <c r="G10" s="274">
        <f t="shared" si="1"/>
        <v>2447.28</v>
      </c>
      <c r="H10" s="275"/>
      <c r="I10" s="276"/>
      <c r="J10" s="277"/>
    </row>
    <row r="11" ht="12.75" customHeight="1">
      <c r="A11" s="220">
        <v>3.0</v>
      </c>
      <c r="B11" s="230" t="s">
        <v>328</v>
      </c>
      <c r="C11" s="272" t="s">
        <v>329</v>
      </c>
      <c r="D11" s="272">
        <v>1.0</v>
      </c>
      <c r="E11" s="272">
        <f t="shared" si="2"/>
        <v>12</v>
      </c>
      <c r="F11" s="273">
        <v>10.41</v>
      </c>
      <c r="G11" s="274">
        <f t="shared" si="1"/>
        <v>124.92</v>
      </c>
      <c r="H11" s="275"/>
      <c r="I11" s="255"/>
      <c r="J11" s="277"/>
    </row>
    <row r="12" ht="22.5" customHeight="1">
      <c r="A12" s="278">
        <v>4.0</v>
      </c>
      <c r="B12" s="230" t="s">
        <v>330</v>
      </c>
      <c r="C12" s="272" t="s">
        <v>325</v>
      </c>
      <c r="D12" s="272">
        <v>5.0</v>
      </c>
      <c r="E12" s="272">
        <f t="shared" si="2"/>
        <v>60</v>
      </c>
      <c r="F12" s="273">
        <v>18.23</v>
      </c>
      <c r="G12" s="274">
        <f t="shared" si="1"/>
        <v>1093.8</v>
      </c>
      <c r="H12" s="275"/>
      <c r="I12" s="256"/>
      <c r="J12" s="279"/>
    </row>
    <row r="13" ht="27.0" customHeight="1">
      <c r="A13" s="220">
        <v>5.0</v>
      </c>
      <c r="B13" s="230" t="s">
        <v>331</v>
      </c>
      <c r="C13" s="272" t="s">
        <v>329</v>
      </c>
      <c r="D13" s="272">
        <v>8.0</v>
      </c>
      <c r="E13" s="272">
        <f t="shared" si="2"/>
        <v>96</v>
      </c>
      <c r="F13" s="273">
        <v>3.18</v>
      </c>
      <c r="G13" s="274">
        <f t="shared" si="1"/>
        <v>305.28</v>
      </c>
      <c r="H13" s="275"/>
      <c r="I13" s="280"/>
      <c r="J13" s="279"/>
    </row>
    <row r="14" ht="18.75" customHeight="1">
      <c r="A14" s="278">
        <v>6.0</v>
      </c>
      <c r="B14" s="230" t="s">
        <v>332</v>
      </c>
      <c r="C14" s="272" t="s">
        <v>325</v>
      </c>
      <c r="D14" s="272">
        <v>1.0</v>
      </c>
      <c r="E14" s="272">
        <v>12.0</v>
      </c>
      <c r="F14" s="273">
        <v>46.91</v>
      </c>
      <c r="G14" s="274">
        <f t="shared" si="1"/>
        <v>562.92</v>
      </c>
      <c r="H14" s="275"/>
      <c r="I14" s="256"/>
      <c r="J14" s="279"/>
    </row>
    <row r="15" ht="21.75" customHeight="1">
      <c r="A15" s="220">
        <v>7.0</v>
      </c>
      <c r="B15" s="230" t="s">
        <v>333</v>
      </c>
      <c r="C15" s="272" t="s">
        <v>334</v>
      </c>
      <c r="D15" s="272">
        <v>4.0</v>
      </c>
      <c r="E15" s="272">
        <f t="shared" ref="E15:E16" si="3">D15*12</f>
        <v>48</v>
      </c>
      <c r="F15" s="273">
        <v>7.5</v>
      </c>
      <c r="G15" s="274">
        <f t="shared" si="1"/>
        <v>360</v>
      </c>
      <c r="H15" s="281"/>
      <c r="I15" s="255"/>
      <c r="J15" s="279"/>
    </row>
    <row r="16" ht="12.75" customHeight="1">
      <c r="A16" s="278">
        <v>8.0</v>
      </c>
      <c r="B16" s="230" t="s">
        <v>335</v>
      </c>
      <c r="C16" s="272" t="s">
        <v>336</v>
      </c>
      <c r="D16" s="272">
        <v>8.0</v>
      </c>
      <c r="E16" s="272">
        <f t="shared" si="3"/>
        <v>96</v>
      </c>
      <c r="F16" s="273">
        <v>1.59</v>
      </c>
      <c r="G16" s="274">
        <f t="shared" si="1"/>
        <v>152.64</v>
      </c>
      <c r="H16" s="282"/>
      <c r="I16" s="281"/>
      <c r="J16" s="264"/>
    </row>
    <row r="17" ht="22.5" customHeight="1">
      <c r="A17" s="220">
        <v>9.0</v>
      </c>
      <c r="B17" s="230" t="s">
        <v>337</v>
      </c>
      <c r="C17" s="272" t="s">
        <v>336</v>
      </c>
      <c r="D17" s="272">
        <v>2.0</v>
      </c>
      <c r="E17" s="272">
        <v>24.0</v>
      </c>
      <c r="F17" s="273">
        <v>3.13</v>
      </c>
      <c r="G17" s="274">
        <f t="shared" si="1"/>
        <v>75.12</v>
      </c>
      <c r="H17" s="275"/>
      <c r="I17" s="281"/>
      <c r="J17" s="264"/>
    </row>
    <row r="18" ht="34.5" customHeight="1">
      <c r="A18" s="278">
        <v>10.0</v>
      </c>
      <c r="B18" s="230" t="s">
        <v>338</v>
      </c>
      <c r="C18" s="272" t="s">
        <v>339</v>
      </c>
      <c r="D18" s="272">
        <v>5.0</v>
      </c>
      <c r="E18" s="272">
        <f t="shared" ref="E18:E32" si="4">D18*12</f>
        <v>60</v>
      </c>
      <c r="F18" s="273">
        <v>5.4</v>
      </c>
      <c r="G18" s="274">
        <f t="shared" si="1"/>
        <v>324</v>
      </c>
      <c r="H18" s="275"/>
      <c r="I18" s="281"/>
      <c r="J18" s="264"/>
    </row>
    <row r="19" ht="39.75" customHeight="1">
      <c r="A19" s="220">
        <v>11.0</v>
      </c>
      <c r="B19" s="230" t="s">
        <v>340</v>
      </c>
      <c r="C19" s="272" t="s">
        <v>336</v>
      </c>
      <c r="D19" s="272">
        <v>3.0</v>
      </c>
      <c r="E19" s="272">
        <f t="shared" si="4"/>
        <v>36</v>
      </c>
      <c r="F19" s="273">
        <v>2.87</v>
      </c>
      <c r="G19" s="274">
        <f t="shared" si="1"/>
        <v>103.32</v>
      </c>
      <c r="H19" s="275"/>
      <c r="I19" s="281"/>
      <c r="J19" s="264"/>
    </row>
    <row r="20" ht="24.75" customHeight="1">
      <c r="A20" s="278">
        <v>12.0</v>
      </c>
      <c r="B20" s="230" t="s">
        <v>341</v>
      </c>
      <c r="C20" s="272" t="s">
        <v>336</v>
      </c>
      <c r="D20" s="272">
        <v>5.0</v>
      </c>
      <c r="E20" s="272">
        <f t="shared" si="4"/>
        <v>60</v>
      </c>
      <c r="F20" s="273">
        <v>8.11</v>
      </c>
      <c r="G20" s="274">
        <f t="shared" si="1"/>
        <v>486.6</v>
      </c>
      <c r="H20" s="275"/>
      <c r="I20" s="281"/>
      <c r="J20" s="264"/>
    </row>
    <row r="21" ht="34.5" customHeight="1">
      <c r="A21" s="220">
        <v>13.0</v>
      </c>
      <c r="B21" s="230" t="s">
        <v>342</v>
      </c>
      <c r="C21" s="272" t="s">
        <v>336</v>
      </c>
      <c r="D21" s="272">
        <v>1.0</v>
      </c>
      <c r="E21" s="272">
        <f t="shared" si="4"/>
        <v>12</v>
      </c>
      <c r="F21" s="273">
        <v>47.39</v>
      </c>
      <c r="G21" s="274">
        <f t="shared" si="1"/>
        <v>568.68</v>
      </c>
      <c r="H21" s="275"/>
      <c r="I21" s="281"/>
      <c r="J21" s="264"/>
    </row>
    <row r="22" ht="36.75" customHeight="1">
      <c r="A22" s="278">
        <v>14.0</v>
      </c>
      <c r="B22" s="230" t="s">
        <v>343</v>
      </c>
      <c r="C22" s="272" t="s">
        <v>329</v>
      </c>
      <c r="D22" s="272">
        <v>2.0</v>
      </c>
      <c r="E22" s="272">
        <f t="shared" si="4"/>
        <v>24</v>
      </c>
      <c r="F22" s="273">
        <v>28.1</v>
      </c>
      <c r="G22" s="274">
        <f t="shared" si="1"/>
        <v>674.4</v>
      </c>
      <c r="H22" s="283"/>
      <c r="I22" s="281"/>
      <c r="J22" s="264"/>
    </row>
    <row r="23" ht="36.75" customHeight="1">
      <c r="A23" s="220">
        <v>15.0</v>
      </c>
      <c r="B23" s="230" t="s">
        <v>344</v>
      </c>
      <c r="C23" s="272" t="s">
        <v>345</v>
      </c>
      <c r="D23" s="272">
        <v>3.0</v>
      </c>
      <c r="E23" s="272">
        <f t="shared" si="4"/>
        <v>36</v>
      </c>
      <c r="F23" s="273">
        <v>20.12</v>
      </c>
      <c r="G23" s="274">
        <f t="shared" si="1"/>
        <v>724.32</v>
      </c>
      <c r="H23" s="283"/>
      <c r="I23" s="281"/>
      <c r="J23" s="264"/>
    </row>
    <row r="24" ht="36.75" customHeight="1">
      <c r="A24" s="278">
        <v>16.0</v>
      </c>
      <c r="B24" s="230" t="s">
        <v>346</v>
      </c>
      <c r="C24" s="272" t="s">
        <v>339</v>
      </c>
      <c r="D24" s="272">
        <v>1.0</v>
      </c>
      <c r="E24" s="272">
        <f t="shared" si="4"/>
        <v>12</v>
      </c>
      <c r="F24" s="273">
        <v>23.48</v>
      </c>
      <c r="G24" s="274">
        <f t="shared" si="1"/>
        <v>281.76</v>
      </c>
      <c r="H24" s="283"/>
      <c r="I24" s="281"/>
      <c r="J24" s="264"/>
    </row>
    <row r="25" ht="36.75" customHeight="1">
      <c r="A25" s="220">
        <v>17.0</v>
      </c>
      <c r="B25" s="230" t="s">
        <v>347</v>
      </c>
      <c r="C25" s="272" t="s">
        <v>339</v>
      </c>
      <c r="D25" s="272">
        <v>1.0</v>
      </c>
      <c r="E25" s="272">
        <f t="shared" si="4"/>
        <v>12</v>
      </c>
      <c r="F25" s="273">
        <v>77.09</v>
      </c>
      <c r="G25" s="274">
        <f t="shared" si="1"/>
        <v>925.08</v>
      </c>
      <c r="H25" s="283"/>
      <c r="I25" s="281"/>
      <c r="J25" s="264"/>
    </row>
    <row r="26" ht="36.75" customHeight="1">
      <c r="A26" s="278">
        <v>18.0</v>
      </c>
      <c r="B26" s="230" t="s">
        <v>348</v>
      </c>
      <c r="C26" s="272" t="s">
        <v>339</v>
      </c>
      <c r="D26" s="272">
        <v>1.0</v>
      </c>
      <c r="E26" s="272">
        <f t="shared" si="4"/>
        <v>12</v>
      </c>
      <c r="F26" s="273">
        <v>70.95</v>
      </c>
      <c r="G26" s="274">
        <f t="shared" si="1"/>
        <v>851.4</v>
      </c>
      <c r="H26" s="283"/>
      <c r="I26" s="281"/>
      <c r="J26" s="264"/>
    </row>
    <row r="27" ht="36.75" customHeight="1">
      <c r="A27" s="278">
        <v>19.0</v>
      </c>
      <c r="B27" s="230" t="s">
        <v>349</v>
      </c>
      <c r="C27" s="272" t="s">
        <v>339</v>
      </c>
      <c r="D27" s="272">
        <v>3.0</v>
      </c>
      <c r="E27" s="272">
        <f t="shared" si="4"/>
        <v>36</v>
      </c>
      <c r="F27" s="273">
        <v>34.64</v>
      </c>
      <c r="G27" s="274">
        <f t="shared" si="1"/>
        <v>1247.04</v>
      </c>
      <c r="H27" s="283"/>
      <c r="I27" s="281"/>
      <c r="J27" s="264"/>
    </row>
    <row r="28" ht="36.75" customHeight="1">
      <c r="A28" s="220">
        <v>20.0</v>
      </c>
      <c r="B28" s="230" t="s">
        <v>350</v>
      </c>
      <c r="C28" s="272" t="s">
        <v>339</v>
      </c>
      <c r="D28" s="272">
        <v>3.0</v>
      </c>
      <c r="E28" s="272">
        <f t="shared" si="4"/>
        <v>36</v>
      </c>
      <c r="F28" s="273">
        <v>17.81</v>
      </c>
      <c r="G28" s="274">
        <f t="shared" si="1"/>
        <v>641.16</v>
      </c>
      <c r="H28" s="283"/>
      <c r="I28" s="281"/>
      <c r="J28" s="264"/>
    </row>
    <row r="29" ht="36.75" customHeight="1">
      <c r="A29" s="278">
        <v>21.0</v>
      </c>
      <c r="B29" s="230" t="s">
        <v>351</v>
      </c>
      <c r="C29" s="272" t="s">
        <v>339</v>
      </c>
      <c r="D29" s="272">
        <v>1.0</v>
      </c>
      <c r="E29" s="272">
        <f t="shared" si="4"/>
        <v>12</v>
      </c>
      <c r="F29" s="273">
        <v>23.29</v>
      </c>
      <c r="G29" s="274">
        <f t="shared" si="1"/>
        <v>279.48</v>
      </c>
      <c r="H29" s="283"/>
      <c r="I29" s="281"/>
      <c r="J29" s="264"/>
    </row>
    <row r="30" ht="36.75" customHeight="1">
      <c r="A30" s="278">
        <v>22.0</v>
      </c>
      <c r="B30" s="230" t="s">
        <v>352</v>
      </c>
      <c r="C30" s="272" t="s">
        <v>353</v>
      </c>
      <c r="D30" s="272">
        <v>4.0</v>
      </c>
      <c r="E30" s="272">
        <f t="shared" si="4"/>
        <v>48</v>
      </c>
      <c r="F30" s="273">
        <v>65.47</v>
      </c>
      <c r="G30" s="274">
        <f t="shared" si="1"/>
        <v>3142.56</v>
      </c>
      <c r="H30" s="283"/>
      <c r="I30" s="281"/>
      <c r="J30" s="264"/>
    </row>
    <row r="31" ht="36.75" customHeight="1">
      <c r="A31" s="220">
        <v>23.0</v>
      </c>
      <c r="B31" s="230" t="s">
        <v>354</v>
      </c>
      <c r="C31" s="272" t="s">
        <v>355</v>
      </c>
      <c r="D31" s="272">
        <v>14.0</v>
      </c>
      <c r="E31" s="272">
        <f t="shared" si="4"/>
        <v>168</v>
      </c>
      <c r="F31" s="273">
        <v>24.12</v>
      </c>
      <c r="G31" s="274">
        <f t="shared" si="1"/>
        <v>4052.16</v>
      </c>
      <c r="H31" s="283"/>
      <c r="I31" s="281"/>
      <c r="J31" s="264"/>
    </row>
    <row r="32" ht="36.75" customHeight="1">
      <c r="A32" s="278">
        <v>24.0</v>
      </c>
      <c r="B32" s="230" t="s">
        <v>356</v>
      </c>
      <c r="C32" s="272" t="s">
        <v>357</v>
      </c>
      <c r="D32" s="272">
        <v>2.0</v>
      </c>
      <c r="E32" s="272">
        <f t="shared" si="4"/>
        <v>24</v>
      </c>
      <c r="F32" s="273">
        <v>23.31</v>
      </c>
      <c r="G32" s="274">
        <f t="shared" si="1"/>
        <v>559.44</v>
      </c>
      <c r="H32" s="283"/>
      <c r="I32" s="281"/>
      <c r="J32" s="264"/>
    </row>
    <row r="33" ht="12.75" customHeight="1">
      <c r="A33" s="33" t="s">
        <v>358</v>
      </c>
      <c r="B33" s="2"/>
      <c r="C33" s="2"/>
      <c r="D33" s="2"/>
      <c r="E33" s="2"/>
      <c r="F33" s="3"/>
      <c r="G33" s="284">
        <f>SUM(G9:G32)</f>
        <v>20351.52</v>
      </c>
      <c r="H33" s="285"/>
      <c r="I33" s="281"/>
      <c r="J33" s="264"/>
    </row>
    <row r="34" ht="12.75" customHeight="1">
      <c r="A34" s="33" t="s">
        <v>359</v>
      </c>
      <c r="B34" s="2"/>
      <c r="C34" s="2"/>
      <c r="D34" s="2"/>
      <c r="E34" s="2"/>
      <c r="F34" s="3"/>
      <c r="G34" s="284">
        <f>G33/12</f>
        <v>1695.96</v>
      </c>
      <c r="H34" s="285"/>
      <c r="I34" s="281"/>
      <c r="J34" s="264"/>
    </row>
    <row r="35" ht="24.0" customHeight="1">
      <c r="A35" s="286"/>
      <c r="B35" s="287"/>
      <c r="C35" s="288"/>
      <c r="D35" s="288"/>
      <c r="E35" s="289"/>
      <c r="F35" s="289"/>
      <c r="G35" s="289"/>
      <c r="H35" s="290"/>
      <c r="I35" s="281"/>
      <c r="J35" s="264"/>
    </row>
    <row r="36" ht="45.0" customHeight="1">
      <c r="A36" s="268" t="s">
        <v>317</v>
      </c>
      <c r="B36" s="268" t="s">
        <v>360</v>
      </c>
      <c r="C36" s="268" t="s">
        <v>319</v>
      </c>
      <c r="D36" s="268" t="s">
        <v>361</v>
      </c>
      <c r="E36" s="268" t="s">
        <v>362</v>
      </c>
      <c r="F36" s="268" t="s">
        <v>321</v>
      </c>
      <c r="G36" s="268" t="s">
        <v>322</v>
      </c>
      <c r="H36" s="291" t="s">
        <v>323</v>
      </c>
      <c r="I36" s="292"/>
      <c r="J36" s="271"/>
    </row>
    <row r="37" ht="12.75" customHeight="1">
      <c r="A37" s="278">
        <v>1.0</v>
      </c>
      <c r="B37" s="293" t="s">
        <v>363</v>
      </c>
      <c r="C37" s="272" t="s">
        <v>336</v>
      </c>
      <c r="D37" s="272">
        <v>12.0</v>
      </c>
      <c r="E37" s="272">
        <v>2.0</v>
      </c>
      <c r="F37" s="294">
        <f t="shared" ref="F37:F47" si="5">E37/(D37/12)</f>
        <v>2</v>
      </c>
      <c r="G37" s="295">
        <v>8.37</v>
      </c>
      <c r="H37" s="274">
        <f t="shared" ref="H37:H47" si="6">ROUND(F37*G37,2)</f>
        <v>16.74</v>
      </c>
      <c r="I37" s="296"/>
      <c r="J37" s="277"/>
    </row>
    <row r="38" ht="12.75" customHeight="1">
      <c r="A38" s="278">
        <v>2.0</v>
      </c>
      <c r="B38" s="293" t="s">
        <v>364</v>
      </c>
      <c r="C38" s="272" t="s">
        <v>336</v>
      </c>
      <c r="D38" s="272">
        <v>3.0</v>
      </c>
      <c r="E38" s="272">
        <v>2.0</v>
      </c>
      <c r="F38" s="294">
        <f t="shared" si="5"/>
        <v>8</v>
      </c>
      <c r="G38" s="295">
        <v>12.64</v>
      </c>
      <c r="H38" s="274">
        <f t="shared" si="6"/>
        <v>101.12</v>
      </c>
      <c r="I38" s="296"/>
      <c r="J38" s="277"/>
    </row>
    <row r="39" ht="27.75" customHeight="1">
      <c r="A39" s="278">
        <v>3.0</v>
      </c>
      <c r="B39" s="293" t="s">
        <v>365</v>
      </c>
      <c r="C39" s="272" t="s">
        <v>336</v>
      </c>
      <c r="D39" s="272">
        <v>12.0</v>
      </c>
      <c r="E39" s="272">
        <v>1.0</v>
      </c>
      <c r="F39" s="294">
        <f t="shared" si="5"/>
        <v>1</v>
      </c>
      <c r="G39" s="295">
        <v>207.22</v>
      </c>
      <c r="H39" s="274">
        <f t="shared" si="6"/>
        <v>207.22</v>
      </c>
      <c r="I39" s="255"/>
      <c r="J39" s="279"/>
    </row>
    <row r="40" ht="33.75" customHeight="1">
      <c r="A40" s="278">
        <v>4.0</v>
      </c>
      <c r="B40" s="293" t="s">
        <v>366</v>
      </c>
      <c r="C40" s="272" t="s">
        <v>336</v>
      </c>
      <c r="D40" s="272">
        <v>12.0</v>
      </c>
      <c r="E40" s="272">
        <v>2.0</v>
      </c>
      <c r="F40" s="294">
        <f t="shared" si="5"/>
        <v>2</v>
      </c>
      <c r="G40" s="295">
        <v>10.14</v>
      </c>
      <c r="H40" s="274">
        <f t="shared" si="6"/>
        <v>20.28</v>
      </c>
      <c r="I40" s="256"/>
      <c r="J40" s="279"/>
    </row>
    <row r="41" ht="22.5" customHeight="1">
      <c r="A41" s="278">
        <v>5.0</v>
      </c>
      <c r="B41" s="293" t="s">
        <v>367</v>
      </c>
      <c r="C41" s="272" t="s">
        <v>336</v>
      </c>
      <c r="D41" s="272">
        <v>12.0</v>
      </c>
      <c r="E41" s="272">
        <v>1.0</v>
      </c>
      <c r="F41" s="294">
        <f t="shared" si="5"/>
        <v>1</v>
      </c>
      <c r="G41" s="295">
        <v>13.33</v>
      </c>
      <c r="H41" s="274">
        <f t="shared" si="6"/>
        <v>13.33</v>
      </c>
      <c r="I41" s="296"/>
      <c r="J41" s="277"/>
    </row>
    <row r="42" ht="21.75" customHeight="1">
      <c r="A42" s="278">
        <v>6.0</v>
      </c>
      <c r="B42" s="293" t="s">
        <v>368</v>
      </c>
      <c r="C42" s="272" t="s">
        <v>336</v>
      </c>
      <c r="D42" s="272">
        <v>12.0</v>
      </c>
      <c r="E42" s="272">
        <v>2.0</v>
      </c>
      <c r="F42" s="294">
        <f t="shared" si="5"/>
        <v>2</v>
      </c>
      <c r="G42" s="295">
        <v>37.05</v>
      </c>
      <c r="H42" s="274">
        <f t="shared" si="6"/>
        <v>74.1</v>
      </c>
      <c r="I42" s="256"/>
      <c r="J42" s="279"/>
    </row>
    <row r="43" ht="23.25" customHeight="1">
      <c r="A43" s="278">
        <v>7.0</v>
      </c>
      <c r="B43" s="293" t="s">
        <v>369</v>
      </c>
      <c r="C43" s="272" t="s">
        <v>336</v>
      </c>
      <c r="D43" s="272">
        <v>3.0</v>
      </c>
      <c r="E43" s="272">
        <v>2.0</v>
      </c>
      <c r="F43" s="294">
        <f t="shared" si="5"/>
        <v>8</v>
      </c>
      <c r="G43" s="295">
        <v>14.8</v>
      </c>
      <c r="H43" s="274">
        <f t="shared" si="6"/>
        <v>118.4</v>
      </c>
      <c r="I43" s="256"/>
      <c r="J43" s="279"/>
    </row>
    <row r="44" ht="24.75" customHeight="1">
      <c r="A44" s="278">
        <v>8.0</v>
      </c>
      <c r="B44" s="297" t="s">
        <v>370</v>
      </c>
      <c r="C44" s="272" t="s">
        <v>336</v>
      </c>
      <c r="D44" s="272">
        <v>6.0</v>
      </c>
      <c r="E44" s="272">
        <v>1.0</v>
      </c>
      <c r="F44" s="294">
        <f t="shared" si="5"/>
        <v>2</v>
      </c>
      <c r="G44" s="295">
        <v>32.75</v>
      </c>
      <c r="H44" s="274">
        <f t="shared" si="6"/>
        <v>65.5</v>
      </c>
      <c r="I44" s="255"/>
      <c r="J44" s="279"/>
    </row>
    <row r="45" ht="22.5" customHeight="1">
      <c r="A45" s="278">
        <v>9.0</v>
      </c>
      <c r="B45" s="297" t="s">
        <v>371</v>
      </c>
      <c r="C45" s="272" t="s">
        <v>336</v>
      </c>
      <c r="D45" s="272">
        <v>12.0</v>
      </c>
      <c r="E45" s="272">
        <v>2.0</v>
      </c>
      <c r="F45" s="294">
        <f t="shared" si="5"/>
        <v>2</v>
      </c>
      <c r="G45" s="295">
        <v>157.11</v>
      </c>
      <c r="H45" s="274">
        <f t="shared" si="6"/>
        <v>314.22</v>
      </c>
      <c r="I45" s="255"/>
      <c r="J45" s="279"/>
    </row>
    <row r="46" ht="12.75" customHeight="1">
      <c r="A46" s="278">
        <v>10.0</v>
      </c>
      <c r="B46" s="293" t="s">
        <v>372</v>
      </c>
      <c r="C46" s="272" t="s">
        <v>336</v>
      </c>
      <c r="D46" s="272">
        <v>12.0</v>
      </c>
      <c r="E46" s="272">
        <v>1.0</v>
      </c>
      <c r="F46" s="294">
        <f t="shared" si="5"/>
        <v>1</v>
      </c>
      <c r="G46" s="295">
        <v>147.23</v>
      </c>
      <c r="H46" s="274">
        <f t="shared" si="6"/>
        <v>147.23</v>
      </c>
      <c r="I46" s="255"/>
      <c r="J46" s="279"/>
    </row>
    <row r="47" ht="25.5" customHeight="1">
      <c r="A47" s="278">
        <v>11.0</v>
      </c>
      <c r="B47" s="297" t="s">
        <v>373</v>
      </c>
      <c r="C47" s="272" t="s">
        <v>336</v>
      </c>
      <c r="D47" s="272">
        <v>12.0</v>
      </c>
      <c r="E47" s="272">
        <v>1.0</v>
      </c>
      <c r="F47" s="294">
        <f t="shared" si="5"/>
        <v>1</v>
      </c>
      <c r="G47" s="295">
        <v>19.4</v>
      </c>
      <c r="H47" s="274">
        <f t="shared" si="6"/>
        <v>19.4</v>
      </c>
      <c r="I47" s="298"/>
      <c r="J47" s="279"/>
    </row>
    <row r="48" ht="12.75" customHeight="1">
      <c r="A48" s="148" t="s">
        <v>374</v>
      </c>
      <c r="B48" s="2"/>
      <c r="C48" s="2"/>
      <c r="D48" s="2"/>
      <c r="E48" s="2"/>
      <c r="F48" s="2"/>
      <c r="G48" s="3"/>
      <c r="H48" s="299">
        <f>SUM(H37:H47)</f>
        <v>1097.54</v>
      </c>
      <c r="I48" s="281"/>
      <c r="J48" s="264"/>
    </row>
    <row r="49" ht="12.75" customHeight="1">
      <c r="A49" s="148" t="s">
        <v>375</v>
      </c>
      <c r="B49" s="2"/>
      <c r="C49" s="2"/>
      <c r="D49" s="2"/>
      <c r="E49" s="2"/>
      <c r="F49" s="2"/>
      <c r="G49" s="3"/>
      <c r="H49" s="299">
        <f>H48/12</f>
        <v>91.46166667</v>
      </c>
      <c r="I49" s="281"/>
      <c r="J49" s="264"/>
    </row>
    <row r="50" ht="23.25" customHeight="1">
      <c r="A50" s="241"/>
      <c r="B50" s="78"/>
      <c r="C50" s="300"/>
      <c r="D50" s="300"/>
      <c r="E50" s="300"/>
      <c r="F50" s="300"/>
      <c r="G50" s="300"/>
      <c r="H50" s="300"/>
      <c r="I50" s="281"/>
      <c r="J50" s="264"/>
    </row>
    <row r="51" ht="42.75" customHeight="1">
      <c r="A51" s="268" t="s">
        <v>317</v>
      </c>
      <c r="B51" s="268" t="s">
        <v>376</v>
      </c>
      <c r="C51" s="268" t="s">
        <v>319</v>
      </c>
      <c r="D51" s="268" t="s">
        <v>377</v>
      </c>
      <c r="E51" s="268" t="s">
        <v>362</v>
      </c>
      <c r="F51" s="268" t="s">
        <v>321</v>
      </c>
      <c r="G51" s="268" t="s">
        <v>322</v>
      </c>
      <c r="H51" s="268" t="s">
        <v>323</v>
      </c>
      <c r="I51" s="270"/>
      <c r="J51" s="271"/>
    </row>
    <row r="52" ht="22.5" customHeight="1">
      <c r="A52" s="278">
        <v>1.0</v>
      </c>
      <c r="B52" s="230" t="s">
        <v>378</v>
      </c>
      <c r="C52" s="272" t="s">
        <v>336</v>
      </c>
      <c r="D52" s="272">
        <v>60.0</v>
      </c>
      <c r="E52" s="272">
        <v>1.0</v>
      </c>
      <c r="F52" s="294">
        <f t="shared" ref="F52:F57" si="7">E52/(D52/12)</f>
        <v>0.2</v>
      </c>
      <c r="G52" s="273">
        <v>199.4</v>
      </c>
      <c r="H52" s="274">
        <f t="shared" ref="H52:H57" si="8">ROUND(F52*G52,2)</f>
        <v>39.88</v>
      </c>
      <c r="I52" s="236"/>
      <c r="J52" s="265"/>
    </row>
    <row r="53" ht="22.5" customHeight="1">
      <c r="A53" s="278">
        <v>2.0</v>
      </c>
      <c r="B53" s="230" t="s">
        <v>379</v>
      </c>
      <c r="C53" s="272" t="s">
        <v>336</v>
      </c>
      <c r="D53" s="272">
        <v>60.0</v>
      </c>
      <c r="E53" s="272">
        <v>1.0</v>
      </c>
      <c r="F53" s="294">
        <f t="shared" si="7"/>
        <v>0.2</v>
      </c>
      <c r="G53" s="273">
        <v>601.35</v>
      </c>
      <c r="H53" s="274">
        <f t="shared" si="8"/>
        <v>120.27</v>
      </c>
      <c r="I53" s="236"/>
      <c r="J53" s="265"/>
    </row>
    <row r="54" ht="43.5" customHeight="1">
      <c r="A54" s="278">
        <v>3.0</v>
      </c>
      <c r="B54" s="230" t="s">
        <v>380</v>
      </c>
      <c r="C54" s="272" t="s">
        <v>336</v>
      </c>
      <c r="D54" s="272">
        <v>60.0</v>
      </c>
      <c r="E54" s="272">
        <v>2.0</v>
      </c>
      <c r="F54" s="294">
        <f t="shared" si="7"/>
        <v>0.4</v>
      </c>
      <c r="G54" s="273">
        <v>1439.76</v>
      </c>
      <c r="H54" s="274">
        <f t="shared" si="8"/>
        <v>575.9</v>
      </c>
      <c r="I54" s="236"/>
      <c r="J54" s="265"/>
    </row>
    <row r="55" ht="45.75" customHeight="1">
      <c r="A55" s="278">
        <v>5.0</v>
      </c>
      <c r="B55" s="230" t="s">
        <v>381</v>
      </c>
      <c r="C55" s="272" t="s">
        <v>336</v>
      </c>
      <c r="D55" s="272">
        <v>24.0</v>
      </c>
      <c r="E55" s="272">
        <v>1.0</v>
      </c>
      <c r="F55" s="294">
        <f t="shared" si="7"/>
        <v>0.5</v>
      </c>
      <c r="G55" s="273">
        <v>516.47</v>
      </c>
      <c r="H55" s="274">
        <f t="shared" si="8"/>
        <v>258.24</v>
      </c>
      <c r="I55" s="281"/>
      <c r="J55" s="264"/>
    </row>
    <row r="56" ht="45.75" customHeight="1">
      <c r="A56" s="278">
        <v>6.0</v>
      </c>
      <c r="B56" s="230" t="s">
        <v>382</v>
      </c>
      <c r="C56" s="272" t="s">
        <v>336</v>
      </c>
      <c r="D56" s="272">
        <v>24.0</v>
      </c>
      <c r="E56" s="272">
        <v>1.0</v>
      </c>
      <c r="F56" s="294">
        <f t="shared" si="7"/>
        <v>0.5</v>
      </c>
      <c r="G56" s="273">
        <v>361.38</v>
      </c>
      <c r="H56" s="274">
        <f t="shared" si="8"/>
        <v>180.69</v>
      </c>
      <c r="I56" s="281"/>
      <c r="J56" s="264"/>
    </row>
    <row r="57" ht="45.75" customHeight="1">
      <c r="A57" s="278">
        <v>7.0</v>
      </c>
      <c r="B57" s="301" t="s">
        <v>383</v>
      </c>
      <c r="C57" s="272" t="s">
        <v>336</v>
      </c>
      <c r="D57" s="272">
        <v>60.0</v>
      </c>
      <c r="E57" s="272">
        <v>1.0</v>
      </c>
      <c r="F57" s="294">
        <f t="shared" si="7"/>
        <v>0.2</v>
      </c>
      <c r="G57" s="273">
        <v>710.12</v>
      </c>
      <c r="H57" s="274">
        <f t="shared" si="8"/>
        <v>142.02</v>
      </c>
      <c r="I57" s="281"/>
      <c r="J57" s="264"/>
    </row>
    <row r="58" ht="12.75" customHeight="1">
      <c r="A58" s="302" t="s">
        <v>384</v>
      </c>
      <c r="B58" s="2"/>
      <c r="C58" s="2"/>
      <c r="D58" s="2"/>
      <c r="E58" s="2"/>
      <c r="F58" s="2"/>
      <c r="G58" s="3"/>
      <c r="H58" s="303">
        <f>SUM(H52:H57)</f>
        <v>1317</v>
      </c>
      <c r="I58" s="281"/>
      <c r="J58" s="264"/>
    </row>
    <row r="59" ht="12.75" customHeight="1">
      <c r="A59" s="302" t="s">
        <v>385</v>
      </c>
      <c r="B59" s="2"/>
      <c r="C59" s="2"/>
      <c r="D59" s="2"/>
      <c r="E59" s="2"/>
      <c r="F59" s="2"/>
      <c r="G59" s="3"/>
      <c r="H59" s="304">
        <f>H58/12</f>
        <v>109.75</v>
      </c>
      <c r="I59" s="281"/>
      <c r="J59" s="264"/>
    </row>
    <row r="60" ht="31.5" customHeight="1">
      <c r="A60" s="14"/>
      <c r="B60" s="305"/>
      <c r="C60" s="305"/>
      <c r="D60" s="305"/>
      <c r="E60" s="305"/>
      <c r="F60" s="305"/>
      <c r="G60" s="306"/>
      <c r="H60" s="306"/>
      <c r="I60" s="281"/>
      <c r="J60" s="264"/>
    </row>
    <row r="61" ht="33.75" customHeight="1">
      <c r="A61" s="268" t="s">
        <v>317</v>
      </c>
      <c r="B61" s="268" t="s">
        <v>386</v>
      </c>
      <c r="C61" s="268" t="s">
        <v>319</v>
      </c>
      <c r="D61" s="268" t="s">
        <v>321</v>
      </c>
      <c r="E61" s="268" t="s">
        <v>322</v>
      </c>
      <c r="F61" s="268" t="s">
        <v>387</v>
      </c>
      <c r="G61" s="141"/>
      <c r="H61" s="141"/>
      <c r="I61" s="270"/>
      <c r="J61" s="271"/>
    </row>
    <row r="62" ht="45.0" customHeight="1">
      <c r="A62" s="220">
        <v>1.0</v>
      </c>
      <c r="B62" s="230" t="s">
        <v>388</v>
      </c>
      <c r="C62" s="272" t="s">
        <v>389</v>
      </c>
      <c r="D62" s="272">
        <v>2.0</v>
      </c>
      <c r="E62" s="273">
        <v>136.3</v>
      </c>
      <c r="F62" s="274">
        <f t="shared" ref="F62:F75" si="9">ROUND(D62*E62,2)</f>
        <v>272.6</v>
      </c>
      <c r="G62" s="307"/>
      <c r="H62" s="308"/>
      <c r="I62" s="243"/>
      <c r="J62" s="309"/>
    </row>
    <row r="63" ht="12.75" customHeight="1">
      <c r="A63" s="220">
        <v>2.0</v>
      </c>
      <c r="B63" s="230" t="s">
        <v>390</v>
      </c>
      <c r="C63" s="272" t="s">
        <v>389</v>
      </c>
      <c r="D63" s="272">
        <v>2.0</v>
      </c>
      <c r="E63" s="273">
        <v>42.72</v>
      </c>
      <c r="F63" s="274">
        <f t="shared" si="9"/>
        <v>85.44</v>
      </c>
      <c r="G63" s="307"/>
      <c r="H63" s="308"/>
      <c r="I63" s="243"/>
      <c r="J63" s="309"/>
    </row>
    <row r="64" ht="34.5" customHeight="1">
      <c r="A64" s="220">
        <v>3.0</v>
      </c>
      <c r="B64" s="230" t="s">
        <v>391</v>
      </c>
      <c r="C64" s="272" t="s">
        <v>389</v>
      </c>
      <c r="D64" s="272">
        <v>2.0</v>
      </c>
      <c r="E64" s="273">
        <v>45.45</v>
      </c>
      <c r="F64" s="274">
        <f t="shared" si="9"/>
        <v>90.9</v>
      </c>
      <c r="G64" s="307"/>
      <c r="H64" s="308"/>
      <c r="I64" s="243"/>
      <c r="J64" s="309"/>
    </row>
    <row r="65" ht="56.25" customHeight="1">
      <c r="A65" s="220">
        <v>4.0</v>
      </c>
      <c r="B65" s="230" t="s">
        <v>392</v>
      </c>
      <c r="C65" s="272" t="s">
        <v>393</v>
      </c>
      <c r="D65" s="272">
        <v>1.0</v>
      </c>
      <c r="E65" s="273">
        <v>67.11</v>
      </c>
      <c r="F65" s="274">
        <f t="shared" si="9"/>
        <v>67.11</v>
      </c>
      <c r="G65" s="307"/>
      <c r="H65" s="308"/>
      <c r="I65" s="243"/>
      <c r="J65" s="309"/>
    </row>
    <row r="66" ht="40.5" customHeight="1">
      <c r="A66" s="220">
        <v>5.0</v>
      </c>
      <c r="B66" s="230" t="s">
        <v>394</v>
      </c>
      <c r="C66" s="272" t="s">
        <v>389</v>
      </c>
      <c r="D66" s="272">
        <v>1.0</v>
      </c>
      <c r="E66" s="273">
        <v>126.17</v>
      </c>
      <c r="F66" s="274">
        <f t="shared" si="9"/>
        <v>126.17</v>
      </c>
      <c r="G66" s="307"/>
      <c r="H66" s="308"/>
      <c r="I66" s="243"/>
      <c r="J66" s="309"/>
    </row>
    <row r="67" ht="40.5" customHeight="1">
      <c r="A67" s="220">
        <v>6.0</v>
      </c>
      <c r="B67" s="230" t="s">
        <v>395</v>
      </c>
      <c r="C67" s="272" t="s">
        <v>389</v>
      </c>
      <c r="D67" s="272">
        <v>2.0</v>
      </c>
      <c r="E67" s="273">
        <v>58.1</v>
      </c>
      <c r="F67" s="274">
        <f t="shared" si="9"/>
        <v>116.2</v>
      </c>
      <c r="G67" s="307"/>
      <c r="H67" s="308"/>
      <c r="I67" s="243"/>
      <c r="J67" s="309"/>
    </row>
    <row r="68" ht="40.5" customHeight="1">
      <c r="A68" s="220">
        <v>7.0</v>
      </c>
      <c r="B68" s="230" t="s">
        <v>396</v>
      </c>
      <c r="C68" s="272" t="s">
        <v>393</v>
      </c>
      <c r="D68" s="272">
        <v>1.0</v>
      </c>
      <c r="E68" s="273">
        <v>51.7</v>
      </c>
      <c r="F68" s="274">
        <f t="shared" si="9"/>
        <v>51.7</v>
      </c>
      <c r="G68" s="307"/>
      <c r="H68" s="308"/>
      <c r="I68" s="243"/>
      <c r="J68" s="309"/>
    </row>
    <row r="69" ht="40.5" customHeight="1">
      <c r="A69" s="220">
        <v>8.0</v>
      </c>
      <c r="B69" s="230" t="s">
        <v>397</v>
      </c>
      <c r="C69" s="272" t="s">
        <v>336</v>
      </c>
      <c r="D69" s="272">
        <v>1.0</v>
      </c>
      <c r="E69" s="273">
        <v>15.0</v>
      </c>
      <c r="F69" s="274">
        <f t="shared" si="9"/>
        <v>15</v>
      </c>
      <c r="G69" s="307"/>
      <c r="H69" s="308"/>
      <c r="I69" s="243"/>
      <c r="J69" s="309"/>
    </row>
    <row r="70" ht="40.5" customHeight="1">
      <c r="A70" s="220">
        <v>9.0</v>
      </c>
      <c r="B70" s="230" t="s">
        <v>398</v>
      </c>
      <c r="C70" s="272" t="s">
        <v>336</v>
      </c>
      <c r="D70" s="272">
        <v>1.0</v>
      </c>
      <c r="E70" s="273">
        <v>29.49</v>
      </c>
      <c r="F70" s="274">
        <f t="shared" si="9"/>
        <v>29.49</v>
      </c>
      <c r="G70" s="307"/>
      <c r="H70" s="308"/>
      <c r="I70" s="243"/>
      <c r="J70" s="309"/>
    </row>
    <row r="71" ht="40.5" customHeight="1">
      <c r="A71" s="220">
        <v>10.0</v>
      </c>
      <c r="B71" s="230" t="s">
        <v>399</v>
      </c>
      <c r="C71" s="272" t="s">
        <v>393</v>
      </c>
      <c r="D71" s="272">
        <v>12.0</v>
      </c>
      <c r="E71" s="273">
        <v>15.59</v>
      </c>
      <c r="F71" s="274">
        <f t="shared" si="9"/>
        <v>187.08</v>
      </c>
      <c r="G71" s="307"/>
      <c r="H71" s="308"/>
      <c r="I71" s="243"/>
      <c r="J71" s="309"/>
    </row>
    <row r="72" ht="40.5" customHeight="1">
      <c r="A72" s="220">
        <v>11.0</v>
      </c>
      <c r="B72" s="230" t="s">
        <v>400</v>
      </c>
      <c r="C72" s="272" t="s">
        <v>336</v>
      </c>
      <c r="D72" s="272">
        <v>25.0</v>
      </c>
      <c r="E72" s="273">
        <v>13.02</v>
      </c>
      <c r="F72" s="274">
        <f t="shared" si="9"/>
        <v>325.5</v>
      </c>
      <c r="G72" s="307"/>
      <c r="H72" s="308"/>
      <c r="I72" s="243"/>
      <c r="J72" s="309"/>
    </row>
    <row r="73" ht="40.5" customHeight="1">
      <c r="A73" s="220">
        <v>12.0</v>
      </c>
      <c r="B73" s="230" t="s">
        <v>401</v>
      </c>
      <c r="C73" s="272" t="s">
        <v>336</v>
      </c>
      <c r="D73" s="272">
        <v>1.0</v>
      </c>
      <c r="E73" s="273">
        <v>15.92</v>
      </c>
      <c r="F73" s="274">
        <f t="shared" si="9"/>
        <v>15.92</v>
      </c>
      <c r="G73" s="307"/>
      <c r="H73" s="308"/>
      <c r="I73" s="243"/>
      <c r="J73" s="309"/>
    </row>
    <row r="74" ht="40.5" customHeight="1">
      <c r="A74" s="220">
        <v>13.0</v>
      </c>
      <c r="B74" s="230" t="s">
        <v>402</v>
      </c>
      <c r="C74" s="272" t="s">
        <v>339</v>
      </c>
      <c r="D74" s="272">
        <v>3.0</v>
      </c>
      <c r="E74" s="273">
        <v>32.32</v>
      </c>
      <c r="F74" s="274">
        <f t="shared" si="9"/>
        <v>96.96</v>
      </c>
      <c r="G74" s="307"/>
      <c r="H74" s="308"/>
      <c r="I74" s="243"/>
      <c r="J74" s="309"/>
    </row>
    <row r="75" ht="40.5" customHeight="1">
      <c r="A75" s="220">
        <v>14.0</v>
      </c>
      <c r="B75" s="310" t="s">
        <v>403</v>
      </c>
      <c r="C75" s="272" t="s">
        <v>336</v>
      </c>
      <c r="D75" s="272">
        <v>1.0</v>
      </c>
      <c r="E75" s="273">
        <v>12.9</v>
      </c>
      <c r="F75" s="274">
        <f t="shared" si="9"/>
        <v>12.9</v>
      </c>
      <c r="G75" s="307"/>
      <c r="H75" s="308"/>
      <c r="I75" s="243"/>
      <c r="J75" s="309"/>
    </row>
    <row r="76" ht="12.75" customHeight="1">
      <c r="A76" s="302" t="s">
        <v>404</v>
      </c>
      <c r="B76" s="2"/>
      <c r="C76" s="2"/>
      <c r="D76" s="2"/>
      <c r="E76" s="3"/>
      <c r="F76" s="311">
        <f>SUM(F62:F75)</f>
        <v>1492.97</v>
      </c>
      <c r="G76" s="307"/>
      <c r="H76" s="312"/>
      <c r="I76" s="256"/>
      <c r="J76" s="265"/>
    </row>
    <row r="77" ht="12.75" customHeight="1">
      <c r="A77" s="313" t="s">
        <v>405</v>
      </c>
      <c r="B77" s="2"/>
      <c r="C77" s="2"/>
      <c r="D77" s="2"/>
      <c r="E77" s="3"/>
      <c r="F77" s="311">
        <f>F76/12</f>
        <v>124.4141667</v>
      </c>
      <c r="G77" s="314"/>
      <c r="H77" s="314"/>
      <c r="I77" s="281"/>
      <c r="J77" s="264"/>
    </row>
    <row r="78" ht="12.75" customHeight="1">
      <c r="A78" s="315"/>
      <c r="B78" s="316"/>
      <c r="C78" s="316"/>
      <c r="D78" s="316"/>
      <c r="E78" s="316"/>
      <c r="F78" s="317"/>
      <c r="G78" s="314"/>
      <c r="H78" s="314"/>
      <c r="I78" s="281"/>
      <c r="J78" s="264"/>
    </row>
    <row r="79" ht="12.75" customHeight="1">
      <c r="A79" s="318"/>
      <c r="B79" s="319"/>
      <c r="C79" s="319"/>
      <c r="D79" s="319"/>
      <c r="E79" s="319"/>
      <c r="F79" s="319"/>
      <c r="G79" s="319"/>
      <c r="H79" s="319"/>
      <c r="I79" s="281"/>
      <c r="J79" s="264"/>
    </row>
    <row r="80" ht="12.75" customHeight="1">
      <c r="A80" s="241"/>
      <c r="B80" s="78"/>
      <c r="C80" s="300"/>
      <c r="D80" s="300"/>
      <c r="E80" s="300"/>
      <c r="F80" s="300"/>
      <c r="G80" s="300"/>
      <c r="H80" s="300"/>
      <c r="I80" s="217"/>
      <c r="J80" s="264"/>
    </row>
    <row r="81" ht="39.0" customHeight="1">
      <c r="A81" s="241"/>
      <c r="B81" s="320" t="s">
        <v>406</v>
      </c>
      <c r="C81" s="321" t="s">
        <v>407</v>
      </c>
      <c r="D81" s="3"/>
      <c r="E81" s="321" t="s">
        <v>408</v>
      </c>
      <c r="F81" s="3"/>
      <c r="G81" s="322" t="s">
        <v>409</v>
      </c>
      <c r="H81" s="2"/>
      <c r="I81" s="3"/>
      <c r="J81" s="264"/>
    </row>
    <row r="82" ht="12.75" customHeight="1">
      <c r="A82" s="241"/>
      <c r="B82" s="323" t="s">
        <v>410</v>
      </c>
      <c r="C82" s="324">
        <f>G33</f>
        <v>20351.52</v>
      </c>
      <c r="D82" s="3"/>
      <c r="E82" s="324">
        <f t="shared" ref="E82:E85" si="10">C82/12</f>
        <v>1695.96</v>
      </c>
      <c r="F82" s="3"/>
      <c r="G82" s="325">
        <f>E82/'CÁLCULO DO Nº DE SERVENTES'!L23</f>
        <v>790.7219965</v>
      </c>
      <c r="H82" s="2"/>
      <c r="I82" s="3"/>
      <c r="J82" s="264"/>
    </row>
    <row r="83" ht="12.75" customHeight="1">
      <c r="A83" s="241"/>
      <c r="B83" s="323" t="s">
        <v>411</v>
      </c>
      <c r="C83" s="324">
        <f>H48</f>
        <v>1097.54</v>
      </c>
      <c r="D83" s="3"/>
      <c r="E83" s="324">
        <f t="shared" si="10"/>
        <v>91.46166667</v>
      </c>
      <c r="F83" s="3"/>
      <c r="G83" s="325">
        <f>E83/'CÁLCULO DO Nº DE SERVENTES'!L23</f>
        <v>42.64295837</v>
      </c>
      <c r="H83" s="2"/>
      <c r="I83" s="3"/>
      <c r="J83" s="264"/>
    </row>
    <row r="84" ht="12.75" customHeight="1">
      <c r="A84" s="241"/>
      <c r="B84" s="323" t="s">
        <v>412</v>
      </c>
      <c r="C84" s="324">
        <f>H58</f>
        <v>1317</v>
      </c>
      <c r="D84" s="3"/>
      <c r="E84" s="324">
        <f t="shared" si="10"/>
        <v>109.75</v>
      </c>
      <c r="F84" s="3"/>
      <c r="G84" s="325">
        <f>E84/'CÁLCULO DO Nº DE SERVENTES'!L23</f>
        <v>51.16968508</v>
      </c>
      <c r="H84" s="2"/>
      <c r="I84" s="3"/>
      <c r="J84" s="264"/>
    </row>
    <row r="85" ht="12.75" customHeight="1">
      <c r="A85" s="241"/>
      <c r="B85" s="323" t="s">
        <v>413</v>
      </c>
      <c r="C85" s="324">
        <f>F76</f>
        <v>1492.97</v>
      </c>
      <c r="D85" s="3"/>
      <c r="E85" s="324">
        <f t="shared" si="10"/>
        <v>124.4141667</v>
      </c>
      <c r="F85" s="3"/>
      <c r="G85" s="325">
        <f>E85/'CÁLCULO DO Nº DE SERVENTES'!L23</f>
        <v>58.00668545</v>
      </c>
      <c r="H85" s="2"/>
      <c r="I85" s="3"/>
      <c r="J85" s="264"/>
    </row>
    <row r="86" ht="12.75" customHeight="1">
      <c r="A86" s="241"/>
      <c r="B86" s="326"/>
      <c r="C86" s="327"/>
      <c r="D86" s="327"/>
      <c r="E86" s="327"/>
      <c r="F86" s="327"/>
      <c r="G86" s="328"/>
      <c r="H86" s="243"/>
      <c r="I86" s="243"/>
      <c r="J86" s="264"/>
    </row>
    <row r="87" ht="33.0" customHeight="1">
      <c r="A87" s="241"/>
      <c r="B87" s="329" t="s">
        <v>414</v>
      </c>
      <c r="C87" s="249"/>
      <c r="D87" s="249"/>
      <c r="E87" s="249"/>
      <c r="F87" s="249"/>
      <c r="G87" s="249"/>
      <c r="H87" s="245"/>
      <c r="I87" s="330">
        <f>'CÁLCULO DO Nº DE SERVENTES'!L23</f>
        <v>2.144824613</v>
      </c>
      <c r="J87" s="264"/>
    </row>
    <row r="88" ht="12.75" customHeight="1">
      <c r="A88" s="241"/>
      <c r="B88" s="78"/>
      <c r="C88" s="300"/>
      <c r="D88" s="300"/>
      <c r="E88" s="300"/>
      <c r="F88" s="300"/>
      <c r="G88" s="300"/>
      <c r="H88" s="300"/>
      <c r="I88" s="217"/>
      <c r="J88" s="264"/>
    </row>
    <row r="89" ht="12.75" customHeight="1">
      <c r="A89" s="331"/>
      <c r="B89" s="332"/>
      <c r="C89" s="333"/>
      <c r="D89" s="333"/>
      <c r="E89" s="333"/>
      <c r="F89" s="333"/>
      <c r="G89" s="333"/>
      <c r="H89" s="333"/>
      <c r="I89" s="281"/>
      <c r="J89" s="264"/>
    </row>
    <row r="90" ht="33.75" customHeight="1">
      <c r="A90" s="334" t="s">
        <v>415</v>
      </c>
      <c r="B90" s="334" t="s">
        <v>416</v>
      </c>
      <c r="C90" s="334" t="s">
        <v>417</v>
      </c>
      <c r="D90" s="334" t="s">
        <v>418</v>
      </c>
      <c r="E90" s="334" t="s">
        <v>419</v>
      </c>
      <c r="F90" s="335" t="s">
        <v>420</v>
      </c>
      <c r="G90" s="336" t="s">
        <v>421</v>
      </c>
      <c r="H90" s="336" t="s">
        <v>422</v>
      </c>
      <c r="I90" s="337" t="s">
        <v>423</v>
      </c>
      <c r="J90" s="338" t="s">
        <v>424</v>
      </c>
    </row>
    <row r="91" ht="12.75" customHeight="1">
      <c r="A91" s="231"/>
      <c r="B91" s="231"/>
      <c r="C91" s="231"/>
      <c r="D91" s="231"/>
      <c r="E91" s="231"/>
      <c r="F91" s="339"/>
      <c r="G91" s="340" t="s">
        <v>425</v>
      </c>
      <c r="H91" s="340" t="s">
        <v>426</v>
      </c>
      <c r="I91" s="341" t="s">
        <v>427</v>
      </c>
      <c r="J91" s="342"/>
    </row>
    <row r="92" ht="66.0" customHeight="1">
      <c r="A92" s="278">
        <v>1.0</v>
      </c>
      <c r="B92" s="230" t="s">
        <v>428</v>
      </c>
      <c r="C92" s="343" t="s">
        <v>429</v>
      </c>
      <c r="D92" s="344">
        <v>1.0</v>
      </c>
      <c r="E92" s="345">
        <v>569.66</v>
      </c>
      <c r="F92" s="343">
        <v>5.0</v>
      </c>
      <c r="G92" s="346">
        <f>E92*(90)%</f>
        <v>512.694</v>
      </c>
      <c r="H92" s="346">
        <f>G92/F92</f>
        <v>102.5388</v>
      </c>
      <c r="I92" s="347">
        <f>H92/12*D92</f>
        <v>8.5449</v>
      </c>
      <c r="J92" s="348">
        <f>I92/I87</f>
        <v>3.983962115</v>
      </c>
    </row>
    <row r="93" ht="12.75" customHeight="1">
      <c r="A93" s="281"/>
      <c r="B93" s="281"/>
      <c r="C93" s="281"/>
      <c r="D93" s="281"/>
      <c r="E93" s="281"/>
      <c r="F93" s="281"/>
      <c r="G93" s="281"/>
      <c r="H93" s="281"/>
      <c r="I93" s="281"/>
    </row>
    <row r="94" ht="12.75" customHeight="1">
      <c r="A94" s="217"/>
      <c r="B94" s="217"/>
      <c r="C94" s="217"/>
      <c r="D94" s="217"/>
      <c r="E94" s="217"/>
      <c r="F94" s="217"/>
      <c r="G94" s="217"/>
      <c r="H94" s="217"/>
      <c r="I94" s="217"/>
    </row>
  </sheetData>
  <mergeCells count="37">
    <mergeCell ref="D1:E1"/>
    <mergeCell ref="A2:H2"/>
    <mergeCell ref="A3:H3"/>
    <mergeCell ref="A4:H4"/>
    <mergeCell ref="A5:H5"/>
    <mergeCell ref="A6:H6"/>
    <mergeCell ref="A7:H7"/>
    <mergeCell ref="A33:F33"/>
    <mergeCell ref="A34:F34"/>
    <mergeCell ref="A48:G48"/>
    <mergeCell ref="A49:G49"/>
    <mergeCell ref="A58:G58"/>
    <mergeCell ref="A59:G59"/>
    <mergeCell ref="A76:E76"/>
    <mergeCell ref="A77:E77"/>
    <mergeCell ref="C81:D81"/>
    <mergeCell ref="E81:F81"/>
    <mergeCell ref="G81:I81"/>
    <mergeCell ref="C82:D82"/>
    <mergeCell ref="E82:F82"/>
    <mergeCell ref="G82:I82"/>
    <mergeCell ref="E85:F85"/>
    <mergeCell ref="G85:I85"/>
    <mergeCell ref="C85:D85"/>
    <mergeCell ref="A90:A91"/>
    <mergeCell ref="B90:B91"/>
    <mergeCell ref="C90:C91"/>
    <mergeCell ref="D90:D91"/>
    <mergeCell ref="E90:E91"/>
    <mergeCell ref="F90:F91"/>
    <mergeCell ref="C83:D83"/>
    <mergeCell ref="E83:F83"/>
    <mergeCell ref="G83:I83"/>
    <mergeCell ref="C84:D84"/>
    <mergeCell ref="E84:F84"/>
    <mergeCell ref="G84:I84"/>
    <mergeCell ref="B87:H87"/>
  </mergeCells>
  <printOptions/>
  <pageMargins bottom="0.75" footer="0.0" header="0.0" left="0.7" right="0.7" top="0.75"/>
  <pageSetup fitToHeight="0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2024-03-21T21:21:12Z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str>1D8B2DC80E244B71BE5E5DF3F9FBF2FF_13</vt:lpstr>
  </property>
  <property fmtid="{D5CDD505-2E9C-101B-9397-08002B2CF9AE}" pid="3" name="KSOProductBuildVer">
    <vt:lpstr>1046-12.2.0.16731</vt:lpstr>
  </property>
</Properties>
</file>