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Licitações\Pregão Limpeza 2025\Edital e Anexos\Pós Parecer\Editáveis\"/>
    </mc:Choice>
  </mc:AlternateContent>
  <bookViews>
    <workbookView xWindow="0" yWindow="0" windowWidth="23040" windowHeight="8496"/>
  </bookViews>
  <sheets>
    <sheet name="SERVENTE LIMPEZA" sheetId="1" r:id="rId1"/>
    <sheet name="CÁLCULO DO Nº DE SERVENTES" sheetId="2" r:id="rId2"/>
    <sheet name="INSUMOS IFRS" sheetId="3" r:id="rId3"/>
  </sheets>
  <definedNames>
    <definedName name="Print_Area" localSheetId="0">'SERVENTE LIMPEZA'!$A$1:$I$279</definedName>
  </definedNames>
  <calcPr calcId="162913"/>
  <extLst>
    <ext uri="GoogleSheetsCustomDataVersion2">
      <go:sheetsCustomData xmlns:go="http://customooxmlschemas.google.com/" r:id="rId7" roundtripDataChecksum="lssV+sYoIm4nOGmPUxGg261ZlhRgkXURX/bowwEeDEo="/>
    </ext>
  </extLst>
</workbook>
</file>

<file path=xl/calcChain.xml><?xml version="1.0" encoding="utf-8"?>
<calcChain xmlns="http://schemas.openxmlformats.org/spreadsheetml/2006/main">
  <c r="F62" i="3" l="1"/>
  <c r="F61" i="3"/>
  <c r="F60" i="3"/>
  <c r="F59" i="3"/>
  <c r="F58" i="3"/>
  <c r="F57" i="3"/>
  <c r="F56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K21" i="2"/>
  <c r="D20" i="2"/>
  <c r="K19" i="2"/>
  <c r="E19" i="2"/>
  <c r="K18" i="2"/>
  <c r="F18" i="2"/>
  <c r="I18" i="2" s="1"/>
  <c r="E18" i="2"/>
  <c r="K17" i="2"/>
  <c r="F17" i="2"/>
  <c r="I17" i="2" s="1"/>
  <c r="E17" i="2"/>
  <c r="K16" i="2"/>
  <c r="F16" i="2"/>
  <c r="I16" i="2" s="1"/>
  <c r="E16" i="2"/>
  <c r="K15" i="2"/>
  <c r="E15" i="2"/>
  <c r="F15" i="2" s="1"/>
  <c r="K14" i="2"/>
  <c r="E14" i="2"/>
  <c r="K13" i="2"/>
  <c r="E13" i="2"/>
  <c r="K12" i="2"/>
  <c r="E12" i="2"/>
  <c r="K11" i="2"/>
  <c r="E11" i="2"/>
  <c r="F11" i="2" s="1"/>
  <c r="K10" i="2"/>
  <c r="F10" i="2"/>
  <c r="I10" i="2" s="1"/>
  <c r="E10" i="2"/>
  <c r="K9" i="2"/>
  <c r="E9" i="2"/>
  <c r="F9" i="2" s="1"/>
  <c r="K8" i="2"/>
  <c r="F8" i="2"/>
  <c r="I8" i="2" s="1"/>
  <c r="E8" i="2"/>
  <c r="G8" i="2" s="1"/>
  <c r="H8" i="2" s="1"/>
  <c r="O8" i="2" s="1"/>
  <c r="K7" i="2"/>
  <c r="E7" i="2"/>
  <c r="K6" i="2"/>
  <c r="F6" i="2"/>
  <c r="I6" i="2" s="1"/>
  <c r="E6" i="2"/>
  <c r="G6" i="2" s="1"/>
  <c r="H6" i="2" s="1"/>
  <c r="O6" i="2" s="1"/>
  <c r="K5" i="2"/>
  <c r="E5" i="2"/>
  <c r="K4" i="2"/>
  <c r="F4" i="2"/>
  <c r="I4" i="2" s="1"/>
  <c r="E4" i="2"/>
  <c r="G4" i="2" s="1"/>
  <c r="H4" i="2" s="1"/>
  <c r="O4" i="2" s="1"/>
  <c r="K3" i="2"/>
  <c r="E3" i="2"/>
  <c r="F3" i="2" s="1"/>
  <c r="I3" i="2" s="1"/>
  <c r="K2" i="2"/>
  <c r="E2" i="2"/>
  <c r="F2" i="2" s="1"/>
  <c r="G269" i="1"/>
  <c r="F261" i="1"/>
  <c r="F259" i="1"/>
  <c r="F255" i="1"/>
  <c r="F245" i="1"/>
  <c r="F242" i="1"/>
  <c r="F233" i="1"/>
  <c r="F231" i="1"/>
  <c r="F229" i="1"/>
  <c r="F227" i="1"/>
  <c r="F225" i="1"/>
  <c r="H162" i="1"/>
  <c r="H160" i="1"/>
  <c r="I85" i="1"/>
  <c r="I80" i="1"/>
  <c r="I90" i="1" s="1"/>
  <c r="I98" i="1" s="1"/>
  <c r="H68" i="1"/>
  <c r="H74" i="1" s="1"/>
  <c r="I52" i="1"/>
  <c r="I53" i="1" s="1"/>
  <c r="H35" i="1"/>
  <c r="F262" i="1" s="1"/>
  <c r="H32" i="1"/>
  <c r="H31" i="1"/>
  <c r="F260" i="1" s="1"/>
  <c r="H30" i="1"/>
  <c r="H27" i="1"/>
  <c r="F256" i="1" s="1"/>
  <c r="H26" i="1"/>
  <c r="H25" i="1"/>
  <c r="F254" i="1" s="1"/>
  <c r="H24" i="1"/>
  <c r="F253" i="1" s="1"/>
  <c r="H23" i="1"/>
  <c r="F252" i="1" s="1"/>
  <c r="H22" i="1"/>
  <c r="H28" i="1" s="1"/>
  <c r="F257" i="1" s="1"/>
  <c r="H20" i="1"/>
  <c r="H19" i="1"/>
  <c r="F248" i="1" s="1"/>
  <c r="H18" i="1"/>
  <c r="F247" i="1" s="1"/>
  <c r="H17" i="1"/>
  <c r="F246" i="1" s="1"/>
  <c r="H16" i="1"/>
  <c r="H15" i="1"/>
  <c r="F244" i="1" s="1"/>
  <c r="H14" i="1"/>
  <c r="F243" i="1" s="1"/>
  <c r="H13" i="1"/>
  <c r="G61" i="3"/>
  <c r="G57" i="3"/>
  <c r="E69" i="3"/>
  <c r="F30" i="3"/>
  <c r="F26" i="3"/>
  <c r="F22" i="3"/>
  <c r="F18" i="3"/>
  <c r="F14" i="3"/>
  <c r="F10" i="3"/>
  <c r="G49" i="3"/>
  <c r="G45" i="3"/>
  <c r="G41" i="3"/>
  <c r="E68" i="3"/>
  <c r="G60" i="3"/>
  <c r="G56" i="3"/>
  <c r="E91" i="3"/>
  <c r="F33" i="3"/>
  <c r="F29" i="3"/>
  <c r="F25" i="3"/>
  <c r="F21" i="3"/>
  <c r="F17" i="3"/>
  <c r="F13" i="3"/>
  <c r="F9" i="3"/>
  <c r="E67" i="3"/>
  <c r="G48" i="3"/>
  <c r="G44" i="3"/>
  <c r="G40" i="3"/>
  <c r="G59" i="3"/>
  <c r="F32" i="3"/>
  <c r="F28" i="3"/>
  <c r="F24" i="3"/>
  <c r="F20" i="3"/>
  <c r="F16" i="3"/>
  <c r="F12" i="3"/>
  <c r="G51" i="3"/>
  <c r="G47" i="3"/>
  <c r="G43" i="3"/>
  <c r="G39" i="3"/>
  <c r="E71" i="3"/>
  <c r="G62" i="3"/>
  <c r="G58" i="3"/>
  <c r="F31" i="3"/>
  <c r="F27" i="3"/>
  <c r="F23" i="3"/>
  <c r="F19" i="3"/>
  <c r="F15" i="3"/>
  <c r="F11" i="3"/>
  <c r="E70" i="3"/>
  <c r="G50" i="3"/>
  <c r="G46" i="3"/>
  <c r="G42" i="3"/>
  <c r="G38" i="3"/>
  <c r="H38" i="3" l="1"/>
  <c r="H42" i="3"/>
  <c r="H46" i="3"/>
  <c r="H50" i="3"/>
  <c r="F70" i="3"/>
  <c r="F71" i="3"/>
  <c r="G12" i="3"/>
  <c r="G16" i="3"/>
  <c r="G20" i="3"/>
  <c r="G24" i="3"/>
  <c r="G28" i="3"/>
  <c r="G32" i="3"/>
  <c r="H59" i="3"/>
  <c r="H40" i="3"/>
  <c r="H44" i="3"/>
  <c r="H48" i="3"/>
  <c r="F67" i="3"/>
  <c r="G9" i="3"/>
  <c r="G13" i="3"/>
  <c r="G17" i="3"/>
  <c r="G21" i="3"/>
  <c r="G25" i="3"/>
  <c r="G29" i="3"/>
  <c r="G33" i="3"/>
  <c r="G91" i="3"/>
  <c r="H91" i="3" s="1"/>
  <c r="I91" i="3" s="1"/>
  <c r="F68" i="3"/>
  <c r="G10" i="3"/>
  <c r="G14" i="3"/>
  <c r="G18" i="3"/>
  <c r="G22" i="3"/>
  <c r="G26" i="3"/>
  <c r="G30" i="3"/>
  <c r="F69" i="3"/>
  <c r="H57" i="3"/>
  <c r="H61" i="3"/>
  <c r="I106" i="1"/>
  <c r="H47" i="3"/>
  <c r="I11" i="2"/>
  <c r="G11" i="2"/>
  <c r="H11" i="2" s="1"/>
  <c r="O11" i="2" s="1"/>
  <c r="G23" i="3"/>
  <c r="G7" i="2"/>
  <c r="H7" i="2" s="1"/>
  <c r="O7" i="2" s="1"/>
  <c r="H56" i="3"/>
  <c r="H58" i="3"/>
  <c r="H51" i="3"/>
  <c r="G15" i="3"/>
  <c r="G27" i="3"/>
  <c r="H43" i="3"/>
  <c r="G19" i="3"/>
  <c r="H36" i="1"/>
  <c r="H49" i="3"/>
  <c r="G11" i="3"/>
  <c r="G14" i="2"/>
  <c r="H14" i="2" s="1"/>
  <c r="O14" i="2" s="1"/>
  <c r="H60" i="3"/>
  <c r="G31" i="3"/>
  <c r="H39" i="3"/>
  <c r="G12" i="2"/>
  <c r="H12" i="2" s="1"/>
  <c r="O12" i="2" s="1"/>
  <c r="H41" i="3"/>
  <c r="I9" i="2"/>
  <c r="G9" i="2"/>
  <c r="H9" i="2" s="1"/>
  <c r="O9" i="2" s="1"/>
  <c r="H45" i="3"/>
  <c r="I105" i="1"/>
  <c r="I171" i="1"/>
  <c r="B116" i="1"/>
  <c r="I107" i="1"/>
  <c r="I61" i="1"/>
  <c r="I60" i="1"/>
  <c r="I62" i="1" s="1"/>
  <c r="I96" i="1" s="1"/>
  <c r="I103" i="1"/>
  <c r="I2" i="2"/>
  <c r="G2" i="2"/>
  <c r="H2" i="2" s="1"/>
  <c r="O2" i="2" s="1"/>
  <c r="G15" i="2"/>
  <c r="H15" i="2" s="1"/>
  <c r="O15" i="2" s="1"/>
  <c r="I15" i="2"/>
  <c r="H62" i="3"/>
  <c r="F251" i="1"/>
  <c r="G3" i="2"/>
  <c r="H3" i="2" s="1"/>
  <c r="O3" i="2" s="1"/>
  <c r="F5" i="2"/>
  <c r="I5" i="2" s="1"/>
  <c r="G10" i="2"/>
  <c r="H10" i="2" s="1"/>
  <c r="O10" i="2" s="1"/>
  <c r="F12" i="2"/>
  <c r="I12" i="2" s="1"/>
  <c r="G17" i="2"/>
  <c r="H17" i="2" s="1"/>
  <c r="O17" i="2" s="1"/>
  <c r="F7" i="2"/>
  <c r="I7" i="2" s="1"/>
  <c r="F19" i="2"/>
  <c r="I19" i="2" s="1"/>
  <c r="F14" i="2"/>
  <c r="I14" i="2" s="1"/>
  <c r="G16" i="2"/>
  <c r="H16" i="2" s="1"/>
  <c r="O16" i="2" s="1"/>
  <c r="H33" i="1"/>
  <c r="F263" i="1" s="1"/>
  <c r="F249" i="1"/>
  <c r="F265" i="1" s="1"/>
  <c r="F13" i="2"/>
  <c r="I13" i="2" s="1"/>
  <c r="G18" i="2"/>
  <c r="H18" i="2" s="1"/>
  <c r="O18" i="2" s="1"/>
  <c r="E21" i="2"/>
  <c r="I104" i="1" l="1"/>
  <c r="I108" i="1" s="1"/>
  <c r="G13" i="2"/>
  <c r="H13" i="2" s="1"/>
  <c r="O13" i="2" s="1"/>
  <c r="I70" i="1"/>
  <c r="I73" i="1"/>
  <c r="H63" i="3"/>
  <c r="I72" i="1"/>
  <c r="G34" i="3"/>
  <c r="G19" i="2"/>
  <c r="H19" i="2" s="1"/>
  <c r="O19" i="2" s="1"/>
  <c r="F72" i="3"/>
  <c r="I66" i="1"/>
  <c r="F21" i="2"/>
  <c r="I67" i="1"/>
  <c r="I71" i="1"/>
  <c r="I68" i="1"/>
  <c r="I69" i="1"/>
  <c r="G5" i="2"/>
  <c r="H5" i="2" s="1"/>
  <c r="O5" i="2" s="1"/>
  <c r="H52" i="3"/>
  <c r="H116" i="1" l="1"/>
  <c r="I173" i="1"/>
  <c r="I124" i="1"/>
  <c r="I21" i="2"/>
  <c r="C79" i="3"/>
  <c r="E79" i="3" s="1"/>
  <c r="H53" i="3"/>
  <c r="G21" i="2"/>
  <c r="H21" i="2" s="1"/>
  <c r="O21" i="2" s="1"/>
  <c r="I74" i="1"/>
  <c r="I97" i="1" s="1"/>
  <c r="I99" i="1" s="1"/>
  <c r="F73" i="3"/>
  <c r="C81" i="3"/>
  <c r="E81" i="3" s="1"/>
  <c r="G35" i="3"/>
  <c r="C78" i="3"/>
  <c r="E78" i="3" s="1"/>
  <c r="H64" i="3"/>
  <c r="C80" i="3"/>
  <c r="E80" i="3" s="1"/>
  <c r="L23" i="2" l="1"/>
  <c r="I83" i="3" s="1"/>
  <c r="J91" i="3" s="1"/>
  <c r="I139" i="1" s="1"/>
  <c r="G80" i="3"/>
  <c r="I137" i="1" s="1"/>
  <c r="P23" i="2"/>
  <c r="H276" i="1" s="1"/>
  <c r="G78" i="3"/>
  <c r="I135" i="1" s="1"/>
  <c r="E116" i="1"/>
  <c r="I116" i="1" s="1"/>
  <c r="I172" i="1"/>
  <c r="I121" i="1" l="1"/>
  <c r="I123" i="1"/>
  <c r="I120" i="1"/>
  <c r="I125" i="1"/>
  <c r="I122" i="1"/>
  <c r="G79" i="3"/>
  <c r="I136" i="1" s="1"/>
  <c r="I140" i="1" s="1"/>
  <c r="I175" i="1" s="1"/>
  <c r="G81" i="3"/>
  <c r="I138" i="1" s="1"/>
  <c r="I126" i="1" l="1"/>
  <c r="I130" i="1" s="1"/>
  <c r="I131" i="1" s="1"/>
  <c r="I174" i="1" l="1"/>
  <c r="I176" i="1" s="1"/>
  <c r="I146" i="1"/>
  <c r="I147" i="1" l="1"/>
  <c r="I148" i="1" l="1"/>
  <c r="I149" i="1" s="1"/>
  <c r="I150" i="1" s="1"/>
  <c r="I159" i="1" l="1"/>
  <c r="I154" i="1"/>
  <c r="I153" i="1"/>
  <c r="I162" i="1" s="1"/>
  <c r="I160" i="1" l="1"/>
  <c r="I177" i="1" s="1"/>
  <c r="I178" i="1" s="1"/>
  <c r="G233" i="1" l="1"/>
  <c r="H233" i="1" s="1"/>
  <c r="E206" i="1"/>
  <c r="G206" i="1" s="1"/>
  <c r="D251" i="1" s="1"/>
  <c r="G251" i="1" s="1"/>
  <c r="E208" i="1"/>
  <c r="G208" i="1" s="1"/>
  <c r="D252" i="1" s="1"/>
  <c r="G252" i="1" s="1"/>
  <c r="E190" i="1"/>
  <c r="G190" i="1" s="1"/>
  <c r="D244" i="1" s="1"/>
  <c r="G244" i="1" s="1"/>
  <c r="E188" i="1"/>
  <c r="G188" i="1" s="1"/>
  <c r="D243" i="1" s="1"/>
  <c r="G243" i="1" s="1"/>
  <c r="G231" i="1"/>
  <c r="H231" i="1" s="1"/>
  <c r="D262" i="1" s="1"/>
  <c r="G262" i="1" s="1"/>
  <c r="E216" i="1"/>
  <c r="G216" i="1" s="1"/>
  <c r="D256" i="1" s="1"/>
  <c r="G256" i="1" s="1"/>
  <c r="E198" i="1"/>
  <c r="G198" i="1" s="1"/>
  <c r="D248" i="1" s="1"/>
  <c r="G248" i="1" s="1"/>
  <c r="E186" i="1"/>
  <c r="G186" i="1" s="1"/>
  <c r="D242" i="1" s="1"/>
  <c r="G242" i="1" s="1"/>
  <c r="E214" i="1"/>
  <c r="G214" i="1" s="1"/>
  <c r="D255" i="1" s="1"/>
  <c r="G255" i="1" s="1"/>
  <c r="E196" i="1"/>
  <c r="G196" i="1" s="1"/>
  <c r="D247" i="1" s="1"/>
  <c r="G247" i="1" s="1"/>
  <c r="E212" i="1"/>
  <c r="G212" i="1" s="1"/>
  <c r="D254" i="1" s="1"/>
  <c r="G254" i="1" s="1"/>
  <c r="E194" i="1"/>
  <c r="G194" i="1" s="1"/>
  <c r="D246" i="1" s="1"/>
  <c r="G246" i="1" s="1"/>
  <c r="G229" i="1"/>
  <c r="H229" i="1" s="1"/>
  <c r="D261" i="1" s="1"/>
  <c r="G261" i="1" s="1"/>
  <c r="G227" i="1"/>
  <c r="H227" i="1" s="1"/>
  <c r="D260" i="1" s="1"/>
  <c r="G260" i="1" s="1"/>
  <c r="E210" i="1"/>
  <c r="G210" i="1" s="1"/>
  <c r="D253" i="1" s="1"/>
  <c r="G253" i="1" s="1"/>
  <c r="E192" i="1"/>
  <c r="G192" i="1" s="1"/>
  <c r="D245" i="1" s="1"/>
  <c r="G245" i="1" s="1"/>
  <c r="G225" i="1"/>
  <c r="H225" i="1" s="1"/>
  <c r="D259" i="1" s="1"/>
  <c r="G259" i="1" s="1"/>
  <c r="G249" i="1" l="1"/>
  <c r="G263" i="1"/>
  <c r="G257" i="1"/>
  <c r="G265" i="1" l="1"/>
  <c r="G267" i="1" l="1"/>
  <c r="G271" i="1"/>
</calcChain>
</file>

<file path=xl/comments1.xml><?xml version="1.0" encoding="utf-8"?>
<comments xmlns="http://schemas.openxmlformats.org/spreadsheetml/2006/main">
  <authors>
    <author/>
  </authors>
  <commentList>
    <comment ref="D37" authorId="0" shapeId="0">
      <text>
        <r>
          <rPr>
            <sz val="10"/>
            <color rgb="FF000000"/>
            <rFont val="Arial"/>
            <scheme val="minor"/>
          </rPr>
          <t>======
ID#AAABreRBwCs
Andre Marek    (2025-09-24 19:52:23)
@barbara.kuntzer@ibiruba.ifrs.edu.br @cristiane.brauner@ibiruba.ifrs.edu.br Precisamos definir a Vida Útil dos materiais.</t>
        </r>
      </text>
    </comment>
    <comment ref="D55" authorId="0" shapeId="0">
      <text>
        <r>
          <rPr>
            <sz val="10"/>
            <color rgb="FF000000"/>
            <rFont val="Arial"/>
            <scheme val="minor"/>
          </rPr>
          <t>======
ID#AAABreRBwCw
Andre Marek    (2025-09-24 19:53:05)
@barbara.kuntzer@ibiruba.ifrs.edu.br @cristiane.brauner@ibiruba.ifrs.edu.br Precisamos definir a Depreciação dos Equipamentos.
------
ID#AAABreRBwC4
Barbara Kuntzer Schlintwein    (2025-09-24 20:13:54)
@andre.marek@ibiruba.ifrs.edu.br essa planilha não é a nossa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o9En2ZyGX3xGarriRdwpktcRSjA=="/>
    </ext>
  </extLst>
</comments>
</file>

<file path=xl/sharedStrings.xml><?xml version="1.0" encoding="utf-8"?>
<sst xmlns="http://schemas.openxmlformats.org/spreadsheetml/2006/main" count="671" uniqueCount="417">
  <si>
    <r>
      <rPr>
        <b/>
        <sz val="12"/>
        <color theme="1"/>
        <rFont val="Arial"/>
      </rPr>
      <t xml:space="preserve">ANEXO II  </t>
    </r>
    <r>
      <rPr>
        <b/>
        <sz val="12"/>
        <color rgb="FFFF0000"/>
        <rFont val="Arial"/>
      </rPr>
      <t xml:space="preserve">do Pregão IFRS nº 90028/2025 </t>
    </r>
    <r>
      <rPr>
        <b/>
        <sz val="12"/>
        <color theme="1"/>
        <rFont val="Arial"/>
      </rPr>
      <t>–</t>
    </r>
    <r>
      <rPr>
        <b/>
        <sz val="12"/>
        <color rgb="FFFF0000"/>
        <rFont val="Arial"/>
      </rPr>
      <t xml:space="preserve"> </t>
    </r>
    <r>
      <rPr>
        <b/>
        <sz val="12"/>
        <color theme="1"/>
        <rFont val="Arial"/>
      </rPr>
      <t xml:space="preserve">Opção pela conta vinculada e férias nos módulos 2.1 e 4.1 </t>
    </r>
    <r>
      <rPr>
        <b/>
        <sz val="12"/>
        <color rgb="FF0000FF"/>
        <rFont val="Arial"/>
      </rPr>
      <t xml:space="preserve">
</t>
    </r>
    <r>
      <rPr>
        <b/>
        <sz val="12"/>
        <color theme="1"/>
        <rFont val="Arial"/>
      </rPr>
      <t xml:space="preserve">PLANILHA DE CUSTOS E FORMAÇÃO DE PREÇOS </t>
    </r>
    <r>
      <rPr>
        <b/>
        <sz val="12"/>
        <color rgb="FF800080"/>
        <rFont val="Arial"/>
      </rPr>
      <t xml:space="preserve">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FF0000"/>
        <rFont val="Arial"/>
      </rPr>
      <t>IFRS - CAMPUS IBIRUBÁ</t>
    </r>
  </si>
  <si>
    <t xml:space="preserve">LIMPEZA - Regime de Tributação: Lucro Real </t>
  </si>
  <si>
    <t>Nº do processo:</t>
  </si>
  <si>
    <t>23366.000676/2025-16</t>
  </si>
  <si>
    <t>Licitação nº:</t>
  </si>
  <si>
    <t>Pregão IFRS -  nº 90028/2025</t>
  </si>
  <si>
    <t>Dia: xx/xx/2025 às xxh</t>
  </si>
  <si>
    <t xml:space="preserve">DISCRIMINAÇÃO DOS SERVIÇOS (DADOS REFERENTES À CONTRATAÇÃO) </t>
  </si>
  <si>
    <t>A</t>
  </si>
  <si>
    <t>Data de apresentação da proposta (dia/mês/ano)</t>
  </si>
  <si>
    <t>xx/xx/2025</t>
  </si>
  <si>
    <t>B</t>
  </si>
  <si>
    <t>Município/UF</t>
  </si>
  <si>
    <t>Ibirubá/RS</t>
  </si>
  <si>
    <t>C</t>
  </si>
  <si>
    <t>Ano do Acordo, Convenção ou Dissídio Coletivo</t>
  </si>
  <si>
    <t>01/01/2025 a 31/12/2025
SINDASSEIO/RS (RS000023/2025)</t>
  </si>
  <si>
    <t>D</t>
  </si>
  <si>
    <t xml:space="preserve">Número de meses de execução contratual </t>
  </si>
  <si>
    <t xml:space="preserve">IDENTIFICAÇÃO DO SERVIÇO </t>
  </si>
  <si>
    <t xml:space="preserve">Tipo de Serviço: 
                                Limpeza e Conservação Predial                                                                                                   </t>
  </si>
  <si>
    <t>Unidade
 de 
Medida</t>
  </si>
  <si>
    <t xml:space="preserve">Quantidade total a contratar (Em função da unidade de medida) </t>
  </si>
  <si>
    <t>a) Áreas internas - Pisos acarpetados</t>
  </si>
  <si>
    <t>m2</t>
  </si>
  <si>
    <t>b) Áreas internas - Pisos frios</t>
  </si>
  <si>
    <t>c) Áreas internas - Laboratórios</t>
  </si>
  <si>
    <t>d) Áreas internas - Almoxarifados/galpões</t>
  </si>
  <si>
    <t>e) Áreas internas - Oficinas</t>
  </si>
  <si>
    <t>f) Áreas internas - Áreas com espaços livres - saguão, hall e salão</t>
  </si>
  <si>
    <r>
      <rPr>
        <b/>
        <sz val="8"/>
        <color rgb="FF0047FF"/>
        <rFont val="Arial"/>
      </rPr>
      <t xml:space="preserve">g) Banheiros </t>
    </r>
    <r>
      <rPr>
        <sz val="8"/>
        <color rgb="FF0047FF"/>
        <rFont val="Arial"/>
      </rPr>
      <t>(40%)</t>
    </r>
  </si>
  <si>
    <t>TOTAL DA ÁREA INTERNA</t>
  </si>
  <si>
    <t>a) Áreas externas - Pisos pavimentados adjacentes/contíguos às edificações</t>
  </si>
  <si>
    <t>b) Varrição de passeios e arruamentos</t>
  </si>
  <si>
    <r>
      <rPr>
        <sz val="8"/>
        <color theme="1"/>
        <rFont val="Arial"/>
      </rPr>
      <t xml:space="preserve">c) Pátios e áreas verdes com </t>
    </r>
    <r>
      <rPr>
        <sz val="8"/>
        <color rgb="FFFF0000"/>
        <rFont val="Arial"/>
      </rPr>
      <t xml:space="preserve">alta </t>
    </r>
    <r>
      <rPr>
        <sz val="8"/>
        <color theme="1"/>
        <rFont val="Arial"/>
      </rPr>
      <t>frequência</t>
    </r>
  </si>
  <si>
    <r>
      <rPr>
        <sz val="8"/>
        <color theme="1"/>
        <rFont val="Arial"/>
      </rPr>
      <t xml:space="preserve">d) Pátios e áreas verdes com </t>
    </r>
    <r>
      <rPr>
        <sz val="8"/>
        <color rgb="FFFF0000"/>
        <rFont val="Arial"/>
      </rPr>
      <t>média</t>
    </r>
    <r>
      <rPr>
        <sz val="8"/>
        <color theme="1"/>
        <rFont val="Arial"/>
      </rPr>
      <t xml:space="preserve"> frequência</t>
    </r>
  </si>
  <si>
    <r>
      <rPr>
        <sz val="8"/>
        <color theme="1"/>
        <rFont val="Arial"/>
      </rPr>
      <t xml:space="preserve">e) Pátios e áreas verdes com </t>
    </r>
    <r>
      <rPr>
        <sz val="8"/>
        <color rgb="FFFF0000"/>
        <rFont val="Arial"/>
      </rPr>
      <t>baixa</t>
    </r>
    <r>
      <rPr>
        <sz val="8"/>
        <color theme="1"/>
        <rFont val="Arial"/>
      </rPr>
      <t xml:space="preserve"> frequência</t>
    </r>
  </si>
  <si>
    <t>f) Coleta de detritos em pátios e áreas verdes com frequência diária</t>
  </si>
  <si>
    <t>TOTAL DA ÁREA EXTERNA</t>
  </si>
  <si>
    <r>
      <rPr>
        <sz val="8"/>
        <color theme="1"/>
        <rFont val="Arial"/>
      </rPr>
      <t xml:space="preserve">a) Esquadrias externas - Face externa </t>
    </r>
    <r>
      <rPr>
        <sz val="8"/>
        <color rgb="FFFF0000"/>
        <rFont val="Arial"/>
      </rPr>
      <t>com</t>
    </r>
    <r>
      <rPr>
        <sz val="8"/>
        <color theme="1"/>
        <rFont val="Arial"/>
      </rPr>
      <t xml:space="preserve"> exposição a situação de risco</t>
    </r>
  </si>
  <si>
    <r>
      <rPr>
        <sz val="8"/>
        <color theme="1"/>
        <rFont val="Arial"/>
      </rPr>
      <t>b) Esquadrias externas - Face externa</t>
    </r>
    <r>
      <rPr>
        <sz val="8"/>
        <color rgb="FFFF0000"/>
        <rFont val="Arial"/>
      </rPr>
      <t xml:space="preserve"> sem </t>
    </r>
    <r>
      <rPr>
        <sz val="8"/>
        <color theme="1"/>
        <rFont val="Arial"/>
      </rPr>
      <t>exposição a situação de risco</t>
    </r>
  </si>
  <si>
    <t>c) Esquadrias externas - Face interna</t>
  </si>
  <si>
    <t>TOTAL DA ÁREA DA ESQUADRIA EXTERNA - FACE INTERNA/EXTERNA</t>
  </si>
  <si>
    <t>a) Fachadas Envidraçadas</t>
  </si>
  <si>
    <t xml:space="preserve">TOTAL GERAL </t>
  </si>
  <si>
    <t>1. MÓDULOS - Mão de obra</t>
  </si>
  <si>
    <t>Dados para composição dos custos referente à mão de obra</t>
  </si>
  <si>
    <t>Tipo de Serviço (mesmo serviço com características distintas)</t>
  </si>
  <si>
    <t xml:space="preserve"> Limpeza e conservação</t>
  </si>
  <si>
    <t>Classificação Brasileira de Ocupações (CBO)</t>
  </si>
  <si>
    <t>5143-20</t>
  </si>
  <si>
    <r>
      <rPr>
        <b/>
        <sz val="8"/>
        <color theme="1"/>
        <rFont val="Arial"/>
      </rPr>
      <t xml:space="preserve">Salário Normativo da Categoria Profissional - </t>
    </r>
    <r>
      <rPr>
        <b/>
        <sz val="8"/>
        <color rgb="FF0000FF"/>
        <rFont val="Arial"/>
      </rPr>
      <t>para a jornada de 40 h/sem</t>
    </r>
  </si>
  <si>
    <t>Categoria Profissional (vinculada à execução contratual)</t>
  </si>
  <si>
    <t xml:space="preserve">      Servente de limpeza</t>
  </si>
  <si>
    <t>Data-Base da Categoria (dia/mês/ano)</t>
  </si>
  <si>
    <t>1º de janeiro de 2025</t>
  </si>
  <si>
    <t>Nota 1: A planilha será calculada considerando o valor mensal do empregado.</t>
  </si>
  <si>
    <t>Módulo 1: Composição da Remuneração</t>
  </si>
  <si>
    <t xml:space="preserve">Composição da Remuneração </t>
  </si>
  <si>
    <t>Percentual
(R$)</t>
  </si>
  <si>
    <t xml:space="preserve">Valor
(R$) </t>
  </si>
  <si>
    <r>
      <rPr>
        <b/>
        <sz val="8"/>
        <color theme="1"/>
        <rFont val="Arial"/>
      </rPr>
      <t xml:space="preserve">Salário-Base   </t>
    </r>
    <r>
      <rPr>
        <b/>
        <sz val="8"/>
        <color rgb="FFFF0000"/>
        <rFont val="Arial"/>
      </rPr>
      <t>(Cláusula 5ª CCT 2025)</t>
    </r>
    <r>
      <rPr>
        <b/>
        <sz val="8"/>
        <color theme="1"/>
        <rFont val="Arial"/>
      </rPr>
      <t xml:space="preserve">                                                                                                                                         (valor para somente 1 servente de limpeza/ jornada de 40 horas semanais)</t>
    </r>
  </si>
  <si>
    <r>
      <rPr>
        <b/>
        <sz val="8"/>
        <color theme="1"/>
        <rFont val="Arial"/>
      </rPr>
      <t xml:space="preserve">Adicional de Insalubridade </t>
    </r>
    <r>
      <rPr>
        <b/>
        <sz val="8"/>
        <color rgb="FFFF0000"/>
        <rFont val="Arial"/>
      </rPr>
      <t>(40% do SB - Cláusula 17 alínea "a" CCT 2025)</t>
    </r>
  </si>
  <si>
    <t xml:space="preserve">Total </t>
  </si>
  <si>
    <t>Nota1:  O Módulo 1 refere-se ao valor mensal devido ao empregado pela prestação do serviço no período de 12 meses.</t>
  </si>
  <si>
    <t>Módulo 2 – Encargos e Benefícios Anuais, Mensais e Diários</t>
  </si>
  <si>
    <r>
      <rPr>
        <b/>
        <sz val="8"/>
        <color theme="1"/>
        <rFont val="Arial"/>
      </rPr>
      <t>Submódulo 2.1 – 13º (décimo terceiro) Salário</t>
    </r>
    <r>
      <rPr>
        <b/>
        <sz val="8"/>
        <color rgb="FF009900"/>
        <rFont val="Arial"/>
      </rPr>
      <t xml:space="preserve"> </t>
    </r>
    <r>
      <rPr>
        <b/>
        <sz val="8"/>
        <color theme="1"/>
        <rFont val="Arial"/>
      </rPr>
      <t>e Adicional de Férias</t>
    </r>
  </si>
  <si>
    <t>2.1</t>
  </si>
  <si>
    <t>13º (décimo terceiro) Salário e Adicional de Férias</t>
  </si>
  <si>
    <t>Valor (R$)</t>
  </si>
  <si>
    <r>
      <rPr>
        <b/>
        <sz val="8"/>
        <color theme="1"/>
        <rFont val="Arial"/>
      </rPr>
      <t>13º (décimo terceiro) Salário  -</t>
    </r>
    <r>
      <rPr>
        <b/>
        <sz val="8"/>
        <color rgb="FF0000FF"/>
        <rFont val="Arial"/>
      </rPr>
      <t xml:space="preserve"> </t>
    </r>
    <r>
      <rPr>
        <b/>
        <sz val="8"/>
        <color rgb="FFFF0000"/>
        <rFont val="Arial"/>
      </rPr>
      <t>Obrigatória a cotação de 8,33% sobre o valor do Módulo 1 – Composição da Remuneração, conforme Anexo XII da IN 5/17</t>
    </r>
  </si>
  <si>
    <r>
      <rPr>
        <b/>
        <sz val="8"/>
        <color theme="1"/>
        <rFont val="Arial"/>
      </rPr>
      <t xml:space="preserve">Férias e Adicional de Férias </t>
    </r>
    <r>
      <rPr>
        <b/>
        <sz val="8"/>
        <color rgb="FFFF0000"/>
        <rFont val="Arial"/>
      </rPr>
      <t>Obrigatória a cotação de 12,10% sobre o valor do
Módulo 1 - Composição da Remuneração, conforme Anexo XII da IN 5/17
(Férias + Adicional = 12,10% = 9,075% + 3,025%).</t>
    </r>
    <r>
      <rPr>
        <b/>
        <sz val="8"/>
        <color theme="1"/>
        <rFont val="Arial"/>
      </rPr>
      <t xml:space="preserve"> </t>
    </r>
    <r>
      <rPr>
        <b/>
        <sz val="8"/>
        <color rgb="FF33CCCC"/>
        <rFont val="Arial"/>
      </rPr>
      <t>Na prorrogação, será excluído o item Férias (9,075%) em cumprimento da Nota 3, permanecendo somente o Adicional de Férias (3,025%)</t>
    </r>
  </si>
  <si>
    <t>Total</t>
  </si>
  <si>
    <r>
      <rPr>
        <b/>
        <sz val="8"/>
        <color theme="1"/>
        <rFont val="Arial"/>
      </rPr>
      <t xml:space="preserve">Nota 1: Como a planilha de custos e formação de preços é calculada mensalmente, provisiona-se proporcionalmente 1/12 (um doze avos) dos valores referentes à gratificação natalina, férias e adicional de férias.
</t>
    </r>
    <r>
      <rPr>
        <b/>
        <sz val="8"/>
        <color rgb="FF33CCCC"/>
        <rFont val="Arial"/>
      </rPr>
      <t>Nota 2: As Férias e o Adicional de Férias contidos no Submódulo 2.1 correspondem a 9,075% e 3,025%, respectivamente, do Módulo 1, em face do Anexo XII da IN nº 5/2017 exigir 12,10% no somatório de Férias + 1/3 de Férias (9,075% + 3,025%).</t>
    </r>
    <r>
      <rPr>
        <b/>
        <sz val="8"/>
        <color theme="1"/>
        <rFont val="Arial"/>
      </rPr>
      <t xml:space="preserve">
</t>
    </r>
    <r>
      <rPr>
        <b/>
        <sz val="8"/>
        <color rgb="FFFF0000"/>
        <rFont val="Arial"/>
      </rPr>
      <t>Nota 3: Levando em consideração a vigência contratual inicial de 12 (doze) meses, a rubrica férias tem como objetivo principal suprir a necessidade do pagamento das férias remuneradas ao final do contrato de 12 meses. Esta rubrica, quando da prorrogação contratual, torna-se custo não renovável.</t>
    </r>
  </si>
  <si>
    <r>
      <rPr>
        <b/>
        <sz val="10"/>
        <color theme="1"/>
        <rFont val="Arial"/>
      </rPr>
      <t xml:space="preserve">Submódulo 2.2 - Encargos Previdenciários (GPS), Fundo de Garantia por Tempo de Serviço (FGTS) e outras contribuições </t>
    </r>
    <r>
      <rPr>
        <b/>
        <sz val="10"/>
        <color rgb="FF0000FF"/>
        <rFont val="Arial"/>
      </rPr>
      <t>(Base de cálculo: Módulo 1 + Submódulo 2.1)</t>
    </r>
  </si>
  <si>
    <t>2.2</t>
  </si>
  <si>
    <t>GPS, FGTS e outras contribuições</t>
  </si>
  <si>
    <t>Percentual (%)</t>
  </si>
  <si>
    <t>Valor
 (R$)</t>
  </si>
  <si>
    <t>INSS</t>
  </si>
  <si>
    <t>Salário Educação</t>
  </si>
  <si>
    <r>
      <rPr>
        <b/>
        <sz val="8"/>
        <color theme="1"/>
        <rFont val="Arial"/>
      </rPr>
      <t xml:space="preserve">RAT x FAP
</t>
    </r>
    <r>
      <rPr>
        <b/>
        <sz val="8"/>
        <color rgb="FFFF0000"/>
        <rFont val="Arial"/>
      </rPr>
      <t>Cálculo do valor: % do RAT (Riscos Ambientais do Trabalho) x FAP (Fator Acidentário de Prevenção de cada empresa)</t>
    </r>
  </si>
  <si>
    <t>RAT =</t>
  </si>
  <si>
    <t xml:space="preserve"> FAP =</t>
  </si>
  <si>
    <t>SESC ou SESI</t>
  </si>
  <si>
    <t>E</t>
  </si>
  <si>
    <t>SENAC ou SENAI</t>
  </si>
  <si>
    <t>F</t>
  </si>
  <si>
    <t>SEBRAE</t>
  </si>
  <si>
    <t>G</t>
  </si>
  <si>
    <t>INCRA</t>
  </si>
  <si>
    <t>H</t>
  </si>
  <si>
    <t>FGTS</t>
  </si>
  <si>
    <r>
      <rPr>
        <sz val="8"/>
        <color theme="1"/>
        <rFont val="Arial"/>
      </rPr>
      <t>Nota 1: Os percentuais dos encargos previdenciários, do FGTS e demais contribuições são aqueles estabelecidos pela legislação vigente.
Nota 2: O RAT a depender do grau de risco do serviço irá variar entre 1%, para risco leve, de 2% para risco médio, e de 3% para risco grave.
Nota 3: Esses percentuais incidem sobre o Módulo 1 e Submódulo 2.1</t>
    </r>
    <r>
      <rPr>
        <sz val="8"/>
        <color rgb="FF009900"/>
        <rFont val="Arial"/>
      </rPr>
      <t>.</t>
    </r>
  </si>
  <si>
    <t>Submódulo 2.3 – Benefícios Mensais e Diários</t>
  </si>
  <si>
    <t>2.3</t>
  </si>
  <si>
    <t>Benefícios Mensais e Diários</t>
  </si>
  <si>
    <r>
      <rPr>
        <b/>
        <sz val="8"/>
        <color theme="1"/>
        <rFont val="Arial"/>
      </rPr>
      <t xml:space="preserve">Transporte                                               </t>
    </r>
    <r>
      <rPr>
        <b/>
        <sz val="8"/>
        <color rgb="FFFF0000"/>
        <rFont val="Arial"/>
      </rPr>
      <t>Cálculo do valor: [(2xVTx22) – (</t>
    </r>
    <r>
      <rPr>
        <b/>
        <sz val="8"/>
        <color rgb="FF0000FF"/>
        <rFont val="Arial"/>
      </rPr>
      <t>6%</t>
    </r>
    <r>
      <rPr>
        <b/>
        <sz val="8"/>
        <color rgb="FFFF0000"/>
        <rFont val="Arial"/>
      </rPr>
      <t>xSB)]</t>
    </r>
  </si>
  <si>
    <r>
      <rPr>
        <b/>
        <sz val="8"/>
        <color theme="1"/>
        <rFont val="Arial"/>
      </rPr>
      <t xml:space="preserve">      </t>
    </r>
    <r>
      <rPr>
        <b/>
        <sz val="8"/>
        <color rgb="FFFF0000"/>
        <rFont val="Arial"/>
      </rPr>
      <t xml:space="preserve">A.1) Valor da passagem do transporte coletivo no município de prestação dos serviços: </t>
    </r>
  </si>
  <si>
    <t>-</t>
  </si>
  <si>
    <r>
      <rPr>
        <b/>
        <sz val="8"/>
        <color theme="1"/>
        <rFont val="Arial"/>
      </rPr>
      <t xml:space="preserve">     </t>
    </r>
    <r>
      <rPr>
        <b/>
        <sz val="8"/>
        <color rgb="FFFF0000"/>
        <rFont val="Arial"/>
      </rPr>
      <t xml:space="preserve"> A.2) Quantidade de passagens por dia por empregado:</t>
    </r>
  </si>
  <si>
    <r>
      <rPr>
        <b/>
        <sz val="8"/>
        <color theme="1"/>
        <rFont val="Arial"/>
      </rPr>
      <t xml:space="preserve">      </t>
    </r>
    <r>
      <rPr>
        <b/>
        <sz val="8"/>
        <color rgb="FFFF0000"/>
        <rFont val="Arial"/>
      </rPr>
      <t xml:space="preserve">A.3) Quantidade de dias do mês de recebimento de passagens </t>
    </r>
  </si>
  <si>
    <r>
      <rPr>
        <sz val="8"/>
        <color theme="1"/>
        <rFont val="Arial"/>
      </rPr>
      <t xml:space="preserve">     A.4) Participação do empregado em percentual do salário-base</t>
    </r>
    <r>
      <rPr>
        <b/>
        <sz val="8"/>
        <color rgb="FF0000FF"/>
        <rFont val="Arial"/>
      </rPr>
      <t xml:space="preserve"> (cláus. 21 CCT 2025)</t>
    </r>
  </si>
  <si>
    <r>
      <rPr>
        <b/>
        <sz val="8"/>
        <color theme="1"/>
        <rFont val="Arial"/>
      </rPr>
      <t xml:space="preserve">Auxílio-Refeição/Alimentação </t>
    </r>
    <r>
      <rPr>
        <b/>
        <sz val="8"/>
        <color rgb="FFFF0000"/>
        <rFont val="Arial"/>
      </rPr>
      <t>Cálculo do valor = [(22xVA)x(1-</t>
    </r>
    <r>
      <rPr>
        <b/>
        <sz val="8"/>
        <color rgb="FF0000FF"/>
        <rFont val="Arial"/>
      </rPr>
      <t>0,19%</t>
    </r>
    <r>
      <rPr>
        <b/>
        <sz val="8"/>
        <color rgb="FFFF0000"/>
        <rFont val="Arial"/>
      </rPr>
      <t>)]</t>
    </r>
  </si>
  <si>
    <r>
      <rPr>
        <b/>
        <sz val="8"/>
        <color theme="1"/>
        <rFont val="Arial"/>
      </rPr>
      <t xml:space="preserve">      </t>
    </r>
    <r>
      <rPr>
        <b/>
        <sz val="8"/>
        <color rgb="FFFF0000"/>
        <rFont val="Arial"/>
      </rPr>
      <t>B.1) Valor do auxílio-alimentação</t>
    </r>
    <r>
      <rPr>
        <b/>
        <sz val="8"/>
        <color rgb="FF0000FF"/>
        <rFont val="Arial"/>
      </rPr>
      <t xml:space="preserve"> (cláusula 19 da CCT 2025)</t>
    </r>
  </si>
  <si>
    <r>
      <rPr>
        <b/>
        <sz val="8"/>
        <color theme="1"/>
        <rFont val="Arial"/>
      </rPr>
      <t xml:space="preserve">    </t>
    </r>
    <r>
      <rPr>
        <b/>
        <sz val="8"/>
        <color rgb="FFFF0000"/>
        <rFont val="Arial"/>
      </rPr>
      <t xml:space="preserve">  B.2) Quantidade de dias do mês de recebimento de auxílio-alimentação</t>
    </r>
  </si>
  <si>
    <t xml:space="preserve">     B.3) Participação do empregado em percentual sobre o auxílio-alimentação</t>
  </si>
  <si>
    <r>
      <rPr>
        <b/>
        <sz val="8"/>
        <color theme="1"/>
        <rFont val="Arial"/>
      </rPr>
      <t xml:space="preserve">Plano de Benefício Social Familiar </t>
    </r>
    <r>
      <rPr>
        <b/>
        <sz val="8"/>
        <color rgb="FF0000FF"/>
        <rFont val="Arial"/>
      </rPr>
      <t>(cláusula 30 da CCT 2025)  Sem participação do empregado</t>
    </r>
  </si>
  <si>
    <t>Nota 1: O valor informado deverá ser o custo real do insumo (descontado o valor eventualmente pago pelo empregado).
Nota 2: Observar a previsão dos benefícios contidos em Acordos, Convenções e Dissídios Coletivos de Trabalho e atentar-se ao disposto no artigo 6º desta Instrução Normativa.</t>
  </si>
  <si>
    <t>Quadro-Resumo do Módulo 2 – Encargos e Benefícios Anuais, Mensais e Diários</t>
  </si>
  <si>
    <t>Encargos e Benefícios Anuais, Mensais e Diários</t>
  </si>
  <si>
    <r>
      <rPr>
        <b/>
        <sz val="8"/>
        <color theme="1"/>
        <rFont val="Arial"/>
      </rPr>
      <t>13º (décimo terceiro) Salário</t>
    </r>
    <r>
      <rPr>
        <b/>
        <strike/>
        <sz val="8"/>
        <color rgb="FF009933"/>
        <rFont val="Arial"/>
      </rPr>
      <t xml:space="preserve"> </t>
    </r>
    <r>
      <rPr>
        <b/>
        <sz val="8"/>
        <color theme="1"/>
        <rFont val="Arial"/>
      </rPr>
      <t>e Adicional de Férias</t>
    </r>
  </si>
  <si>
    <t>Módulo 3 - Provisão para Rescisão</t>
  </si>
  <si>
    <t>Provisão para Rescisão</t>
  </si>
  <si>
    <t>Valor  (R$)</t>
  </si>
  <si>
    <r>
      <rPr>
        <b/>
        <sz val="8"/>
        <color theme="1"/>
        <rFont val="Arial"/>
      </rPr>
      <t xml:space="preserve">Aviso Prévio Indenizado     </t>
    </r>
    <r>
      <rPr>
        <b/>
        <sz val="8"/>
        <color rgb="FFFF0000"/>
        <rFont val="Arial"/>
      </rPr>
      <t xml:space="preserve">Cálculo do valor = [Rem/12 + 13º/12 + Férias/12 + (1/3xFérias)/12] x (30/30=1) x 5% de rotatividade anual
Os reflexos de 13º, F e 1/3F são referentes a 1 mês de APInd - </t>
    </r>
    <r>
      <rPr>
        <b/>
        <sz val="8"/>
        <color rgb="FF0000FF"/>
        <rFont val="Arial"/>
      </rPr>
      <t>Na prorrogação, poderão ser considerados 3 dias conforme Lei nº 12.506/2011, dependendo da análise do nº de ocorrências deste evento no período.</t>
    </r>
  </si>
  <si>
    <t>Incidência do FGTS sobre o Aviso Prévio Indenizado</t>
  </si>
  <si>
    <r>
      <rPr>
        <b/>
        <sz val="8"/>
        <color theme="1"/>
        <rFont val="Arial"/>
      </rPr>
      <t xml:space="preserve">Aviso Prévio Trabalhado   </t>
    </r>
    <r>
      <rPr>
        <b/>
        <sz val="8"/>
        <color rgb="FFFF0000"/>
        <rFont val="Arial"/>
      </rPr>
      <t>Cálculo do valor= [(Rem/30)x7]/</t>
    </r>
    <r>
      <rPr>
        <b/>
        <sz val="8"/>
        <color rgb="FF0000FF"/>
        <rFont val="Arial"/>
      </rPr>
      <t>12</t>
    </r>
    <r>
      <rPr>
        <b/>
        <sz val="8"/>
        <color rgb="FFFF0000"/>
        <rFont val="Arial"/>
      </rPr>
      <t xml:space="preserve"> meses do contratox</t>
    </r>
    <r>
      <rPr>
        <b/>
        <sz val="8"/>
        <color rgb="FF0000FF"/>
        <rFont val="Arial"/>
      </rPr>
      <t>100%</t>
    </r>
    <r>
      <rPr>
        <b/>
        <sz val="8"/>
        <color rgb="FFFF0000"/>
        <rFont val="Arial"/>
      </rPr>
      <t xml:space="preserve"> dos empregados - ao final do contrato -</t>
    </r>
    <r>
      <rPr>
        <b/>
        <sz val="8"/>
        <color rgb="FF0000FF"/>
        <rFont val="Arial"/>
      </rPr>
      <t xml:space="preserve"> Negociar extinção/redução na 1ª prorrogação, dependendo da análise do nº de ocorrências deste evento no período.</t>
    </r>
  </si>
  <si>
    <t xml:space="preserve">Incidência de GPS, FGTS e outras contribuições sobre o Aviso Prévio Trabalhado         </t>
  </si>
  <si>
    <r>
      <rPr>
        <b/>
        <sz val="8"/>
        <color theme="1"/>
        <rFont val="Arial"/>
      </rPr>
      <t xml:space="preserve">Multa do FGTS sobre o Aviso Prévio Trabalhado e sobre o Aviso Prévio
Indenizado. </t>
    </r>
    <r>
      <rPr>
        <b/>
        <sz val="8"/>
        <color rgb="FFFF0000"/>
        <rFont val="Arial"/>
      </rPr>
      <t>Obrigatória a cotação de 4% sobre o valor do Módulo 1 –
Composição da Remuneração, conforme Anexo XII da IN Seges nº 5/2017</t>
    </r>
  </si>
  <si>
    <t>Nota 1:  Aviso Prévio Indenizado - Na prorrogação, poderão ser considerados 3 dias conforme Lei nº 12.506/2011, dependendo da análise do nº de ocorrências deste evento no período.
Nota 2: Aviso Prévio Trabalhado - corresponde ao percentual  de 1,94% no primeiro ano; em caso de prorrogação do contrato, poderão ser considerados 3 dias conforme Lei nº 12.506/2011, devendo o percentual máximo dessa parcela ser de até 0,194% a cada ano de prorrogação.</t>
  </si>
  <si>
    <t>Módulo 4 - Custo de Reposição do Profissional Ausente</t>
  </si>
  <si>
    <t xml:space="preserve">Nota 1: Os itens que contemplam o módulo 4 se referem ao custo dos dias trabalhados pelo repositor/substituto quando o empregado alocado na prestação do serviço estiver ausente, conforme as previsões estabelecidas na legislação. </t>
  </si>
  <si>
    <r>
      <rPr>
        <b/>
        <sz val="8"/>
        <color rgb="FF0000FF"/>
        <rFont val="Arial"/>
      </rPr>
      <t xml:space="preserve">Base de cálculo para o Custo de Reposição do Profissional Ausente (substituto): BCCPA = </t>
    </r>
    <r>
      <rPr>
        <b/>
        <sz val="8"/>
        <color rgb="FFFF0000"/>
        <rFont val="Arial"/>
      </rPr>
      <t xml:space="preserve">MÓDULO 1 + MÓDULO 2 (-VA - VT) + MÓDULO 3 - exceto o Afastamento Maternidade, pois que a Rem e o 13º podem ser compensados pelo INSS,  e que tem cálculo diferenciado, conforme nele consta.                                                                </t>
    </r>
  </si>
  <si>
    <t>MÓD 1 =</t>
  </si>
  <si>
    <r>
      <rPr>
        <b/>
        <sz val="8"/>
        <color rgb="FF0000FF"/>
        <rFont val="Arial"/>
      </rPr>
      <t xml:space="preserve">MÓD 2 </t>
    </r>
    <r>
      <rPr>
        <b/>
        <sz val="8"/>
        <color rgb="FFFF0000"/>
        <rFont val="Arial"/>
      </rPr>
      <t>(sem VA e VT)</t>
    </r>
    <r>
      <rPr>
        <b/>
        <sz val="8"/>
        <color rgb="FF0000FF"/>
        <rFont val="Arial"/>
      </rPr>
      <t xml:space="preserve"> </t>
    </r>
  </si>
  <si>
    <t>MÓD 3 =</t>
  </si>
  <si>
    <t xml:space="preserve">Submódulo 4.1 – Substituto nas Ausências Legais </t>
  </si>
  <si>
    <t>4.1</t>
  </si>
  <si>
    <t>Substituto nas Ausências Legais</t>
  </si>
  <si>
    <r>
      <rPr>
        <b/>
        <sz val="8"/>
        <color rgb="FF000000"/>
        <rFont val="Arial"/>
      </rPr>
      <t xml:space="preserve">Substituto na cobertura de Férias  </t>
    </r>
    <r>
      <rPr>
        <b/>
        <sz val="8"/>
        <color rgb="FFFF0000"/>
        <rFont val="Arial"/>
      </rPr>
      <t>Cálculo do valor = BCCPA/12
É obrigatória a adoção da mesma fórmula deste item de custo, pois que na primeira prorrogação de 12 meses as Férias do 2.1.B deverão ser excluidas. Caso contrário, a contratada não disporá de recursos para pagar o substituto a partir da segunda Férias. Ver Acórdãos TCU n.ºs 158/2022 e 436/2022, ambos do Plenário.</t>
    </r>
  </si>
  <si>
    <r>
      <rPr>
        <b/>
        <sz val="8"/>
        <color rgb="FF000000"/>
        <rFont val="Arial"/>
      </rPr>
      <t xml:space="preserve">Substituto na cobertura de Ausências Legais </t>
    </r>
    <r>
      <rPr>
        <b/>
        <sz val="8"/>
        <color rgb="FFFF0000"/>
        <rFont val="Arial"/>
      </rPr>
      <t>Cálculo do valor = [(</t>
    </r>
    <r>
      <rPr>
        <b/>
        <sz val="8"/>
        <color rgb="FF0000FF"/>
        <rFont val="Arial"/>
      </rPr>
      <t>BCCPA</t>
    </r>
    <r>
      <rPr>
        <b/>
        <sz val="8"/>
        <color rgb="FFFF0000"/>
        <rFont val="Arial"/>
      </rPr>
      <t>/30)x1dia]/12</t>
    </r>
  </si>
  <si>
    <r>
      <rPr>
        <b/>
        <sz val="8"/>
        <color rgb="FF000000"/>
        <rFont val="Arial"/>
      </rPr>
      <t xml:space="preserve">Substituto na cobertura de Licença-Paternidade
</t>
    </r>
    <r>
      <rPr>
        <b/>
        <sz val="8"/>
        <color rgb="FFFF0000"/>
        <rFont val="Arial"/>
      </rPr>
      <t>Cálculo do valor = {[(</t>
    </r>
    <r>
      <rPr>
        <b/>
        <sz val="8"/>
        <color rgb="FF0000FF"/>
        <rFont val="Arial"/>
      </rPr>
      <t>BCCPA</t>
    </r>
    <r>
      <rPr>
        <b/>
        <sz val="8"/>
        <color rgb="FFFF0000"/>
        <rFont val="Arial"/>
      </rPr>
      <t>/30)x5dias]/12}x1,5%</t>
    </r>
  </si>
  <si>
    <r>
      <rPr>
        <b/>
        <sz val="8"/>
        <color theme="1"/>
        <rFont val="Arial"/>
      </rPr>
      <t xml:space="preserve">Substituto na cobertura de Ausência por acidente de trabalho
</t>
    </r>
    <r>
      <rPr>
        <b/>
        <sz val="8"/>
        <color rgb="FFFF0000"/>
        <rFont val="Arial"/>
      </rPr>
      <t>Cálculo do valor = [(</t>
    </r>
    <r>
      <rPr>
        <b/>
        <sz val="8"/>
        <color rgb="FF0000FF"/>
        <rFont val="Arial"/>
      </rPr>
      <t>BCCPA</t>
    </r>
    <r>
      <rPr>
        <b/>
        <sz val="8"/>
        <color rgb="FFFF0000"/>
        <rFont val="Arial"/>
      </rPr>
      <t>)  sobre a Rem)/30x0,97 dias]/12</t>
    </r>
  </si>
  <si>
    <r>
      <rPr>
        <b/>
        <sz val="8"/>
        <color rgb="FF000000"/>
        <rFont val="Arial"/>
      </rPr>
      <t xml:space="preserve">Substituto na cobertura de Afastamento Maternidade
</t>
    </r>
    <r>
      <rPr>
        <b/>
        <sz val="8"/>
        <color rgb="FFFF0000"/>
        <rFont val="Arial"/>
      </rPr>
      <t>Cálculo do valor = [((Férias + Férias / 3) + SUB2.2 x (Férias + Férias / 3)) x (4/12)] x 2% + [( FGTS x Rem + SUB 2.2 x 13º</t>
    </r>
    <r>
      <rPr>
        <b/>
        <sz val="8"/>
        <color rgb="FF3333FF"/>
        <rFont val="Arial"/>
      </rPr>
      <t xml:space="preserve"> </t>
    </r>
    <r>
      <rPr>
        <b/>
        <sz val="8"/>
        <color rgb="FFFF0000"/>
        <rFont val="Arial"/>
      </rPr>
      <t xml:space="preserve">+ SUB2.3 – VA – VT + MÓD3) x (4/12)] } x 2%     
</t>
    </r>
    <r>
      <rPr>
        <b/>
        <sz val="8"/>
        <color rgb="FF0000FF"/>
        <rFont val="Arial"/>
      </rPr>
      <t>Não incide Contribuição Previdenciária Patronal (INSS + 3ªs entidades) sobre a Remuneração da empregada residente nos 4 meses de Afastamento, conforme Solução de Consulta Cosit/RFB nº 27/2023, publicada na pág. 20 da Seção 1 do DOU de 09/02/2023. A Remuneração e o 13º da empregada residente poderão ser compensados, por isso não constam da fórmula.</t>
    </r>
  </si>
  <si>
    <r>
      <rPr>
        <b/>
        <sz val="8"/>
        <color theme="1"/>
        <rFont val="Arial"/>
      </rPr>
      <t>Substituto na cobertura de Ausência por doença</t>
    </r>
    <r>
      <rPr>
        <b/>
        <sz val="8"/>
        <color rgb="FF0000FF"/>
        <rFont val="Arial"/>
      </rPr>
      <t xml:space="preserve">
</t>
    </r>
    <r>
      <rPr>
        <b/>
        <sz val="8"/>
        <color rgb="FFFF0000"/>
        <rFont val="Arial"/>
      </rPr>
      <t>Cálculo do valor = [(</t>
    </r>
    <r>
      <rPr>
        <b/>
        <sz val="8"/>
        <color rgb="FF0000FF"/>
        <rFont val="Arial"/>
      </rPr>
      <t>BCCPA</t>
    </r>
    <r>
      <rPr>
        <b/>
        <sz val="8"/>
        <color rgb="FFFF0000"/>
        <rFont val="Arial"/>
      </rPr>
      <t xml:space="preserve">)/30)x3dias]/12 
</t>
    </r>
    <r>
      <rPr>
        <b/>
        <sz val="8"/>
        <color rgb="FF0000FF"/>
        <rFont val="Arial"/>
      </rPr>
      <t>Incluído por permissão da IN Seges nº 5/2017, Anexo VII-B, item 1.7, alíneas "b" e "c".5.</t>
    </r>
  </si>
  <si>
    <t>Quadro-Resumo do Módulo 4 – Custo de Reposição do Profissional Ausente</t>
  </si>
  <si>
    <t>Custo de Reposição do Profissional Ausente</t>
  </si>
  <si>
    <t>Módulo 5 – Insumos Diversos</t>
  </si>
  <si>
    <t>Insumos diversos</t>
  </si>
  <si>
    <t xml:space="preserve">Materiais </t>
  </si>
  <si>
    <t>Utensílios</t>
  </si>
  <si>
    <r>
      <rPr>
        <b/>
        <sz val="8"/>
        <color theme="1"/>
        <rFont val="Arial"/>
      </rPr>
      <t>Equipamentos</t>
    </r>
    <r>
      <rPr>
        <b/>
        <sz val="8"/>
        <color rgb="FF0000FF"/>
        <rFont val="Arial"/>
      </rPr>
      <t xml:space="preserve"> </t>
    </r>
  </si>
  <si>
    <t>Uniformes/EPIs</t>
  </si>
  <si>
    <t>Aparelho registrador de ponto eletrônico</t>
  </si>
  <si>
    <t>Nota: Valores mensais por empregado.</t>
  </si>
  <si>
    <t>Módulo 6 -  Custos Indiretos, Lucro e Tributos</t>
  </si>
  <si>
    <t xml:space="preserve">Custos Indiretos, Lucro e Tributos </t>
  </si>
  <si>
    <t>Valor
(R$)</t>
  </si>
  <si>
    <t>BASE DE CÁLCULO DOS CUSTOS INDIRETOS  = (Total do Módulo 1 – Composição da  Remuneração + Total do Módulo 2 - Encargos e Benefícios Anuais, Mensais e Diários + Total do Módulo 3 – Provisão da Rescisão + Total do Módulo 4 - Custo de Reposição do Profissional Ausente + Total do Módulo 5 - Insumos Diversos)</t>
  </si>
  <si>
    <t>Custos Indiretos</t>
  </si>
  <si>
    <t>BASE DE CÁLCULO DO LUCRO =  (Total do Módulo 1 – Composição da  Remuneração + Total do Módulo 2 - Encargos e Benefícios Anuais, Mensais e Diários + Total do Módulo 3 – Provisão da Rescisão + Total do Módulo 4 - Custo de Reposição do Profissional Ausente + Total do Módulo 5 - Insumos Diversos + Custos Indiretos)</t>
  </si>
  <si>
    <t>Lucro</t>
  </si>
  <si>
    <t>BASE DE CÁLCULO DOS TRIBUTOS = (Total do Módulo 1 – Composição da  Remuneração + Total do Módulo 2 - Encargos e Benefícios Anuais, Mensais e Diários + Total do Módulo 3 – Provisão da Rescisão + Total do Módulo 4 - Custo de Reposição do Profissional Ausente + Total do Módulo 5 - Insumos Diversos + Custos Indiretos + Lucro)</t>
  </si>
  <si>
    <t>Tributos</t>
  </si>
  <si>
    <t>C.1    Tributos Federais (especificar)</t>
  </si>
  <si>
    <r>
      <rPr>
        <sz val="8"/>
        <color theme="1"/>
        <rFont val="Arial"/>
      </rPr>
      <t xml:space="preserve">  </t>
    </r>
    <r>
      <rPr>
        <b/>
        <sz val="8"/>
        <color theme="1"/>
        <rFont val="Arial"/>
      </rPr>
      <t xml:space="preserve">a) Cofins  </t>
    </r>
    <r>
      <rPr>
        <sz val="8"/>
        <color rgb="FFFF0000"/>
        <rFont val="Arial"/>
      </rPr>
      <t>(depende do regime de tributação - utilizada a hipótese de Lucro Real)</t>
    </r>
    <r>
      <rPr>
        <sz val="8"/>
        <color theme="1"/>
        <rFont val="Arial"/>
      </rPr>
      <t xml:space="preserve">
</t>
    </r>
    <r>
      <rPr>
        <b/>
        <sz val="8"/>
        <color rgb="FF0000FF"/>
        <rFont val="Arial"/>
      </rPr>
      <t>Os licitantes optantes ou obrigados ao regime não cumulativo da Cofins devem cotar a alíquota média, com demonstração</t>
    </r>
  </si>
  <si>
    <r>
      <rPr>
        <sz val="8"/>
        <color theme="1"/>
        <rFont val="Arial"/>
      </rPr>
      <t xml:space="preserve">  </t>
    </r>
    <r>
      <rPr>
        <b/>
        <sz val="8"/>
        <color theme="1"/>
        <rFont val="Arial"/>
      </rPr>
      <t xml:space="preserve">b) PIS </t>
    </r>
    <r>
      <rPr>
        <sz val="8"/>
        <color rgb="FFFF0000"/>
        <rFont val="Arial"/>
      </rPr>
      <t>(depende do regime de tributação - utilizada a hipótese de Lucro Real)</t>
    </r>
    <r>
      <rPr>
        <sz val="8"/>
        <color theme="1"/>
        <rFont val="Arial"/>
      </rPr>
      <t xml:space="preserve">
</t>
    </r>
    <r>
      <rPr>
        <b/>
        <sz val="8"/>
        <color rgb="FF0000FF"/>
        <rFont val="Arial"/>
      </rPr>
      <t>Os licitantes optantes ou obrigados ao regime não cumulativo do PIS devem cotar a alíquota média, com demonstração</t>
    </r>
  </si>
  <si>
    <r>
      <rPr>
        <b/>
        <sz val="8"/>
        <color theme="1"/>
        <rFont val="Arial"/>
      </rPr>
      <t xml:space="preserve"> c) IRPJ</t>
    </r>
    <r>
      <rPr>
        <b/>
        <sz val="8"/>
        <color rgb="FFFF0000"/>
        <rFont val="Arial"/>
      </rPr>
      <t xml:space="preserve"> </t>
    </r>
    <r>
      <rPr>
        <b/>
        <sz val="8"/>
        <color rgb="FF0000FF"/>
        <rFont val="Arial"/>
      </rPr>
      <t>-  Em face dos Acórdãos TCU nºs 950/2007-P e 205/2018-P, os licitante não podem cotar expressamente este tributo.</t>
    </r>
  </si>
  <si>
    <r>
      <rPr>
        <b/>
        <sz val="8"/>
        <color theme="1"/>
        <rFont val="Arial"/>
      </rPr>
      <t xml:space="preserve"> d) CSLL </t>
    </r>
    <r>
      <rPr>
        <b/>
        <sz val="8"/>
        <color rgb="FF0000FF"/>
        <rFont val="Arial"/>
      </rPr>
      <t>-  Em face dos Acórdãos TCU nºs 950/2007-P e 205/2018-P, os licitantes não podem cotar expressamente este tributo.</t>
    </r>
  </si>
  <si>
    <t>C.2   Tributos Estaduais (especificar)</t>
  </si>
  <si>
    <t>C.3   Tributos Municipais (especificar):</t>
  </si>
  <si>
    <r>
      <rPr>
        <sz val="8"/>
        <color theme="1"/>
        <rFont val="Arial"/>
      </rPr>
      <t xml:space="preserve">  </t>
    </r>
    <r>
      <rPr>
        <b/>
        <sz val="8"/>
        <color theme="1"/>
        <rFont val="Arial"/>
      </rPr>
      <t xml:space="preserve">a) ISS             </t>
    </r>
    <r>
      <rPr>
        <b/>
        <sz val="8"/>
        <color rgb="FFFF0000"/>
        <rFont val="Arial"/>
      </rPr>
      <t xml:space="preserve"> </t>
    </r>
    <r>
      <rPr>
        <sz val="8"/>
        <color rgb="FFFF0000"/>
        <rFont val="Arial"/>
      </rPr>
      <t>(Decreto Municipal de Ibirubá/RS) LEI COMPLEMENTAR Nº 15/2003, DE 26 DE DEZEMBRO DE 2003</t>
    </r>
  </si>
  <si>
    <t xml:space="preserve">Percentual Total e Valor Total de Tributos  </t>
  </si>
  <si>
    <t>Cálculo dos Tributos</t>
  </si>
  <si>
    <t xml:space="preserve">                  Base de Cálculo para os Tributos</t>
  </si>
  <si>
    <t xml:space="preserve"> = ( ---------------------------------------------------------------- ) x Alíquota do Tributo</t>
  </si>
  <si>
    <t xml:space="preserve">         1 - (Total de Tributos em % dividido por 100)</t>
  </si>
  <si>
    <t>Nota 1: Custos Indiretos, Lucro e Tributos por empregado.
Nota 2: O valor referente a tributos é obtido aplicando-se o percentual sobre o valor do faturamento.</t>
  </si>
  <si>
    <t xml:space="preserve">
2. QUADRO-RESUMO DO CUSTO POR EMPREGADO
</t>
  </si>
  <si>
    <t xml:space="preserve">                          Mão de obra vinculada à execução contratual (valor por empregado)</t>
  </si>
  <si>
    <t>Módulo 1 - Composição da Remuneração</t>
  </si>
  <si>
    <t>Módulo 3 – Provisão para Rescisão</t>
  </si>
  <si>
    <t>Módulo 4 – Custo de Reposição do Profissional Ausente</t>
  </si>
  <si>
    <t xml:space="preserve">Módulo 5 - Insumos Diversos </t>
  </si>
  <si>
    <t>Subtotal (A + B + C + D + E)</t>
  </si>
  <si>
    <t>Módulo 6 - Custos Indiretos, Lucro e Tributos</t>
  </si>
  <si>
    <t>Valor Total por Empregado</t>
  </si>
  <si>
    <t>3.  COMPLEMENTO DOS SERVIÇOS DE LIMPEZA E CONSERVAÇÃO</t>
  </si>
  <si>
    <t>PREÇO MENSAL UNITÁRIO POR M² (metro quadrado)</t>
  </si>
  <si>
    <t xml:space="preserve">ÁREA INTERNA (Fórmulas exemplificativas de cálculo para área interna - alíneas "a" e "b" do subitem 3.1 do Anexo VI-B; para as demais alíneas, deverão ser incluídos novos campos na planilha com a metragem adequada).
</t>
  </si>
  <si>
    <t>MÃO DE OBRA 
       ENCARREGADO / SERVENTE</t>
  </si>
  <si>
    <t>(1) 
PRODUTIVIDADE
(1/M²)</t>
  </si>
  <si>
    <t>(2)
PREÇO HOMEM-MÊS                   (R$)</t>
  </si>
  <si>
    <t>(1 X 2)
SUBTOTAL
(R$/M²)</t>
  </si>
  <si>
    <t>SERV. / Pisos acarpetados</t>
  </si>
  <si>
    <t>1/1200*</t>
  </si>
  <si>
    <t>SERV. / Pisos frios</t>
  </si>
  <si>
    <t>SERV. / Laboratórios</t>
  </si>
  <si>
    <t>1/450*</t>
  </si>
  <si>
    <t>SERV./Almoxarifados/galpões</t>
  </si>
  <si>
    <t>1/2500*</t>
  </si>
  <si>
    <t>SERV./Oficinas</t>
  </si>
  <si>
    <t>1/1800*</t>
  </si>
  <si>
    <t>SERV. / Áreas com espaços livres - saguão, hall e salão</t>
  </si>
  <si>
    <t>1/1500*</t>
  </si>
  <si>
    <t>SERV. / Banheiros</t>
  </si>
  <si>
    <t>1/300*</t>
  </si>
  <si>
    <t>P = produtividade de referência do trabalhador prevista no subitem 3.1.</t>
  </si>
  <si>
    <r>
      <rPr>
        <b/>
        <sz val="8"/>
        <color theme="1"/>
        <rFont val="Arial"/>
      </rPr>
      <t xml:space="preserve">OBS: </t>
    </r>
    <r>
      <rPr>
        <sz val="8"/>
        <color theme="1"/>
        <rFont val="Arial"/>
      </rPr>
      <t xml:space="preserve">No caso de o edital permitir a alteração das produtividades da coluna (1), deve-se, também, proceder à alteração na fórmula das células da coluna (1x2), pois que as frações das células da coluna (1) estão em forma de texto. </t>
    </r>
  </si>
  <si>
    <r>
      <rPr>
        <b/>
        <sz val="8"/>
        <color theme="1"/>
        <rFont val="Arial"/>
      </rPr>
      <t xml:space="preserve">ÁREA EXTERNA (Fórmulas exemplificativas de cálculo para área externa - alíneas "a", "c" , "d" e "e" do subitem 3.2 do Anexo VI-B; para as demais alíneas, deverão ser incluídos novos campos na planilha com a metragem adequada).
</t>
    </r>
    <r>
      <rPr>
        <b/>
        <sz val="8"/>
        <color rgb="FF0000FF"/>
        <rFont val="Arial"/>
      </rPr>
      <t>Excluir esta observação)</t>
    </r>
  </si>
  <si>
    <r>
      <rPr>
        <b/>
        <sz val="8"/>
        <color theme="1"/>
        <rFont val="Arial"/>
      </rPr>
      <t xml:space="preserve">MÃO DE OBRA 
       </t>
    </r>
    <r>
      <rPr>
        <b/>
        <sz val="8"/>
        <color rgb="FF000000"/>
        <rFont val="Arial"/>
      </rPr>
      <t>ENCARREGADO / SERVENTE</t>
    </r>
  </si>
  <si>
    <t>(1)
PRODUTIVIDADE
(1/M²)</t>
  </si>
  <si>
    <t>(2)
PREÇO HOMEM-MÊS
(R$)</t>
  </si>
  <si>
    <t>SERV. / Pisos pavimentados adjacentes/contíguos às edificações</t>
  </si>
  <si>
    <t>1/2700*</t>
  </si>
  <si>
    <t>SERV. / varrição de passeios e arruamentos</t>
  </si>
  <si>
    <t>1/9000*</t>
  </si>
  <si>
    <t>SERV. / pátios e áreas verdes com alta frequência</t>
  </si>
  <si>
    <t>SERV. / pátios e áreas verdes com média frequência</t>
  </si>
  <si>
    <t>SERV. / coleta de detritos em pátios e áreas verdes com frequência diária</t>
  </si>
  <si>
    <t>1/100.000*</t>
  </si>
  <si>
    <t>P = produtividade de referência do trabalhador prevista no subitem 3.2.</t>
  </si>
  <si>
    <r>
      <rPr>
        <b/>
        <sz val="8"/>
        <color theme="1"/>
        <rFont val="Arial"/>
      </rPr>
      <t xml:space="preserve">OBS: </t>
    </r>
    <r>
      <rPr>
        <sz val="8"/>
        <color theme="1"/>
        <rFont val="Arial"/>
      </rPr>
      <t xml:space="preserve">No caso de o edital permitir a alteração das produtividades da coluna (1), deve-se, também, proceder à alteração na fórmula das células da coluna (1x2), pois que as frações das células da coluna (1) estão em forma de texto. </t>
    </r>
  </si>
  <si>
    <r>
      <rPr>
        <b/>
        <sz val="8"/>
        <color theme="1"/>
        <rFont val="Arial"/>
      </rPr>
      <t xml:space="preserve">ESQUADRIA EXTERNA (Fórmulas exemplificativas de cálculo para esquadria externa - alíneas "b" e "c" do subitem 3.3 do Anexo VI-B; para as demais alíneas, deverão ser incluídos novos campos na planilha com a metragem adequada).
</t>
    </r>
    <r>
      <rPr>
        <b/>
        <sz val="8"/>
        <color rgb="FF0000FF"/>
        <rFont val="Arial"/>
      </rPr>
      <t>Excluir esta observação)</t>
    </r>
  </si>
  <si>
    <r>
      <rPr>
        <b/>
        <sz val="8"/>
        <color theme="1"/>
        <rFont val="Arial"/>
      </rPr>
      <t xml:space="preserve">MÃO DE OBRA 
       </t>
    </r>
    <r>
      <rPr>
        <b/>
        <sz val="8"/>
        <color rgb="FF000000"/>
        <rFont val="Arial"/>
      </rPr>
      <t>ENCARREGADO / SERVENTE</t>
    </r>
  </si>
  <si>
    <t>(1)
PRODUTIVIDADE 
(1/M²)</t>
  </si>
  <si>
    <r>
      <rPr>
        <b/>
        <sz val="8"/>
        <color theme="1"/>
        <rFont val="Arial"/>
      </rPr>
      <t xml:space="preserve">(2) FREQUÊNCIA NO </t>
    </r>
    <r>
      <rPr>
        <b/>
        <sz val="8"/>
        <color rgb="FFFF0000"/>
        <rFont val="Arial"/>
      </rPr>
      <t xml:space="preserve">MÊS </t>
    </r>
    <r>
      <rPr>
        <b/>
        <sz val="8"/>
        <color theme="1"/>
        <rFont val="Arial"/>
      </rPr>
      <t>(HORAS)</t>
    </r>
  </si>
  <si>
    <r>
      <rPr>
        <b/>
        <sz val="8"/>
        <color theme="1"/>
        <rFont val="Arial"/>
      </rPr>
      <t xml:space="preserve">(3)
 JORNADA DE TRABALHO NO </t>
    </r>
    <r>
      <rPr>
        <b/>
        <sz val="8"/>
        <color rgb="FFFF0000"/>
        <rFont val="Arial"/>
      </rPr>
      <t xml:space="preserve">MÊS
</t>
    </r>
    <r>
      <rPr>
        <b/>
        <sz val="8"/>
        <color theme="1"/>
        <rFont val="Arial"/>
      </rPr>
      <t xml:space="preserve"> (HORAS)</t>
    </r>
  </si>
  <si>
    <t>(4) 
= (1 X 2 X 3)
Ki****</t>
  </si>
  <si>
    <t>(5)
PREÇO HOMEM-MÊS 
(R$)</t>
  </si>
  <si>
    <t>(6) = (4 X 5)
 SUBTOTAL
 (R$/M²)</t>
  </si>
  <si>
    <t>SERV. / Face externa com exposição a situação de risco</t>
  </si>
  <si>
    <t>1/160*</t>
  </si>
  <si>
    <t>16***</t>
  </si>
  <si>
    <t>1/188,76</t>
  </si>
  <si>
    <t>SERV. / Face externa sem exposição a situação de risco</t>
  </si>
  <si>
    <t>1/380*</t>
  </si>
  <si>
    <t>SERV. / Face interna</t>
  </si>
  <si>
    <t>SERV. / Áreas hospitalares e assemelhadas</t>
  </si>
  <si>
    <t>Fachadas Envidraçadas</t>
  </si>
  <si>
    <t>P = produtividade de referência do trabalhador prevista no subitem 3.3.</t>
  </si>
  <si>
    <r>
      <rPr>
        <b/>
        <sz val="8"/>
        <color theme="1"/>
        <rFont val="Arial"/>
      </rPr>
      <t xml:space="preserve">OBS: </t>
    </r>
    <r>
      <rPr>
        <sz val="8"/>
        <color theme="1"/>
        <rFont val="Arial"/>
      </rPr>
      <t xml:space="preserve">No caso de alteração das produtividades da coluna (1) e da jornada de trabalho da coluna (3), deve-se, também, proceder à alteração na fórmula das células da coluna (4), pois que as frações das células das colunas (1) e (3) estão em forma de texto.  </t>
    </r>
  </si>
  <si>
    <t>4. VALOR MENSAL DOS SERVIÇOS</t>
  </si>
  <si>
    <t>TIPO DE ÁREA</t>
  </si>
  <si>
    <t>PREÇO MENSAL UNITÁRIO (R$/M²)</t>
  </si>
  <si>
    <t>ÁREA
(M²)</t>
  </si>
  <si>
    <t>SUBTOTAL
(R$)</t>
  </si>
  <si>
    <t xml:space="preserve">g) Áreas internas -  Banheiros </t>
  </si>
  <si>
    <t>b) Áreas externas - varrição de passeios e arruamentos</t>
  </si>
  <si>
    <t>c) Áreas externas - pátios e áreas verdes com alta frequência</t>
  </si>
  <si>
    <t>d) Áreas externas - pátios e áreas verdes com média frequência</t>
  </si>
  <si>
    <t>e) Áreas externas - pátios e áreas verdes com baixa frequência</t>
  </si>
  <si>
    <t>f) Áreas externas - coleta de detritos em pátios e áreas verdes com frequência diária</t>
  </si>
  <si>
    <t>a) Áreas externas - Face externa com exposição a situação de risco</t>
  </si>
  <si>
    <t>b) Áreas externas - Face externa sem exposição a situação de risco</t>
  </si>
  <si>
    <t>c) Áreas externas - Face interna</t>
  </si>
  <si>
    <t>TOTAL DA ESQUADRIA EXTERNA</t>
  </si>
  <si>
    <t>TOTAL</t>
  </si>
  <si>
    <t>Valor mensal do serviço</t>
  </si>
  <si>
    <t>Número de meses do contrato</t>
  </si>
  <si>
    <t>Valor global da proposta (valor mensal do serviço x nº de meses do contrato)</t>
  </si>
  <si>
    <t>QUANTIDADE DE PESSOAL ALOCADO NA EXECUÇÃO CONTRATUAL (item 6.2.e do Anexo VII da IN nº 5/2017 )</t>
  </si>
  <si>
    <t>Tipo de Mão de Obra</t>
  </si>
  <si>
    <t>Quantidade de Pessoal</t>
  </si>
  <si>
    <t>Servente</t>
  </si>
  <si>
    <t>tipo de piso</t>
  </si>
  <si>
    <r>
      <rPr>
        <sz val="8"/>
        <color theme="1"/>
        <rFont val="Arial"/>
      </rPr>
      <t xml:space="preserve">produtividade (m² /             serv x mês)    de 40h semanais    (8h diárias) </t>
    </r>
    <r>
      <rPr>
        <b/>
        <sz val="8"/>
        <color rgb="FFFF0000"/>
        <rFont val="Arial"/>
      </rPr>
      <t>PREENCHER</t>
    </r>
  </si>
  <si>
    <r>
      <rPr>
        <sz val="8"/>
        <color theme="1"/>
        <rFont val="Arial"/>
      </rPr>
      <t xml:space="preserve">área (m²) a ser contratada </t>
    </r>
    <r>
      <rPr>
        <b/>
        <sz val="8"/>
        <color rgb="FF0000FF"/>
        <rFont val="Arial"/>
      </rPr>
      <t>PREENCHER</t>
    </r>
  </si>
  <si>
    <t>(1)                  número de empregados necessários para a execução da tarefa</t>
  </si>
  <si>
    <t xml:space="preserve">(2)                             exclusão dos empregados que cumprem integralmente a jornada diária  </t>
  </si>
  <si>
    <t>(3) empregado que cumprirá jornada diária menor</t>
  </si>
  <si>
    <t>(4)                   jornada diária em minutos do empregado que completará a execução da tarefa</t>
  </si>
  <si>
    <t>(5) Número de empregados que a contratada deverá alocar para a prestação dos serviços</t>
  </si>
  <si>
    <t>ÁREAS INTERNAS</t>
  </si>
  <si>
    <t>Pisos acarpetados</t>
  </si>
  <si>
    <t>empregados com jornada diária de</t>
  </si>
  <si>
    <t xml:space="preserve">horas e mais </t>
  </si>
  <si>
    <t>empregado com jornada diária de</t>
  </si>
  <si>
    <t>minutos.</t>
  </si>
  <si>
    <t>pisos frios</t>
  </si>
  <si>
    <t>laboratórios</t>
  </si>
  <si>
    <t>almoxarifados/ galpões</t>
  </si>
  <si>
    <t>oficinas</t>
  </si>
  <si>
    <t>áreas com espaços livres - saguão, hall e salão</t>
  </si>
  <si>
    <t>banheiros</t>
  </si>
  <si>
    <t>ÁREAS EXTERNAS</t>
  </si>
  <si>
    <t>pisos pavimentados adjacentes/contíguos às edificações</t>
  </si>
  <si>
    <t>varrição de passeios e arruamentos</t>
  </si>
  <si>
    <t>pátios e áreas verdes com alta frequência</t>
  </si>
  <si>
    <t>pátios e áreas verdes com média frequência</t>
  </si>
  <si>
    <t>pátios e áreas verdes com baixa frequência</t>
  </si>
  <si>
    <t>coleta de detritos em pátios e áreas verdes com frequência diária</t>
  </si>
  <si>
    <t>ESQUADRIAS EXTERNAS</t>
  </si>
  <si>
    <r>
      <rPr>
        <sz val="8"/>
        <color theme="1"/>
        <rFont val="Arial"/>
      </rPr>
      <t xml:space="preserve">face externa </t>
    </r>
    <r>
      <rPr>
        <b/>
        <sz val="8"/>
        <color theme="1"/>
        <rFont val="Arial"/>
      </rPr>
      <t>com</t>
    </r>
    <r>
      <rPr>
        <sz val="8"/>
        <color theme="1"/>
        <rFont val="Arial"/>
      </rPr>
      <t xml:space="preserve"> exposição a situação de risco</t>
    </r>
  </si>
  <si>
    <r>
      <rPr>
        <sz val="8"/>
        <color theme="1"/>
        <rFont val="Arial"/>
      </rPr>
      <t xml:space="preserve">face externa </t>
    </r>
    <r>
      <rPr>
        <b/>
        <sz val="8"/>
        <color theme="1"/>
        <rFont val="Arial"/>
      </rPr>
      <t xml:space="preserve">sem </t>
    </r>
    <r>
      <rPr>
        <sz val="8"/>
        <color theme="1"/>
        <rFont val="Arial"/>
      </rPr>
      <t>exposição a situação de risco</t>
    </r>
  </si>
  <si>
    <t>face interna</t>
  </si>
  <si>
    <t>FACHADAS ENVIDRAÇADAS</t>
  </si>
  <si>
    <t>fachadas envidraçadas</t>
  </si>
  <si>
    <t>ÁREAS HOSPITALARES E ASSEMELHADAS</t>
  </si>
  <si>
    <t>áreas hospitalares e assemelhadas</t>
  </si>
  <si>
    <t>TOTAL (TODAS AS ÁREAS NO MESMO PRÉDIO)</t>
  </si>
  <si>
    <t>JORNADA DIÁRIA (HORAS)</t>
  </si>
  <si>
    <t>horas</t>
  </si>
  <si>
    <t>NÚMERO TOTAL DE SERVENTES EM JORNADA DE 8 HORAS</t>
  </si>
  <si>
    <t>ARRED =&gt;</t>
  </si>
  <si>
    <t>Cálculo total do nº de serventes = (preço mensal dos serviços / valor do homem-mês) = R$ ----------- / ---------- = 10,36 = -------</t>
  </si>
  <si>
    <t>Notas Explicativas:</t>
  </si>
  <si>
    <t>1) coluna (5) - número de empregados necessários para a execução da tarefa: cada número inteiro significa um empregado. Quando há fração significa que além dos empregados que cumprem integralmente a jornada diária contratada, é necessário empregado com jornada diária menor.</t>
  </si>
  <si>
    <r>
      <rPr>
        <sz val="8"/>
        <color theme="1"/>
        <rFont val="Arial"/>
      </rPr>
      <t xml:space="preserve">3) A produtividade da </t>
    </r>
    <r>
      <rPr>
        <b/>
        <sz val="8"/>
        <color theme="1"/>
        <rFont val="Arial"/>
      </rPr>
      <t>esquadria externa</t>
    </r>
    <r>
      <rPr>
        <sz val="8"/>
        <color theme="1"/>
        <rFont val="Arial"/>
      </rPr>
      <t xml:space="preserve"> deve ser calculada considerando a metodologia de trabalho que, no Anexo VII-D da IN 5/17 que prevê incidência </t>
    </r>
    <r>
      <rPr>
        <b/>
        <sz val="8"/>
        <color theme="1"/>
        <rFont val="Arial"/>
      </rPr>
      <t>quinzenal</t>
    </r>
    <r>
      <rPr>
        <sz val="8"/>
        <color theme="1"/>
        <rFont val="Arial"/>
      </rPr>
      <t xml:space="preserve"> para a limpeza desse tipo de área. </t>
    </r>
  </si>
  <si>
    <r>
      <rPr>
        <sz val="8"/>
        <color theme="1"/>
        <rFont val="Arial"/>
      </rPr>
      <t xml:space="preserve">4) A produtividade da </t>
    </r>
    <r>
      <rPr>
        <b/>
        <sz val="8"/>
        <color theme="1"/>
        <rFont val="Arial"/>
      </rPr>
      <t>fachada envidraçada</t>
    </r>
    <r>
      <rPr>
        <sz val="8"/>
        <color theme="1"/>
        <rFont val="Arial"/>
      </rPr>
      <t xml:space="preserve"> deve ser calculada considerando a metodologia de trabalho que, no Anexo VII-D da IN 5/17 que prevê incidência </t>
    </r>
    <r>
      <rPr>
        <b/>
        <sz val="8"/>
        <color theme="1"/>
        <rFont val="Arial"/>
      </rPr>
      <t>semestral</t>
    </r>
    <r>
      <rPr>
        <sz val="8"/>
        <color theme="1"/>
        <rFont val="Arial"/>
      </rPr>
      <t xml:space="preserve"> para a limpeza desse tipo de área. </t>
    </r>
  </si>
  <si>
    <t>Observações:</t>
  </si>
  <si>
    <t>Deve ser preenchida uma planilha para cada local de prestação de serviços (ISSQN, VT, VA, Insalubridade/periculosidade e horários poderão ser diferenciados, além da quantidade de serventes)</t>
  </si>
  <si>
    <t>Preencher somente as células das seguintes colunas: C (produtividade) e D (área)</t>
  </si>
  <si>
    <t xml:space="preserve">Se as áreas se localizarem em prédios/locais diferentes, cada linha trará o seu próprio totalizador. </t>
  </si>
  <si>
    <t xml:space="preserve"> Em destaque  o número de empregados que a contratada deve disponibilizar para a prestação dos serviços tarefa a tarefa, em cada tipo de área, com suas respectivas jornadas diárias.</t>
  </si>
  <si>
    <t xml:space="preserve">Área Interna 1ª linha - Metodologia - Coluna 5 = (2.000 / 800) = 2,5 empregados                                               Coluna 8 = 0,5 x 8 horas x 60 minutos = 240 minutos </t>
  </si>
  <si>
    <t>Esquadrias Externas 1ª linha - Metodologia - Coluna 5 = (100/130)*(16/188,76) = 0,06520286 empregados             Coluna 8 = 0,06520286 x 8 horas x 60 minutos = 31,2973739547 minutos (deveria ser semestral e não quinzenal)</t>
  </si>
  <si>
    <t xml:space="preserve">Fachadas Envidraçadas - Metodologia - Coluna 5 = (70/130)*(8/1132,6) =  0,003803366      Coluna 8 = 0,003803366  x 8 horas x 60 minutos = 1,8256156699 minutos </t>
  </si>
  <si>
    <t>Cálculo total do nº de serventes = (preço mensal dos serviços / valor do homem-mês)</t>
  </si>
  <si>
    <t xml:space="preserve">Planilha desenvolvida por Diógenes Felipe Fuques Carvalho (DRF-Santa Maria/RS) e José Hélio Justo (Superintendência da RFB da 10ª RF / Porto Alegre) </t>
  </si>
  <si>
    <t>Revisada por André Marek (IFRS)</t>
  </si>
  <si>
    <t>Serviço Público Federal</t>
  </si>
  <si>
    <t>Ministério da Educação</t>
  </si>
  <si>
    <t>Secretaria de Educação Profissional e Tecnológica</t>
  </si>
  <si>
    <t>Instituto Federal de Educação, Ciência e Tecnologia do Rio Grande do Sul - Campus Ibirubá</t>
  </si>
  <si>
    <t>Levantamento do Custo referente INSUMOS DIVERSOS - MÓDULO 5 DA PLANILHA DE CUSTOS 90028/2025 (SERVIÇOS DE LIMPEZA)</t>
  </si>
  <si>
    <t>Item</t>
  </si>
  <si>
    <t>Materiais de Limpeza – SANEANTES DOMISSANITÁRIOS</t>
  </si>
  <si>
    <t>Unidade</t>
  </si>
  <si>
    <t>Quantidade Mensal</t>
  </si>
  <si>
    <t>Quantidade Anual</t>
  </si>
  <si>
    <t>VALOR UNITÁRIO</t>
  </si>
  <si>
    <t>VALOR TOTAL ANO</t>
  </si>
  <si>
    <t>Álcool líquido 70%. Embalagem de 1 litro</t>
  </si>
  <si>
    <t>un</t>
  </si>
  <si>
    <t>Água sanitária, princípio ativo: hipoclorito de sódio; teor de cloro ativo de 2,0% à 2,5% (m/m) - 5 litros</t>
  </si>
  <si>
    <t>Esponja fibra abrasiva, verde; Tamanho : 26x10x1cm</t>
  </si>
  <si>
    <t>Cera líquida incolor, antiderrapante, bombona de 5 litros</t>
  </si>
  <si>
    <t>Desengraxante neutro, bombona de 5 litros</t>
  </si>
  <si>
    <t>Desinfetante líquido aromatizado, bombona de 5 litros</t>
  </si>
  <si>
    <t>Detergente líquido neutro, tampa com bico dosador. Frasco de 500mL</t>
  </si>
  <si>
    <t>Luva de látex cano longo ranhurada</t>
  </si>
  <si>
    <t>Esponja dupla face para limpeza</t>
  </si>
  <si>
    <t>Flanela para limpeza de microfibra 30x30</t>
  </si>
  <si>
    <t>Limpa vidros, frasco de 500 ml</t>
  </si>
  <si>
    <t>Inseticida em aerossol – embalagem com 300ml a 350ml</t>
  </si>
  <si>
    <t>Odorizador de ambiente, aerosol, frasco de 360ml a 400ml</t>
  </si>
  <si>
    <t>Sabão comum em barra com 5 unidades - 900 gramas</t>
  </si>
  <si>
    <t>Sabão em pó, embalagem de 5Kg</t>
  </si>
  <si>
    <t>Sabonete líquido de erva doce, bombona com 5 Litros</t>
  </si>
  <si>
    <t>Papel Toalha Bobina 200m, com gramatura de 24grs/m². Produto fabricado com 100% de fibras de celulose reciclada. FARDO COM 6UN</t>
  </si>
  <si>
    <t>Saco para lixo—100 litros – Preto – pacote com 100 unidades</t>
  </si>
  <si>
    <t>Papel Higiênico Rolo 300m, com gramatura de 19grs/m². Produto fabricado com 100% de fibras de celulose. FARDO COM 8UN</t>
  </si>
  <si>
    <t>Saco para lixo - 40 litros – Preto – pacote com 100 unidades</t>
  </si>
  <si>
    <t>Ácido clorídrico - popular limpeza de pedra, bombona de 5 litros</t>
  </si>
  <si>
    <t>Panos De Chão Microfibra 70x100</t>
  </si>
  <si>
    <t>Desentupidor diabo verde, frasco 300g</t>
  </si>
  <si>
    <t>Saponáceo líquido, embalagem com 300ml</t>
  </si>
  <si>
    <t>Gatilho borrifador; adaptável em garrafa PET</t>
  </si>
  <si>
    <t>CUSTO ANUAL DOS MATERIAIS SANEANTES DOMINISSANITÁRIOS</t>
  </si>
  <si>
    <t>CUSTO MENSAL DOS MATERIAIS SANEANTES DOMINISSANITÁRIOS</t>
  </si>
  <si>
    <t>UTENSÍLIOS</t>
  </si>
  <si>
    <t>Vida Útil (em meses)</t>
  </si>
  <si>
    <t>Quantidade a disponibilizar</t>
  </si>
  <si>
    <t>Escova lavatina de nylon para sanitário; Formato bola com suporte</t>
  </si>
  <si>
    <t>Balde plástico 15 litros, unidade</t>
  </si>
  <si>
    <t>Mangueira plástica ½ “, 30m com engate, esguicho e suporte</t>
  </si>
  <si>
    <t>Pá De Lixo Dobravel Ergonomica Com Cabo Longo de no minimo 90 Cm</t>
  </si>
  <si>
    <t>Desentupidor de pia</t>
  </si>
  <si>
    <t>Rodo Aluminio 1,00 Mt Borracha dupla com cabo de 1,50 metros</t>
  </si>
  <si>
    <t>Vassoura com cabo; cerdas médias; De 1º qualidade. Cabo com comprimento : 1,5m; rosca plástica.</t>
  </si>
  <si>
    <t>Suporte para fibra de limpeza (esponja abrasiva); roscável;sem cabo;tamanho mínimo : 9x22cm</t>
  </si>
  <si>
    <t>Vassoura para Limpar Teto, tipo bola, com Cabo extensor de pelo menos 2 metros</t>
  </si>
  <si>
    <t>Mop limpa vidros com com espuma e rodo com cabo de 100 cm</t>
  </si>
  <si>
    <t>Rodo 40 cm, cabo de 120 cm</t>
  </si>
  <si>
    <t>Lixeira basculante 60 litros marrom Medidas aproximadas: L 380mm x C 380mm x A 720</t>
  </si>
  <si>
    <t>Rodo espuma passa cera sem cabo. Espessura mínima da espuma 4 cm; roscável</t>
  </si>
  <si>
    <t>Vassoura para uso externo. Cerdas rígidas</t>
  </si>
  <si>
    <t>CUSTOS ANUAL DOS UTENSÍLIOS</t>
  </si>
  <si>
    <t>CUSTO MENSAL DOS UTENSÍLIOS</t>
  </si>
  <si>
    <t>EQUIPAMENTOS</t>
  </si>
  <si>
    <t>Depreciação (em meses)</t>
  </si>
  <si>
    <t>Escada em Alumínio com 7 degraus</t>
  </si>
  <si>
    <t>Soprador E Sugador De Folhas Elétrico Gss-3000 3000w 220v</t>
  </si>
  <si>
    <t>Lavadora de alta pressão profissional;
220V;pressão máxima:2300PSI;potência mínima:2200W</t>
  </si>
  <si>
    <t>Lavadora/tanquinho 10kg, 220v.</t>
  </si>
  <si>
    <t>Extensão elétrica com cabo pp 2x1,5mm com 20 m de comprimento (compatível com lavador de alta pressão)</t>
  </si>
  <si>
    <t>Varal De Chão Com Abas Retrátil</t>
  </si>
  <si>
    <t>Cabo Extensor de Alumínio 6m com Rosca</t>
  </si>
  <si>
    <t>CUSTO ANUAL DOS EQUIPAMENTOS</t>
  </si>
  <si>
    <t>CUSTO MENSAL DOS EQUIPAMENTOS</t>
  </si>
  <si>
    <t xml:space="preserve">UNIFORMES/EPIs </t>
  </si>
  <si>
    <t>VALOR TOTAL ANO POR COLABORADOR</t>
  </si>
  <si>
    <t>Calça de brim com elástico</t>
  </si>
  <si>
    <t>Peça</t>
  </si>
  <si>
    <t>Camiseta 100% algodão</t>
  </si>
  <si>
    <t>Sapato de EVA preto profissional antiderrapante</t>
  </si>
  <si>
    <t>Par</t>
  </si>
  <si>
    <t>Blusa de moletom</t>
  </si>
  <si>
    <t>Bota de borracha cano médio</t>
  </si>
  <si>
    <t>CUSTO ANUAL DO UNIFORMES/EPIs (SERVENTE)</t>
  </si>
  <si>
    <t>CUSTO MENSAL DO UNIFORME/EPIs (SERVENTE)</t>
  </si>
  <si>
    <t>QUADRO RESUMO</t>
  </si>
  <si>
    <t>CUSTO ANUAL</t>
  </si>
  <si>
    <t>CUSTO MENSAL</t>
  </si>
  <si>
    <t>Custo Mensal por SERVENTE</t>
  </si>
  <si>
    <t xml:space="preserve">Materiais de Limpeza – SANEANTES DOMISSANITÁRIOS </t>
  </si>
  <si>
    <t>Materiais de Limpeza – UTENSÍLIOS</t>
  </si>
  <si>
    <t>Materiais de Limpeza – EQUIPAMENTOS</t>
  </si>
  <si>
    <t>UNIFORMES/EPIs</t>
  </si>
  <si>
    <t xml:space="preserve">Quantidade da mão de obra alocada na prestação dos serviços (informação oriunda da aba 'cálculo de serventes') </t>
  </si>
  <si>
    <t>Nº Item</t>
  </si>
  <si>
    <t>Descrição Detalhada (RELÓGIO PONTO)</t>
  </si>
  <si>
    <t>UND</t>
  </si>
  <si>
    <t>QDT</t>
  </si>
  <si>
    <t>Média de Valores (A)</t>
  </si>
  <si>
    <t>Vida Útil/Anos (B)</t>
  </si>
  <si>
    <t>Valor Residual (C)</t>
  </si>
  <si>
    <t>Valor Residual/Vida  Útil (D)</t>
  </si>
  <si>
    <t>Valor Final (E)</t>
  </si>
  <si>
    <t>Custo mensal por servente</t>
  </si>
  <si>
    <t>(A-10%)</t>
  </si>
  <si>
    <t>(C/B)</t>
  </si>
  <si>
    <t>(D/12)</t>
  </si>
  <si>
    <t>"Aparelho registrador de ponto eletrônico, digital, biométrico, com teclado digital - homologado pela portaria M.T.E. nº 1.510/2009. O produto deverá ser certificado pelo INMETRO.
O equipamento deverá ser instalado em local a ser definido junto à direção da unidade do IFRS onde ocorrerá a prestação do serviço."</t>
  </si>
  <si>
    <t>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</si>
</sst>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&quot;R$ &quot;#,##0.00"/>
    <numFmt numFmtId="165" formatCode="0;[Red]\-0"/>
    <numFmt numFmtId="166" formatCode="0.000%"/>
    <numFmt numFmtId="167" formatCode="0.0000"/>
    <numFmt numFmtId="168" formatCode="0.0000%"/>
    <numFmt numFmtId="169" formatCode="_(* #,##0.00_);_(* \(#,##0.00\);_(* \-??_);_(@_)"/>
    <numFmt numFmtId="170" formatCode="#,##0.0000000"/>
    <numFmt numFmtId="171" formatCode="0.0"/>
    <numFmt numFmtId="172" formatCode="&quot;R$&quot;\ #,##0.00"/>
    <numFmt numFmtId="173" formatCode="&quot;R$&quot;\ #,##0.00_);[Red]\(&quot;R$&quot;\ #,###.00\)"/>
  </numFmts>
  <fonts count="38" x14ac:knownFonts="1">
    <font>
      <sz val="10"/>
      <color rgb="FF000000"/>
      <name val="Arial"/>
      <scheme val="minor"/>
    </font>
    <font>
      <b/>
      <sz val="12"/>
      <color theme="1"/>
      <name val="Arial"/>
    </font>
    <font>
      <sz val="10"/>
      <name val="Arial"/>
    </font>
    <font>
      <b/>
      <sz val="11"/>
      <color theme="1"/>
      <name val="Arial"/>
    </font>
    <font>
      <b/>
      <sz val="8"/>
      <color theme="1"/>
      <name val="Arial"/>
    </font>
    <font>
      <b/>
      <sz val="8"/>
      <color rgb="FFFF0000"/>
      <name val="Arial"/>
    </font>
    <font>
      <sz val="8"/>
      <color theme="1"/>
      <name val="Arial"/>
    </font>
    <font>
      <b/>
      <sz val="8"/>
      <color rgb="FF0047FF"/>
      <name val="Arial"/>
    </font>
    <font>
      <b/>
      <sz val="10"/>
      <color theme="1"/>
      <name val="Arial"/>
    </font>
    <font>
      <sz val="8"/>
      <color rgb="FF009900"/>
      <name val="Arial"/>
    </font>
    <font>
      <b/>
      <strike/>
      <sz val="8"/>
      <color rgb="FF009900"/>
      <name val="Arial"/>
    </font>
    <font>
      <b/>
      <sz val="8"/>
      <color rgb="FF009900"/>
      <name val="Arial"/>
    </font>
    <font>
      <b/>
      <sz val="8"/>
      <color rgb="FF0000FF"/>
      <name val="Arial"/>
    </font>
    <font>
      <b/>
      <sz val="8"/>
      <color rgb="FF000000"/>
      <name val="Arial"/>
    </font>
    <font>
      <b/>
      <sz val="8"/>
      <color rgb="FFCC0000"/>
      <name val="Arial"/>
    </font>
    <font>
      <sz val="8"/>
      <color rgb="FFFF0000"/>
      <name val="Arial"/>
    </font>
    <font>
      <b/>
      <sz val="10"/>
      <color rgb="FFFF0000"/>
      <name val="Arial"/>
    </font>
    <font>
      <sz val="9"/>
      <color theme="1"/>
      <name val="Arial"/>
    </font>
    <font>
      <sz val="10"/>
      <color theme="1"/>
      <name val="Calibri"/>
    </font>
    <font>
      <sz val="10"/>
      <color theme="1"/>
      <name val="Arial"/>
    </font>
    <font>
      <b/>
      <u/>
      <sz val="9"/>
      <color theme="1"/>
      <name val="Arial"/>
    </font>
    <font>
      <b/>
      <sz val="8"/>
      <color theme="1"/>
      <name val="Calibri"/>
    </font>
    <font>
      <b/>
      <sz val="8"/>
      <color rgb="FF000080"/>
      <name val="Arial"/>
    </font>
    <font>
      <b/>
      <sz val="10"/>
      <color rgb="FF000080"/>
      <name val="Arial"/>
    </font>
    <font>
      <sz val="9"/>
      <color rgb="FF000000"/>
      <name val="Arial"/>
    </font>
    <font>
      <sz val="8"/>
      <color theme="1"/>
      <name val="Calibri"/>
    </font>
    <font>
      <sz val="8"/>
      <color rgb="FF000000"/>
      <name val="Arial"/>
    </font>
    <font>
      <sz val="10"/>
      <color rgb="FF000000"/>
      <name val="Arial"/>
    </font>
    <font>
      <b/>
      <sz val="8"/>
      <color rgb="FF993300"/>
      <name val="Arial"/>
    </font>
    <font>
      <sz val="10"/>
      <color theme="1"/>
      <name val="Arial"/>
    </font>
    <font>
      <b/>
      <sz val="12"/>
      <color rgb="FFFF0000"/>
      <name val="Arial"/>
    </font>
    <font>
      <b/>
      <sz val="12"/>
      <color rgb="FF0000FF"/>
      <name val="Arial"/>
    </font>
    <font>
      <b/>
      <sz val="12"/>
      <color rgb="FF800080"/>
      <name val="Arial"/>
    </font>
    <font>
      <sz val="8"/>
      <color rgb="FF0047FF"/>
      <name val="Arial"/>
    </font>
    <font>
      <b/>
      <sz val="8"/>
      <color rgb="FF33CCCC"/>
      <name val="Arial"/>
    </font>
    <font>
      <b/>
      <sz val="10"/>
      <color rgb="FF0000FF"/>
      <name val="Arial"/>
    </font>
    <font>
      <b/>
      <strike/>
      <sz val="8"/>
      <color rgb="FF009933"/>
      <name val="Arial"/>
    </font>
    <font>
      <b/>
      <sz val="8"/>
      <color rgb="FF3333FF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00FFFF"/>
        <bgColor rgb="FF00FFFF"/>
      </patternFill>
    </fill>
    <fill>
      <patternFill patternType="solid">
        <fgColor rgb="FF00CCFF"/>
        <bgColor rgb="FF00CCFF"/>
      </patternFill>
    </fill>
    <fill>
      <patternFill patternType="solid">
        <fgColor rgb="FF9999FF"/>
        <bgColor rgb="FF9999FF"/>
      </patternFill>
    </fill>
    <fill>
      <patternFill patternType="solid">
        <fgColor rgb="FF8EAADB"/>
        <bgColor rgb="FF8EAADB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8">
    <xf numFmtId="0" fontId="0" fillId="0" borderId="0" xfId="0" applyFont="1" applyAlignment="1"/>
    <xf numFmtId="0" fontId="4" fillId="0" borderId="7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" fontId="4" fillId="0" borderId="7" xfId="0" applyNumberFormat="1" applyFont="1" applyBorder="1" applyAlignment="1">
      <alignment vertical="center"/>
    </xf>
    <xf numFmtId="10" fontId="4" fillId="0" borderId="7" xfId="0" applyNumberFormat="1" applyFont="1" applyBorder="1" applyAlignment="1">
      <alignment vertical="center"/>
    </xf>
    <xf numFmtId="4" fontId="4" fillId="2" borderId="7" xfId="0" applyNumberFormat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right" vertical="center" wrapText="1"/>
    </xf>
    <xf numFmtId="0" fontId="4" fillId="6" borderId="7" xfId="0" applyFont="1" applyFill="1" applyBorder="1" applyAlignment="1">
      <alignment horizontal="center" vertical="center"/>
    </xf>
    <xf numFmtId="166" fontId="4" fillId="6" borderId="7" xfId="0" applyNumberFormat="1" applyFont="1" applyFill="1" applyBorder="1" applyAlignment="1">
      <alignment horizontal="center" vertical="center"/>
    </xf>
    <xf numFmtId="2" fontId="4" fillId="6" borderId="7" xfId="0" applyNumberFormat="1" applyFont="1" applyFill="1" applyBorder="1" applyAlignment="1">
      <alignment horizontal="right" vertical="center" wrapText="1"/>
    </xf>
    <xf numFmtId="2" fontId="4" fillId="2" borderId="7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 wrapText="1"/>
    </xf>
    <xf numFmtId="9" fontId="4" fillId="0" borderId="7" xfId="0" applyNumberFormat="1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 vertical="center" wrapText="1"/>
    </xf>
    <xf numFmtId="168" fontId="4" fillId="0" borderId="7" xfId="0" applyNumberFormat="1" applyFont="1" applyBorder="1" applyAlignment="1">
      <alignment horizontal="right" vertical="center"/>
    </xf>
    <xf numFmtId="168" fontId="4" fillId="2" borderId="7" xfId="0" applyNumberFormat="1" applyFont="1" applyFill="1" applyBorder="1" applyAlignment="1">
      <alignment horizontal="right" vertical="center"/>
    </xf>
    <xf numFmtId="4" fontId="4" fillId="2" borderId="7" xfId="0" applyNumberFormat="1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0" fontId="6" fillId="4" borderId="10" xfId="0" applyFont="1" applyFill="1" applyBorder="1" applyAlignment="1">
      <alignment horizontal="right" vertical="center"/>
    </xf>
    <xf numFmtId="10" fontId="4" fillId="4" borderId="10" xfId="0" applyNumberFormat="1" applyFont="1" applyFill="1" applyBorder="1" applyAlignment="1">
      <alignment horizontal="right" vertical="center"/>
    </xf>
    <xf numFmtId="4" fontId="4" fillId="4" borderId="11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6" fillId="0" borderId="0" xfId="0" applyFont="1" applyAlignment="1">
      <alignment wrapText="1"/>
    </xf>
    <xf numFmtId="10" fontId="5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10" fontId="5" fillId="0" borderId="7" xfId="0" applyNumberFormat="1" applyFont="1" applyBorder="1" applyAlignment="1">
      <alignment vertical="center"/>
    </xf>
    <xf numFmtId="4" fontId="4" fillId="6" borderId="7" xfId="0" applyNumberFormat="1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right" vertical="center" wrapText="1"/>
    </xf>
    <xf numFmtId="10" fontId="12" fillId="0" borderId="7" xfId="0" applyNumberFormat="1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 wrapText="1"/>
    </xf>
    <xf numFmtId="4" fontId="12" fillId="0" borderId="12" xfId="0" applyNumberFormat="1" applyFont="1" applyBorder="1" applyAlignment="1">
      <alignment horizontal="left" vertical="center" wrapText="1"/>
    </xf>
    <xf numFmtId="0" fontId="12" fillId="4" borderId="13" xfId="0" applyFont="1" applyFill="1" applyBorder="1" applyAlignment="1">
      <alignment horizontal="right" vertical="center" wrapText="1"/>
    </xf>
    <xf numFmtId="0" fontId="12" fillId="4" borderId="13" xfId="0" applyFont="1" applyFill="1" applyBorder="1" applyAlignment="1">
      <alignment horizontal="lef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/>
    </xf>
    <xf numFmtId="4" fontId="4" fillId="6" borderId="7" xfId="0" applyNumberFormat="1" applyFont="1" applyFill="1" applyBorder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right"/>
    </xf>
    <xf numFmtId="4" fontId="4" fillId="2" borderId="7" xfId="0" applyNumberFormat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4" fontId="14" fillId="7" borderId="7" xfId="0" applyNumberFormat="1" applyFont="1" applyFill="1" applyBorder="1" applyAlignment="1">
      <alignment horizontal="right" vertical="center"/>
    </xf>
    <xf numFmtId="4" fontId="14" fillId="2" borderId="7" xfId="0" applyNumberFormat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right" vertical="center"/>
    </xf>
    <xf numFmtId="10" fontId="4" fillId="0" borderId="7" xfId="0" applyNumberFormat="1" applyFont="1" applyBorder="1" applyAlignment="1">
      <alignment horizontal="right" vertical="center"/>
    </xf>
    <xf numFmtId="10" fontId="5" fillId="0" borderId="7" xfId="0" applyNumberFormat="1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right" vertical="center" wrapText="1"/>
    </xf>
    <xf numFmtId="10" fontId="4" fillId="0" borderId="7" xfId="0" applyNumberFormat="1" applyFont="1" applyBorder="1" applyAlignment="1">
      <alignment horizontal="center" vertical="center" wrapText="1"/>
    </xf>
    <xf numFmtId="10" fontId="5" fillId="6" borderId="7" xfId="0" applyNumberFormat="1" applyFont="1" applyFill="1" applyBorder="1" applyAlignment="1">
      <alignment horizontal="right" vertical="center" wrapText="1"/>
    </xf>
    <xf numFmtId="10" fontId="4" fillId="2" borderId="3" xfId="0" applyNumberFormat="1" applyFont="1" applyFill="1" applyBorder="1" applyAlignment="1">
      <alignment horizontal="right" vertical="center"/>
    </xf>
    <xf numFmtId="10" fontId="5" fillId="0" borderId="7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9" fontId="5" fillId="0" borderId="0" xfId="0" applyNumberFormat="1" applyFont="1" applyAlignment="1">
      <alignment horizontal="left"/>
    </xf>
    <xf numFmtId="169" fontId="5" fillId="5" borderId="15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/>
    <xf numFmtId="0" fontId="4" fillId="5" borderId="15" xfId="0" applyFont="1" applyFill="1" applyBorder="1" applyAlignment="1"/>
    <xf numFmtId="0" fontId="4" fillId="4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left" wrapText="1"/>
    </xf>
    <xf numFmtId="49" fontId="5" fillId="0" borderId="7" xfId="0" applyNumberFormat="1" applyFont="1" applyBorder="1" applyAlignment="1">
      <alignment horizontal="center" vertical="center"/>
    </xf>
    <xf numFmtId="170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right" vertical="center" wrapText="1"/>
    </xf>
    <xf numFmtId="39" fontId="4" fillId="0" borderId="7" xfId="0" applyNumberFormat="1" applyFont="1" applyBorder="1" applyAlignment="1">
      <alignment horizontal="right"/>
    </xf>
    <xf numFmtId="39" fontId="4" fillId="0" borderId="7" xfId="0" applyNumberFormat="1" applyFont="1" applyBorder="1" applyAlignment="1">
      <alignment horizontal="right" vertical="center"/>
    </xf>
    <xf numFmtId="39" fontId="5" fillId="2" borderId="7" xfId="0" applyNumberFormat="1" applyFont="1" applyFill="1" applyBorder="1" applyAlignment="1">
      <alignment horizontal="right"/>
    </xf>
    <xf numFmtId="4" fontId="4" fillId="0" borderId="27" xfId="0" applyNumberFormat="1" applyFont="1" applyBorder="1" applyAlignment="1">
      <alignment horizontal="right" wrapText="1"/>
    </xf>
    <xf numFmtId="39" fontId="5" fillId="2" borderId="7" xfId="0" applyNumberFormat="1" applyFont="1" applyFill="1" applyBorder="1" applyAlignment="1">
      <alignment horizontal="right" vertical="center"/>
    </xf>
    <xf numFmtId="39" fontId="5" fillId="0" borderId="27" xfId="0" applyNumberFormat="1" applyFont="1" applyBorder="1" applyAlignment="1">
      <alignment horizontal="right"/>
    </xf>
    <xf numFmtId="0" fontId="6" fillId="0" borderId="0" xfId="0" applyFont="1" applyAlignment="1"/>
    <xf numFmtId="0" fontId="6" fillId="5" borderId="15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3" fontId="5" fillId="5" borderId="7" xfId="0" applyNumberFormat="1" applyFont="1" applyFill="1" applyBorder="1" applyAlignment="1">
      <alignment vertical="center"/>
    </xf>
    <xf numFmtId="4" fontId="12" fillId="0" borderId="7" xfId="0" applyNumberFormat="1" applyFont="1" applyBorder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4" fontId="12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5" fillId="6" borderId="7" xfId="0" applyFont="1" applyFill="1" applyBorder="1" applyAlignment="1">
      <alignment vertical="center"/>
    </xf>
    <xf numFmtId="0" fontId="5" fillId="6" borderId="7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4" borderId="33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16" fillId="8" borderId="0" xfId="0" applyFont="1" applyFill="1" applyAlignment="1">
      <alignment vertical="center"/>
    </xf>
    <xf numFmtId="0" fontId="16" fillId="8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9" fillId="0" borderId="0" xfId="0" applyFont="1" applyAlignment="1">
      <alignment horizontal="center" vertical="center"/>
    </xf>
    <xf numFmtId="0" fontId="4" fillId="9" borderId="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72" fontId="6" fillId="0" borderId="7" xfId="0" applyNumberFormat="1" applyFont="1" applyBorder="1" applyAlignment="1">
      <alignment horizontal="center" vertical="center"/>
    </xf>
    <xf numFmtId="172" fontId="6" fillId="5" borderId="7" xfId="0" applyNumberFormat="1" applyFont="1" applyFill="1" applyBorder="1" applyAlignment="1">
      <alignment horizontal="center" vertical="center" wrapText="1"/>
    </xf>
    <xf numFmtId="172" fontId="25" fillId="5" borderId="15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172" fontId="6" fillId="0" borderId="27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5" fillId="0" borderId="0" xfId="0" applyFont="1" applyAlignment="1"/>
    <xf numFmtId="0" fontId="21" fillId="5" borderId="15" xfId="0" applyFont="1" applyFill="1" applyBorder="1" applyAlignment="1">
      <alignment horizontal="center" vertical="center" wrapText="1"/>
    </xf>
    <xf numFmtId="172" fontId="25" fillId="5" borderId="0" xfId="0" applyNumberFormat="1" applyFont="1" applyFill="1" applyAlignment="1">
      <alignment horizontal="center" vertical="center" wrapText="1"/>
    </xf>
    <xf numFmtId="173" fontId="6" fillId="0" borderId="27" xfId="0" applyNumberFormat="1" applyFont="1" applyBorder="1" applyAlignment="1">
      <alignment horizontal="center" vertical="center"/>
    </xf>
    <xf numFmtId="173" fontId="5" fillId="0" borderId="7" xfId="0" applyNumberFormat="1" applyFont="1" applyBorder="1" applyAlignment="1">
      <alignment horizontal="center" vertical="top" wrapText="1"/>
    </xf>
    <xf numFmtId="0" fontId="21" fillId="0" borderId="0" xfId="0" applyFont="1" applyAlignment="1">
      <alignment horizontal="right" vertical="top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 vertical="top" wrapText="1"/>
    </xf>
    <xf numFmtId="172" fontId="25" fillId="0" borderId="0" xfId="0" applyNumberFormat="1" applyFont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shrinkToFit="1"/>
    </xf>
    <xf numFmtId="173" fontId="5" fillId="0" borderId="7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26" fillId="0" borderId="7" xfId="0" applyFont="1" applyBorder="1" applyAlignment="1">
      <alignment horizontal="center" vertical="center" wrapText="1"/>
    </xf>
    <xf numFmtId="173" fontId="28" fillId="0" borderId="7" xfId="0" applyNumberFormat="1" applyFont="1" applyBorder="1" applyAlignment="1">
      <alignment horizontal="center" vertical="top" wrapText="1"/>
    </xf>
    <xf numFmtId="172" fontId="6" fillId="0" borderId="0" xfId="0" applyNumberFormat="1" applyFont="1" applyAlignment="1">
      <alignment horizontal="center"/>
    </xf>
    <xf numFmtId="172" fontId="6" fillId="5" borderId="1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72" fontId="28" fillId="0" borderId="7" xfId="0" applyNumberFormat="1" applyFont="1" applyBorder="1" applyAlignment="1">
      <alignment horizontal="center"/>
    </xf>
    <xf numFmtId="172" fontId="26" fillId="5" borderId="15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Alignment="1">
      <alignment horizontal="right"/>
    </xf>
    <xf numFmtId="172" fontId="28" fillId="0" borderId="0" xfId="0" applyNumberFormat="1" applyFont="1" applyAlignment="1">
      <alignment horizontal="right" vertical="center"/>
    </xf>
    <xf numFmtId="172" fontId="28" fillId="0" borderId="0" xfId="0" applyNumberFormat="1" applyFont="1" applyAlignment="1">
      <alignment horizontal="right"/>
    </xf>
    <xf numFmtId="172" fontId="28" fillId="0" borderId="0" xfId="0" applyNumberFormat="1" applyFont="1" applyAlignment="1">
      <alignment horizontal="center"/>
    </xf>
    <xf numFmtId="172" fontId="21" fillId="0" borderId="0" xfId="0" applyNumberFormat="1" applyFont="1" applyAlignment="1">
      <alignment horizontal="center" vertical="center"/>
    </xf>
    <xf numFmtId="172" fontId="21" fillId="0" borderId="0" xfId="0" applyNumberFormat="1" applyFont="1" applyAlignment="1">
      <alignment horizontal="right"/>
    </xf>
    <xf numFmtId="0" fontId="22" fillId="10" borderId="7" xfId="0" applyFont="1" applyFill="1" applyBorder="1" applyAlignment="1">
      <alignment horizontal="center" vertical="center"/>
    </xf>
    <xf numFmtId="4" fontId="6" fillId="0" borderId="7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169" fontId="6" fillId="0" borderId="0" xfId="0" applyNumberFormat="1" applyFont="1" applyAlignment="1">
      <alignment horizontal="right" vertical="center"/>
    </xf>
    <xf numFmtId="171" fontId="12" fillId="10" borderId="33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center"/>
    </xf>
    <xf numFmtId="0" fontId="13" fillId="11" borderId="36" xfId="0" applyFont="1" applyFill="1" applyBorder="1" applyAlignment="1">
      <alignment horizontal="center" vertical="center" wrapText="1"/>
    </xf>
    <xf numFmtId="0" fontId="13" fillId="11" borderId="13" xfId="0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wrapText="1"/>
    </xf>
    <xf numFmtId="0" fontId="13" fillId="11" borderId="38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0" fontId="29" fillId="11" borderId="8" xfId="0" applyFont="1" applyFill="1" applyBorder="1"/>
    <xf numFmtId="0" fontId="6" fillId="0" borderId="7" xfId="0" applyFont="1" applyBorder="1" applyAlignment="1">
      <alignment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172" fontId="13" fillId="5" borderId="7" xfId="0" applyNumberFormat="1" applyFont="1" applyFill="1" applyBorder="1" applyAlignment="1">
      <alignment horizontal="center" vertical="center" wrapText="1"/>
    </xf>
    <xf numFmtId="172" fontId="26" fillId="5" borderId="8" xfId="0" applyNumberFormat="1" applyFont="1" applyFill="1" applyBorder="1" applyAlignment="1">
      <alignment horizontal="center" vertical="center" wrapText="1"/>
    </xf>
    <xf numFmtId="172" fontId="13" fillId="5" borderId="8" xfId="0" applyNumberFormat="1" applyFont="1" applyFill="1" applyBorder="1" applyAlignment="1">
      <alignment horizontal="center" vertical="center" wrapText="1"/>
    </xf>
    <xf numFmtId="172" fontId="4" fillId="5" borderId="8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5" xfId="0" applyFont="1" applyBorder="1"/>
    <xf numFmtId="0" fontId="2" fillId="0" borderId="6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0" fontId="4" fillId="6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/>
    </xf>
    <xf numFmtId="0" fontId="4" fillId="6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6" fillId="0" borderId="0" xfId="0" applyFont="1" applyAlignment="1">
      <alignment wrapText="1"/>
    </xf>
    <xf numFmtId="0" fontId="0" fillId="0" borderId="0" xfId="0" applyFont="1" applyAlignment="1"/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2" fillId="0" borderId="14" xfId="0" applyFont="1" applyBorder="1"/>
    <xf numFmtId="0" fontId="2" fillId="0" borderId="4" xfId="0" applyFont="1" applyBorder="1"/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5" fillId="4" borderId="1" xfId="0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2" borderId="16" xfId="0" applyFont="1" applyFill="1" applyBorder="1" applyAlignment="1">
      <alignment horizontal="left"/>
    </xf>
    <xf numFmtId="0" fontId="2" fillId="0" borderId="17" xfId="0" applyFont="1" applyBorder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2" fontId="5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right" vertical="center" wrapText="1"/>
    </xf>
    <xf numFmtId="0" fontId="2" fillId="0" borderId="19" xfId="0" applyFont="1" applyBorder="1"/>
    <xf numFmtId="0" fontId="2" fillId="0" borderId="20" xfId="0" applyFont="1" applyBorder="1"/>
    <xf numFmtId="0" fontId="6" fillId="0" borderId="21" xfId="0" applyFont="1" applyBorder="1" applyAlignment="1">
      <alignment horizontal="left" vertical="center" wrapText="1"/>
    </xf>
    <xf numFmtId="0" fontId="2" fillId="0" borderId="22" xfId="0" applyFont="1" applyBorder="1"/>
    <xf numFmtId="0" fontId="5" fillId="0" borderId="21" xfId="0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0" fontId="2" fillId="0" borderId="23" xfId="0" applyFont="1" applyBorder="1"/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wrapText="1"/>
    </xf>
    <xf numFmtId="4" fontId="4" fillId="0" borderId="4" xfId="0" applyNumberFormat="1" applyFont="1" applyBorder="1" applyAlignment="1">
      <alignment horizontal="center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2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/>
    </xf>
    <xf numFmtId="0" fontId="2" fillId="0" borderId="25" xfId="0" applyFont="1" applyBorder="1"/>
    <xf numFmtId="0" fontId="2" fillId="0" borderId="26" xfId="0" applyFont="1" applyBorder="1"/>
    <xf numFmtId="0" fontId="4" fillId="2" borderId="24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right" wrapText="1"/>
    </xf>
    <xf numFmtId="0" fontId="7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2" fillId="0" borderId="30" xfId="0" applyFont="1" applyBorder="1"/>
    <xf numFmtId="0" fontId="2" fillId="0" borderId="27" xfId="0" applyFont="1" applyBorder="1"/>
    <xf numFmtId="0" fontId="6" fillId="0" borderId="12" xfId="0" applyFont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right" vertical="center"/>
    </xf>
    <xf numFmtId="0" fontId="2" fillId="0" borderId="32" xfId="0" applyFont="1" applyBorder="1"/>
    <xf numFmtId="171" fontId="5" fillId="8" borderId="31" xfId="0" applyNumberFormat="1" applyFont="1" applyFill="1" applyBorder="1" applyAlignment="1">
      <alignment horizontal="center" vertical="center"/>
    </xf>
    <xf numFmtId="0" fontId="2" fillId="0" borderId="34" xfId="0" applyFont="1" applyBorder="1"/>
    <xf numFmtId="0" fontId="4" fillId="8" borderId="31" xfId="0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2" borderId="16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right" vertical="center" wrapText="1"/>
    </xf>
    <xf numFmtId="172" fontId="28" fillId="0" borderId="1" xfId="0" applyNumberFormat="1" applyFont="1" applyBorder="1" applyAlignment="1">
      <alignment horizontal="right" vertical="center"/>
    </xf>
    <xf numFmtId="0" fontId="22" fillId="10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13" fillId="11" borderId="12" xfId="0" applyFont="1" applyFill="1" applyBorder="1" applyAlignment="1">
      <alignment horizontal="center" vertical="center" wrapText="1"/>
    </xf>
    <xf numFmtId="0" fontId="22" fillId="10" borderId="31" xfId="0" applyFont="1" applyFill="1" applyBorder="1" applyAlignment="1">
      <alignment horizontal="center" vertical="center" wrapText="1"/>
    </xf>
    <xf numFmtId="0" fontId="13" fillId="11" borderId="35" xfId="0" applyFont="1" applyFill="1" applyBorder="1" applyAlignment="1">
      <alignment horizontal="center" vertical="center" wrapText="1"/>
    </xf>
    <xf numFmtId="0" fontId="2" fillId="0" borderId="3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114300</xdr:rowOff>
    </xdr:from>
    <xdr:ext cx="3571875" cy="7620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1"/>
  <sheetViews>
    <sheetView tabSelected="1" topLeftCell="A64" workbookViewId="0">
      <selection activeCell="J68" sqref="J68"/>
    </sheetView>
  </sheetViews>
  <sheetFormatPr defaultColWidth="12.6640625" defaultRowHeight="15" customHeight="1" x14ac:dyDescent="0.25"/>
  <cols>
    <col min="1" max="1" width="15.21875" customWidth="1"/>
    <col min="2" max="2" width="11.109375" customWidth="1"/>
    <col min="3" max="3" width="23.77734375" customWidth="1"/>
    <col min="4" max="4" width="10.109375" customWidth="1"/>
    <col min="5" max="5" width="12.33203125" customWidth="1"/>
    <col min="6" max="6" width="11.21875" customWidth="1"/>
    <col min="7" max="7" width="9.88671875" customWidth="1"/>
    <col min="8" max="8" width="12.33203125" customWidth="1"/>
    <col min="9" max="9" width="12.109375" customWidth="1"/>
  </cols>
  <sheetData>
    <row r="1" spans="1:9" ht="52.5" customHeight="1" x14ac:dyDescent="0.25">
      <c r="A1" s="211" t="s">
        <v>0</v>
      </c>
      <c r="B1" s="201"/>
      <c r="C1" s="201"/>
      <c r="D1" s="201"/>
      <c r="E1" s="201"/>
      <c r="F1" s="201"/>
      <c r="G1" s="201"/>
      <c r="H1" s="201"/>
      <c r="I1" s="202"/>
    </row>
    <row r="2" spans="1:9" ht="23.25" customHeight="1" x14ac:dyDescent="0.25">
      <c r="A2" s="212" t="s">
        <v>1</v>
      </c>
      <c r="B2" s="201"/>
      <c r="C2" s="201"/>
      <c r="D2" s="201"/>
      <c r="E2" s="201"/>
      <c r="F2" s="201"/>
      <c r="G2" s="201"/>
      <c r="H2" s="201"/>
      <c r="I2" s="202"/>
    </row>
    <row r="3" spans="1:9" ht="15.75" customHeight="1" x14ac:dyDescent="0.25">
      <c r="A3" s="213" t="s">
        <v>2</v>
      </c>
      <c r="B3" s="214"/>
      <c r="C3" s="214"/>
      <c r="D3" s="214"/>
      <c r="E3" s="215"/>
      <c r="F3" s="216" t="s">
        <v>3</v>
      </c>
      <c r="G3" s="214"/>
      <c r="H3" s="214"/>
      <c r="I3" s="215"/>
    </row>
    <row r="4" spans="1:9" ht="15.75" customHeight="1" x14ac:dyDescent="0.25">
      <c r="A4" s="206" t="s">
        <v>4</v>
      </c>
      <c r="B4" s="201"/>
      <c r="C4" s="201"/>
      <c r="D4" s="201"/>
      <c r="E4" s="202"/>
      <c r="F4" s="217" t="s">
        <v>5</v>
      </c>
      <c r="G4" s="201"/>
      <c r="H4" s="201"/>
      <c r="I4" s="202"/>
    </row>
    <row r="5" spans="1:9" ht="15.75" customHeight="1" x14ac:dyDescent="0.25">
      <c r="A5" s="206" t="s">
        <v>6</v>
      </c>
      <c r="B5" s="201"/>
      <c r="C5" s="201"/>
      <c r="D5" s="201"/>
      <c r="E5" s="201"/>
      <c r="F5" s="201"/>
      <c r="G5" s="201"/>
      <c r="H5" s="201"/>
      <c r="I5" s="202"/>
    </row>
    <row r="6" spans="1:9" ht="20.25" customHeight="1" x14ac:dyDescent="0.25">
      <c r="A6" s="205" t="s">
        <v>7</v>
      </c>
      <c r="B6" s="201"/>
      <c r="C6" s="201"/>
      <c r="D6" s="201"/>
      <c r="E6" s="201"/>
      <c r="F6" s="201"/>
      <c r="G6" s="201"/>
      <c r="H6" s="201"/>
      <c r="I6" s="202"/>
    </row>
    <row r="7" spans="1:9" ht="15.75" customHeight="1" x14ac:dyDescent="0.25">
      <c r="A7" s="1" t="s">
        <v>8</v>
      </c>
      <c r="B7" s="206" t="s">
        <v>9</v>
      </c>
      <c r="C7" s="201"/>
      <c r="D7" s="201"/>
      <c r="E7" s="201"/>
      <c r="F7" s="201"/>
      <c r="G7" s="202"/>
      <c r="H7" s="217" t="s">
        <v>10</v>
      </c>
      <c r="I7" s="202"/>
    </row>
    <row r="8" spans="1:9" ht="15.75" customHeight="1" x14ac:dyDescent="0.25">
      <c r="A8" s="1" t="s">
        <v>11</v>
      </c>
      <c r="B8" s="206" t="s">
        <v>12</v>
      </c>
      <c r="C8" s="201"/>
      <c r="D8" s="201"/>
      <c r="E8" s="201"/>
      <c r="F8" s="201"/>
      <c r="G8" s="202"/>
      <c r="H8" s="217" t="s">
        <v>13</v>
      </c>
      <c r="I8" s="202"/>
    </row>
    <row r="9" spans="1:9" ht="39.75" customHeight="1" x14ac:dyDescent="0.25">
      <c r="A9" s="1" t="s">
        <v>14</v>
      </c>
      <c r="B9" s="206" t="s">
        <v>15</v>
      </c>
      <c r="C9" s="201"/>
      <c r="D9" s="201"/>
      <c r="E9" s="201"/>
      <c r="F9" s="201"/>
      <c r="G9" s="202"/>
      <c r="H9" s="217" t="s">
        <v>16</v>
      </c>
      <c r="I9" s="202"/>
    </row>
    <row r="10" spans="1:9" ht="37.5" customHeight="1" x14ac:dyDescent="0.25">
      <c r="A10" s="1" t="s">
        <v>17</v>
      </c>
      <c r="B10" s="206" t="s">
        <v>18</v>
      </c>
      <c r="C10" s="201"/>
      <c r="D10" s="201"/>
      <c r="E10" s="201"/>
      <c r="F10" s="201"/>
      <c r="G10" s="202"/>
      <c r="H10" s="217">
        <v>24</v>
      </c>
      <c r="I10" s="202"/>
    </row>
    <row r="11" spans="1:9" ht="25.5" customHeight="1" x14ac:dyDescent="0.25">
      <c r="A11" s="220" t="s">
        <v>19</v>
      </c>
      <c r="B11" s="201"/>
      <c r="C11" s="201"/>
      <c r="D11" s="201"/>
      <c r="E11" s="201"/>
      <c r="F11" s="201"/>
      <c r="G11" s="201"/>
      <c r="H11" s="201"/>
      <c r="I11" s="202"/>
    </row>
    <row r="12" spans="1:9" ht="43.5" customHeight="1" x14ac:dyDescent="0.25">
      <c r="A12" s="221" t="s">
        <v>20</v>
      </c>
      <c r="B12" s="201"/>
      <c r="C12" s="201"/>
      <c r="D12" s="201"/>
      <c r="E12" s="201"/>
      <c r="F12" s="221" t="s">
        <v>21</v>
      </c>
      <c r="G12" s="202"/>
      <c r="H12" s="221" t="s">
        <v>22</v>
      </c>
      <c r="I12" s="202"/>
    </row>
    <row r="13" spans="1:9" ht="12.75" customHeight="1" x14ac:dyDescent="0.25">
      <c r="A13" s="222" t="s">
        <v>23</v>
      </c>
      <c r="B13" s="201"/>
      <c r="C13" s="201"/>
      <c r="D13" s="201"/>
      <c r="E13" s="202"/>
      <c r="F13" s="218" t="s">
        <v>24</v>
      </c>
      <c r="G13" s="202"/>
      <c r="H13" s="219">
        <f>'CÁLCULO DO Nº DE SERVENTES'!D2</f>
        <v>0</v>
      </c>
      <c r="I13" s="202"/>
    </row>
    <row r="14" spans="1:9" ht="12.75" customHeight="1" x14ac:dyDescent="0.25">
      <c r="A14" s="222" t="s">
        <v>25</v>
      </c>
      <c r="B14" s="201"/>
      <c r="C14" s="201"/>
      <c r="D14" s="201"/>
      <c r="E14" s="202"/>
      <c r="F14" s="218" t="s">
        <v>24</v>
      </c>
      <c r="G14" s="202"/>
      <c r="H14" s="219">
        <f>'CÁLCULO DO Nº DE SERVENTES'!D3</f>
        <v>3390.16</v>
      </c>
      <c r="I14" s="202"/>
    </row>
    <row r="15" spans="1:9" ht="12.75" customHeight="1" x14ac:dyDescent="0.25">
      <c r="A15" s="222" t="s">
        <v>26</v>
      </c>
      <c r="B15" s="201"/>
      <c r="C15" s="201"/>
      <c r="D15" s="201"/>
      <c r="E15" s="202"/>
      <c r="F15" s="218" t="s">
        <v>24</v>
      </c>
      <c r="G15" s="202"/>
      <c r="H15" s="219">
        <f>'CÁLCULO DO Nº DE SERVENTES'!D4</f>
        <v>364.98</v>
      </c>
      <c r="I15" s="202"/>
    </row>
    <row r="16" spans="1:9" ht="12.75" customHeight="1" x14ac:dyDescent="0.25">
      <c r="A16" s="222" t="s">
        <v>27</v>
      </c>
      <c r="B16" s="201"/>
      <c r="C16" s="201"/>
      <c r="D16" s="201"/>
      <c r="E16" s="202"/>
      <c r="F16" s="218" t="s">
        <v>24</v>
      </c>
      <c r="G16" s="202"/>
      <c r="H16" s="219">
        <f>'CÁLCULO DO Nº DE SERVENTES'!D5</f>
        <v>41.78</v>
      </c>
      <c r="I16" s="202"/>
    </row>
    <row r="17" spans="1:9" ht="12.75" customHeight="1" x14ac:dyDescent="0.25">
      <c r="A17" s="222" t="s">
        <v>28</v>
      </c>
      <c r="B17" s="201"/>
      <c r="C17" s="201"/>
      <c r="D17" s="201"/>
      <c r="E17" s="202"/>
      <c r="F17" s="218" t="s">
        <v>24</v>
      </c>
      <c r="G17" s="202"/>
      <c r="H17" s="219">
        <f>'CÁLCULO DO Nº DE SERVENTES'!D6</f>
        <v>0</v>
      </c>
      <c r="I17" s="202"/>
    </row>
    <row r="18" spans="1:9" ht="12.75" customHeight="1" x14ac:dyDescent="0.25">
      <c r="A18" s="222" t="s">
        <v>29</v>
      </c>
      <c r="B18" s="201"/>
      <c r="C18" s="201"/>
      <c r="D18" s="201"/>
      <c r="E18" s="202"/>
      <c r="F18" s="218" t="s">
        <v>24</v>
      </c>
      <c r="G18" s="202"/>
      <c r="H18" s="219">
        <f>'CÁLCULO DO Nº DE SERVENTES'!D7</f>
        <v>537.20000000000005</v>
      </c>
      <c r="I18" s="202"/>
    </row>
    <row r="19" spans="1:9" ht="21.75" customHeight="1" x14ac:dyDescent="0.25">
      <c r="A19" s="314" t="s">
        <v>30</v>
      </c>
      <c r="B19" s="201"/>
      <c r="C19" s="201"/>
      <c r="D19" s="201"/>
      <c r="E19" s="202"/>
      <c r="F19" s="218" t="s">
        <v>24</v>
      </c>
      <c r="G19" s="202"/>
      <c r="H19" s="219">
        <f>'CÁLCULO DO Nº DE SERVENTES'!D8</f>
        <v>820.28</v>
      </c>
      <c r="I19" s="202"/>
    </row>
    <row r="20" spans="1:9" ht="12.75" customHeight="1" x14ac:dyDescent="0.25">
      <c r="A20" s="316" t="s">
        <v>31</v>
      </c>
      <c r="B20" s="201"/>
      <c r="C20" s="201"/>
      <c r="D20" s="201"/>
      <c r="E20" s="201"/>
      <c r="F20" s="201"/>
      <c r="G20" s="202"/>
      <c r="H20" s="317">
        <f>ROUND(H13+H14+H15+H16+H17+H18+H19,2)</f>
        <v>5154.3999999999996</v>
      </c>
      <c r="I20" s="202"/>
    </row>
    <row r="21" spans="1:9" ht="8.25" customHeight="1" x14ac:dyDescent="0.25">
      <c r="A21" s="318"/>
      <c r="B21" s="201"/>
      <c r="C21" s="201"/>
      <c r="D21" s="201"/>
      <c r="E21" s="201"/>
      <c r="F21" s="201"/>
      <c r="G21" s="201"/>
      <c r="H21" s="201"/>
      <c r="I21" s="202"/>
    </row>
    <row r="22" spans="1:9" ht="23.25" customHeight="1" x14ac:dyDescent="0.25">
      <c r="A22" s="222" t="s">
        <v>32</v>
      </c>
      <c r="B22" s="201"/>
      <c r="C22" s="201"/>
      <c r="D22" s="201"/>
      <c r="E22" s="202"/>
      <c r="F22" s="218" t="s">
        <v>24</v>
      </c>
      <c r="G22" s="202"/>
      <c r="H22" s="315">
        <f>'CÁLCULO DO Nº DE SERVENTES'!D9</f>
        <v>659.12</v>
      </c>
      <c r="I22" s="202"/>
    </row>
    <row r="23" spans="1:9" ht="23.25" customHeight="1" x14ac:dyDescent="0.25">
      <c r="A23" s="222" t="s">
        <v>33</v>
      </c>
      <c r="B23" s="201"/>
      <c r="C23" s="201"/>
      <c r="D23" s="201"/>
      <c r="E23" s="202"/>
      <c r="F23" s="218" t="s">
        <v>24</v>
      </c>
      <c r="G23" s="202"/>
      <c r="H23" s="315">
        <f>'CÁLCULO DO Nº DE SERVENTES'!D10</f>
        <v>0</v>
      </c>
      <c r="I23" s="202"/>
    </row>
    <row r="24" spans="1:9" ht="23.25" customHeight="1" x14ac:dyDescent="0.25">
      <c r="A24" s="222" t="s">
        <v>34</v>
      </c>
      <c r="B24" s="201"/>
      <c r="C24" s="201"/>
      <c r="D24" s="201"/>
      <c r="E24" s="202"/>
      <c r="F24" s="218" t="s">
        <v>24</v>
      </c>
      <c r="G24" s="202"/>
      <c r="H24" s="315">
        <f>'CÁLCULO DO Nº DE SERVENTES'!D11</f>
        <v>0</v>
      </c>
      <c r="I24" s="202"/>
    </row>
    <row r="25" spans="1:9" ht="23.25" customHeight="1" x14ac:dyDescent="0.25">
      <c r="A25" s="222" t="s">
        <v>35</v>
      </c>
      <c r="B25" s="201"/>
      <c r="C25" s="201"/>
      <c r="D25" s="201"/>
      <c r="E25" s="202"/>
      <c r="F25" s="218" t="s">
        <v>24</v>
      </c>
      <c r="G25" s="202"/>
      <c r="H25" s="315">
        <f>'CÁLCULO DO Nº DE SERVENTES'!D12</f>
        <v>0</v>
      </c>
      <c r="I25" s="202"/>
    </row>
    <row r="26" spans="1:9" ht="23.25" customHeight="1" x14ac:dyDescent="0.25">
      <c r="A26" s="222" t="s">
        <v>36</v>
      </c>
      <c r="B26" s="201"/>
      <c r="C26" s="201"/>
      <c r="D26" s="201"/>
      <c r="E26" s="202"/>
      <c r="F26" s="218" t="s">
        <v>24</v>
      </c>
      <c r="G26" s="202"/>
      <c r="H26" s="315">
        <f>'CÁLCULO DO Nº DE SERVENTES'!D13</f>
        <v>0</v>
      </c>
      <c r="I26" s="202"/>
    </row>
    <row r="27" spans="1:9" ht="23.25" customHeight="1" x14ac:dyDescent="0.25">
      <c r="A27" s="222" t="s">
        <v>37</v>
      </c>
      <c r="B27" s="201"/>
      <c r="C27" s="201"/>
      <c r="D27" s="201"/>
      <c r="E27" s="202"/>
      <c r="F27" s="218" t="s">
        <v>24</v>
      </c>
      <c r="G27" s="202"/>
      <c r="H27" s="315">
        <f>'CÁLCULO DO Nº DE SERVENTES'!D14</f>
        <v>0</v>
      </c>
      <c r="I27" s="202"/>
    </row>
    <row r="28" spans="1:9" ht="15" customHeight="1" x14ac:dyDescent="0.25">
      <c r="A28" s="316" t="s">
        <v>38</v>
      </c>
      <c r="B28" s="201"/>
      <c r="C28" s="201"/>
      <c r="D28" s="201"/>
      <c r="E28" s="201"/>
      <c r="F28" s="201"/>
      <c r="G28" s="202"/>
      <c r="H28" s="317">
        <f>ROUND(SUM(H22:I27),2)</f>
        <v>659.12</v>
      </c>
      <c r="I28" s="202"/>
    </row>
    <row r="29" spans="1:9" ht="7.5" customHeight="1" x14ac:dyDescent="0.25">
      <c r="A29" s="318"/>
      <c r="B29" s="201"/>
      <c r="C29" s="201"/>
      <c r="D29" s="201"/>
      <c r="E29" s="201"/>
      <c r="F29" s="201"/>
      <c r="G29" s="201"/>
      <c r="H29" s="201"/>
      <c r="I29" s="202"/>
    </row>
    <row r="30" spans="1:9" ht="27" customHeight="1" x14ac:dyDescent="0.25">
      <c r="A30" s="222" t="s">
        <v>39</v>
      </c>
      <c r="B30" s="201"/>
      <c r="C30" s="201"/>
      <c r="D30" s="201"/>
      <c r="E30" s="202"/>
      <c r="F30" s="218" t="s">
        <v>24</v>
      </c>
      <c r="G30" s="202"/>
      <c r="H30" s="315">
        <f>'CÁLCULO DO Nº DE SERVENTES'!D15</f>
        <v>0</v>
      </c>
      <c r="I30" s="202"/>
    </row>
    <row r="31" spans="1:9" ht="25.5" customHeight="1" x14ac:dyDescent="0.25">
      <c r="A31" s="222" t="s">
        <v>40</v>
      </c>
      <c r="B31" s="201"/>
      <c r="C31" s="201"/>
      <c r="D31" s="201"/>
      <c r="E31" s="202"/>
      <c r="F31" s="218" t="s">
        <v>24</v>
      </c>
      <c r="G31" s="202"/>
      <c r="H31" s="315">
        <f>'CÁLCULO DO Nº DE SERVENTES'!D16</f>
        <v>97.25</v>
      </c>
      <c r="I31" s="202"/>
    </row>
    <row r="32" spans="1:9" ht="12.75" customHeight="1" x14ac:dyDescent="0.25">
      <c r="A32" s="222" t="s">
        <v>41</v>
      </c>
      <c r="B32" s="201"/>
      <c r="C32" s="201"/>
      <c r="D32" s="201"/>
      <c r="E32" s="202"/>
      <c r="F32" s="218" t="s">
        <v>24</v>
      </c>
      <c r="G32" s="202"/>
      <c r="H32" s="315">
        <f>'CÁLCULO DO Nº DE SERVENTES'!D17</f>
        <v>0</v>
      </c>
      <c r="I32" s="202"/>
    </row>
    <row r="33" spans="1:9" ht="12.75" customHeight="1" x14ac:dyDescent="0.25">
      <c r="A33" s="320" t="s">
        <v>42</v>
      </c>
      <c r="B33" s="201"/>
      <c r="C33" s="201"/>
      <c r="D33" s="201"/>
      <c r="E33" s="201"/>
      <c r="F33" s="201"/>
      <c r="G33" s="202"/>
      <c r="H33" s="319">
        <f>ROUND(H30+H31+H32,2)</f>
        <v>97.25</v>
      </c>
      <c r="I33" s="202"/>
    </row>
    <row r="34" spans="1:9" ht="7.5" customHeight="1" x14ac:dyDescent="0.25">
      <c r="A34" s="218"/>
      <c r="B34" s="201"/>
      <c r="C34" s="201"/>
      <c r="D34" s="201"/>
      <c r="E34" s="201"/>
      <c r="F34" s="201"/>
      <c r="G34" s="201"/>
      <c r="H34" s="201"/>
      <c r="I34" s="202"/>
    </row>
    <row r="35" spans="1:9" ht="18" customHeight="1" x14ac:dyDescent="0.25">
      <c r="A35" s="222" t="s">
        <v>43</v>
      </c>
      <c r="B35" s="201"/>
      <c r="C35" s="201"/>
      <c r="D35" s="201"/>
      <c r="E35" s="202"/>
      <c r="F35" s="218" t="s">
        <v>24</v>
      </c>
      <c r="G35" s="202"/>
      <c r="H35" s="315">
        <f>'CÁLCULO DO Nº DE SERVENTES'!D18</f>
        <v>77.86</v>
      </c>
      <c r="I35" s="202"/>
    </row>
    <row r="36" spans="1:9" ht="12.75" customHeight="1" x14ac:dyDescent="0.25">
      <c r="A36" s="316" t="s">
        <v>44</v>
      </c>
      <c r="B36" s="201"/>
      <c r="C36" s="201"/>
      <c r="D36" s="201"/>
      <c r="E36" s="201"/>
      <c r="F36" s="201"/>
      <c r="G36" s="202"/>
      <c r="H36" s="321">
        <f>ROUND(H20+H28+H33+H35,2)</f>
        <v>5988.63</v>
      </c>
      <c r="I36" s="202"/>
    </row>
    <row r="37" spans="1:9" ht="7.5" customHeight="1" x14ac:dyDescent="0.25">
      <c r="A37" s="200"/>
      <c r="B37" s="201"/>
      <c r="C37" s="201"/>
      <c r="D37" s="201"/>
      <c r="E37" s="201"/>
      <c r="F37" s="201"/>
      <c r="G37" s="201"/>
      <c r="H37" s="201"/>
      <c r="I37" s="202"/>
    </row>
    <row r="38" spans="1:9" ht="21.75" customHeight="1" x14ac:dyDescent="0.25">
      <c r="A38" s="203" t="s">
        <v>45</v>
      </c>
      <c r="B38" s="201"/>
      <c r="C38" s="201"/>
      <c r="D38" s="201"/>
      <c r="E38" s="201"/>
      <c r="F38" s="201"/>
      <c r="G38" s="201"/>
      <c r="H38" s="201"/>
      <c r="I38" s="202"/>
    </row>
    <row r="39" spans="1:9" ht="9.75" customHeight="1" x14ac:dyDescent="0.25">
      <c r="A39" s="204"/>
      <c r="B39" s="201"/>
      <c r="C39" s="201"/>
      <c r="D39" s="201"/>
      <c r="E39" s="201"/>
      <c r="F39" s="201"/>
      <c r="G39" s="201"/>
      <c r="H39" s="201"/>
      <c r="I39" s="202"/>
    </row>
    <row r="40" spans="1:9" ht="21.75" customHeight="1" x14ac:dyDescent="0.25">
      <c r="A40" s="205" t="s">
        <v>46</v>
      </c>
      <c r="B40" s="201"/>
      <c r="C40" s="201"/>
      <c r="D40" s="201"/>
      <c r="E40" s="201"/>
      <c r="F40" s="201"/>
      <c r="G40" s="201"/>
      <c r="H40" s="201"/>
      <c r="I40" s="202"/>
    </row>
    <row r="41" spans="1:9" ht="15.75" customHeight="1" x14ac:dyDescent="0.25">
      <c r="A41" s="1">
        <v>1</v>
      </c>
      <c r="B41" s="206" t="s">
        <v>47</v>
      </c>
      <c r="C41" s="201"/>
      <c r="D41" s="201"/>
      <c r="E41" s="201"/>
      <c r="F41" s="201"/>
      <c r="G41" s="202"/>
      <c r="H41" s="207" t="s">
        <v>48</v>
      </c>
      <c r="I41" s="202"/>
    </row>
    <row r="42" spans="1:9" ht="15.75" customHeight="1" x14ac:dyDescent="0.25">
      <c r="A42" s="1">
        <v>2</v>
      </c>
      <c r="B42" s="206" t="s">
        <v>49</v>
      </c>
      <c r="C42" s="201"/>
      <c r="D42" s="201"/>
      <c r="E42" s="201"/>
      <c r="F42" s="201"/>
      <c r="G42" s="202"/>
      <c r="H42" s="208" t="s">
        <v>50</v>
      </c>
      <c r="I42" s="202"/>
    </row>
    <row r="43" spans="1:9" ht="15.75" customHeight="1" x14ac:dyDescent="0.25">
      <c r="A43" s="1">
        <v>3</v>
      </c>
      <c r="B43" s="206" t="s">
        <v>51</v>
      </c>
      <c r="C43" s="201"/>
      <c r="D43" s="201"/>
      <c r="E43" s="201"/>
      <c r="F43" s="201"/>
      <c r="G43" s="202"/>
      <c r="H43" s="207">
        <v>1653.58</v>
      </c>
      <c r="I43" s="202"/>
    </row>
    <row r="44" spans="1:9" ht="15.75" customHeight="1" x14ac:dyDescent="0.25">
      <c r="A44" s="1">
        <v>4</v>
      </c>
      <c r="B44" s="206" t="s">
        <v>52</v>
      </c>
      <c r="C44" s="201"/>
      <c r="D44" s="201"/>
      <c r="E44" s="201"/>
      <c r="F44" s="201"/>
      <c r="G44" s="202"/>
      <c r="H44" s="209" t="s">
        <v>53</v>
      </c>
      <c r="I44" s="202"/>
    </row>
    <row r="45" spans="1:9" ht="15.75" customHeight="1" x14ac:dyDescent="0.25">
      <c r="A45" s="1">
        <v>5</v>
      </c>
      <c r="B45" s="206" t="s">
        <v>54</v>
      </c>
      <c r="C45" s="201"/>
      <c r="D45" s="201"/>
      <c r="E45" s="201"/>
      <c r="F45" s="201"/>
      <c r="G45" s="202"/>
      <c r="H45" s="210" t="s">
        <v>55</v>
      </c>
      <c r="I45" s="202"/>
    </row>
    <row r="46" spans="1:9" ht="9" customHeight="1" x14ac:dyDescent="0.25">
      <c r="A46" s="322"/>
      <c r="B46" s="201"/>
      <c r="C46" s="201"/>
      <c r="D46" s="201"/>
      <c r="E46" s="201"/>
      <c r="F46" s="201"/>
      <c r="G46" s="201"/>
      <c r="H46" s="201"/>
      <c r="I46" s="202"/>
    </row>
    <row r="47" spans="1:9" ht="22.5" customHeight="1" x14ac:dyDescent="0.25">
      <c r="A47" s="226" t="s">
        <v>56</v>
      </c>
      <c r="B47" s="201"/>
      <c r="C47" s="201"/>
      <c r="D47" s="201"/>
      <c r="E47" s="201"/>
      <c r="F47" s="201"/>
      <c r="G47" s="201"/>
      <c r="H47" s="201"/>
      <c r="I47" s="202"/>
    </row>
    <row r="48" spans="1:9" ht="9" customHeight="1" x14ac:dyDescent="0.25">
      <c r="A48" s="261"/>
      <c r="B48" s="201"/>
      <c r="C48" s="201"/>
      <c r="D48" s="201"/>
      <c r="E48" s="201"/>
      <c r="F48" s="201"/>
      <c r="G48" s="201"/>
      <c r="H48" s="201"/>
      <c r="I48" s="202"/>
    </row>
    <row r="49" spans="1:9" ht="22.5" customHeight="1" x14ac:dyDescent="0.25">
      <c r="A49" s="206" t="s">
        <v>57</v>
      </c>
      <c r="B49" s="201"/>
      <c r="C49" s="201"/>
      <c r="D49" s="201"/>
      <c r="E49" s="201"/>
      <c r="F49" s="201"/>
      <c r="G49" s="201"/>
      <c r="H49" s="201"/>
      <c r="I49" s="202"/>
    </row>
    <row r="50" spans="1:9" ht="30" customHeight="1" x14ac:dyDescent="0.25">
      <c r="A50" s="2">
        <v>1</v>
      </c>
      <c r="B50" s="221" t="s">
        <v>58</v>
      </c>
      <c r="C50" s="201"/>
      <c r="D50" s="201"/>
      <c r="E50" s="201"/>
      <c r="F50" s="201"/>
      <c r="G50" s="202"/>
      <c r="H50" s="2" t="s">
        <v>59</v>
      </c>
      <c r="I50" s="2" t="s">
        <v>60</v>
      </c>
    </row>
    <row r="51" spans="1:9" ht="24" customHeight="1" x14ac:dyDescent="0.25">
      <c r="A51" s="1" t="s">
        <v>8</v>
      </c>
      <c r="B51" s="206" t="s">
        <v>61</v>
      </c>
      <c r="C51" s="201"/>
      <c r="D51" s="201"/>
      <c r="E51" s="201"/>
      <c r="F51" s="201"/>
      <c r="G51" s="201"/>
      <c r="H51" s="202"/>
      <c r="I51" s="3">
        <v>1653.58</v>
      </c>
    </row>
    <row r="52" spans="1:9" ht="18.75" customHeight="1" x14ac:dyDescent="0.25">
      <c r="A52" s="1" t="s">
        <v>11</v>
      </c>
      <c r="B52" s="251" t="s">
        <v>62</v>
      </c>
      <c r="C52" s="201"/>
      <c r="D52" s="201"/>
      <c r="E52" s="201"/>
      <c r="F52" s="201"/>
      <c r="G52" s="202"/>
      <c r="H52" s="4">
        <v>0.4</v>
      </c>
      <c r="I52" s="3">
        <f>ROUND(H52*I51,2)</f>
        <v>661.43</v>
      </c>
    </row>
    <row r="53" spans="1:9" ht="15.75" customHeight="1" x14ac:dyDescent="0.25">
      <c r="A53" s="237" t="s">
        <v>63</v>
      </c>
      <c r="B53" s="201"/>
      <c r="C53" s="201"/>
      <c r="D53" s="201"/>
      <c r="E53" s="201"/>
      <c r="F53" s="201"/>
      <c r="G53" s="201"/>
      <c r="H53" s="202"/>
      <c r="I53" s="5">
        <f>SUM(I51:I52)</f>
        <v>2315.0099999999998</v>
      </c>
    </row>
    <row r="54" spans="1:9" ht="9.75" customHeight="1" x14ac:dyDescent="0.25">
      <c r="A54" s="285"/>
      <c r="B54" s="201"/>
      <c r="C54" s="201"/>
      <c r="D54" s="201"/>
      <c r="E54" s="201"/>
      <c r="F54" s="201"/>
      <c r="G54" s="201"/>
      <c r="H54" s="201"/>
      <c r="I54" s="202"/>
    </row>
    <row r="55" spans="1:9" ht="20.25" customHeight="1" x14ac:dyDescent="0.25">
      <c r="A55" s="323" t="s">
        <v>64</v>
      </c>
      <c r="B55" s="201"/>
      <c r="C55" s="201"/>
      <c r="D55" s="201"/>
      <c r="E55" s="201"/>
      <c r="F55" s="201"/>
      <c r="G55" s="201"/>
      <c r="H55" s="201"/>
      <c r="I55" s="202"/>
    </row>
    <row r="56" spans="1:9" ht="10.5" customHeight="1" x14ac:dyDescent="0.25">
      <c r="A56" s="324"/>
      <c r="B56" s="201"/>
      <c r="C56" s="201"/>
      <c r="D56" s="201"/>
      <c r="E56" s="201"/>
      <c r="F56" s="201"/>
      <c r="G56" s="201"/>
      <c r="H56" s="201"/>
      <c r="I56" s="202"/>
    </row>
    <row r="57" spans="1:9" ht="21.75" customHeight="1" x14ac:dyDescent="0.25">
      <c r="A57" s="233" t="s">
        <v>65</v>
      </c>
      <c r="B57" s="201"/>
      <c r="C57" s="201"/>
      <c r="D57" s="201"/>
      <c r="E57" s="201"/>
      <c r="F57" s="201"/>
      <c r="G57" s="201"/>
      <c r="H57" s="201"/>
      <c r="I57" s="202"/>
    </row>
    <row r="58" spans="1:9" ht="25.5" customHeight="1" x14ac:dyDescent="0.25">
      <c r="A58" s="325" t="s">
        <v>66</v>
      </c>
      <c r="B58" s="201"/>
      <c r="C58" s="201"/>
      <c r="D58" s="201"/>
      <c r="E58" s="201"/>
      <c r="F58" s="201"/>
      <c r="G58" s="201"/>
      <c r="H58" s="201"/>
      <c r="I58" s="202"/>
    </row>
    <row r="59" spans="1:9" ht="25.5" customHeight="1" x14ac:dyDescent="0.25">
      <c r="A59" s="6" t="s">
        <v>67</v>
      </c>
      <c r="B59" s="326" t="s">
        <v>68</v>
      </c>
      <c r="C59" s="201"/>
      <c r="D59" s="201"/>
      <c r="E59" s="201"/>
      <c r="F59" s="201"/>
      <c r="G59" s="201"/>
      <c r="H59" s="202"/>
      <c r="I59" s="1" t="s">
        <v>69</v>
      </c>
    </row>
    <row r="60" spans="1:9" ht="28.5" customHeight="1" x14ac:dyDescent="0.25">
      <c r="A60" s="6" t="s">
        <v>8</v>
      </c>
      <c r="B60" s="206" t="s">
        <v>70</v>
      </c>
      <c r="C60" s="201"/>
      <c r="D60" s="201"/>
      <c r="E60" s="201"/>
      <c r="F60" s="201"/>
      <c r="G60" s="202"/>
      <c r="H60" s="8">
        <v>8.3299999999999999E-2</v>
      </c>
      <c r="I60" s="9">
        <f t="shared" ref="I60:I61" si="0">ROUND($I$53*H60,2)</f>
        <v>192.84</v>
      </c>
    </row>
    <row r="61" spans="1:9" ht="47.25" customHeight="1" x14ac:dyDescent="0.25">
      <c r="A61" s="10" t="s">
        <v>11</v>
      </c>
      <c r="B61" s="223" t="s">
        <v>71</v>
      </c>
      <c r="C61" s="201"/>
      <c r="D61" s="201"/>
      <c r="E61" s="201"/>
      <c r="F61" s="201"/>
      <c r="G61" s="202"/>
      <c r="H61" s="11">
        <v>0.121</v>
      </c>
      <c r="I61" s="12">
        <f t="shared" si="0"/>
        <v>280.12</v>
      </c>
    </row>
    <row r="62" spans="1:9" ht="19.5" customHeight="1" x14ac:dyDescent="0.25">
      <c r="A62" s="224" t="s">
        <v>72</v>
      </c>
      <c r="B62" s="201"/>
      <c r="C62" s="201"/>
      <c r="D62" s="201"/>
      <c r="E62" s="201"/>
      <c r="F62" s="201"/>
      <c r="G62" s="201"/>
      <c r="H62" s="202"/>
      <c r="I62" s="13">
        <f>SUM(I60+I61)</f>
        <v>472.96000000000004</v>
      </c>
    </row>
    <row r="63" spans="1:9" ht="85.5" customHeight="1" x14ac:dyDescent="0.25">
      <c r="A63" s="225" t="s">
        <v>73</v>
      </c>
      <c r="B63" s="201"/>
      <c r="C63" s="201"/>
      <c r="D63" s="201"/>
      <c r="E63" s="201"/>
      <c r="F63" s="201"/>
      <c r="G63" s="201"/>
      <c r="H63" s="201"/>
      <c r="I63" s="202"/>
    </row>
    <row r="64" spans="1:9" ht="32.25" customHeight="1" x14ac:dyDescent="0.25">
      <c r="A64" s="203" t="s">
        <v>74</v>
      </c>
      <c r="B64" s="201"/>
      <c r="C64" s="201"/>
      <c r="D64" s="201"/>
      <c r="E64" s="201"/>
      <c r="F64" s="201"/>
      <c r="G64" s="201"/>
      <c r="H64" s="201"/>
      <c r="I64" s="202"/>
    </row>
    <row r="65" spans="1:9" ht="30" customHeight="1" x14ac:dyDescent="0.25">
      <c r="A65" s="14" t="s">
        <v>75</v>
      </c>
      <c r="B65" s="221" t="s">
        <v>76</v>
      </c>
      <c r="C65" s="201"/>
      <c r="D65" s="201"/>
      <c r="E65" s="201"/>
      <c r="F65" s="201"/>
      <c r="G65" s="202"/>
      <c r="H65" s="15" t="s">
        <v>77</v>
      </c>
      <c r="I65" s="15" t="s">
        <v>78</v>
      </c>
    </row>
    <row r="66" spans="1:9" ht="15.75" customHeight="1" x14ac:dyDescent="0.25">
      <c r="A66" s="7" t="s">
        <v>8</v>
      </c>
      <c r="B66" s="206" t="s">
        <v>79</v>
      </c>
      <c r="C66" s="201"/>
      <c r="D66" s="201"/>
      <c r="E66" s="201"/>
      <c r="F66" s="201"/>
      <c r="G66" s="202"/>
      <c r="H66" s="16">
        <v>0.2</v>
      </c>
      <c r="I66" s="17">
        <f t="shared" ref="I66:I73" si="1">ROUND(($I$53+$I$62)*H66,2)</f>
        <v>557.59</v>
      </c>
    </row>
    <row r="67" spans="1:9" ht="15.75" customHeight="1" x14ac:dyDescent="0.25">
      <c r="A67" s="7" t="s">
        <v>11</v>
      </c>
      <c r="B67" s="206" t="s">
        <v>80</v>
      </c>
      <c r="C67" s="201"/>
      <c r="D67" s="201"/>
      <c r="E67" s="201"/>
      <c r="F67" s="201"/>
      <c r="G67" s="202"/>
      <c r="H67" s="16">
        <v>2.5000000000000001E-2</v>
      </c>
      <c r="I67" s="17">
        <f t="shared" si="1"/>
        <v>69.7</v>
      </c>
    </row>
    <row r="68" spans="1:9" ht="57.75" customHeight="1" x14ac:dyDescent="0.25">
      <c r="A68" s="7" t="s">
        <v>14</v>
      </c>
      <c r="B68" s="206" t="s">
        <v>81</v>
      </c>
      <c r="C68" s="202"/>
      <c r="D68" s="18" t="s">
        <v>82</v>
      </c>
      <c r="E68" s="19">
        <v>0.03</v>
      </c>
      <c r="F68" s="18" t="s">
        <v>83</v>
      </c>
      <c r="G68" s="20">
        <v>1</v>
      </c>
      <c r="H68" s="21">
        <f>ROUND((E68*G68),6)</f>
        <v>0.03</v>
      </c>
      <c r="I68" s="17">
        <f t="shared" si="1"/>
        <v>83.64</v>
      </c>
    </row>
    <row r="69" spans="1:9" ht="15.75" customHeight="1" x14ac:dyDescent="0.25">
      <c r="A69" s="7" t="s">
        <v>17</v>
      </c>
      <c r="B69" s="206" t="s">
        <v>84</v>
      </c>
      <c r="C69" s="201"/>
      <c r="D69" s="201"/>
      <c r="E69" s="201"/>
      <c r="F69" s="201"/>
      <c r="G69" s="202"/>
      <c r="H69" s="16">
        <v>1.4999999999999999E-2</v>
      </c>
      <c r="I69" s="17">
        <f t="shared" si="1"/>
        <v>41.82</v>
      </c>
    </row>
    <row r="70" spans="1:9" ht="15.75" customHeight="1" x14ac:dyDescent="0.25">
      <c r="A70" s="7" t="s">
        <v>85</v>
      </c>
      <c r="B70" s="206" t="s">
        <v>86</v>
      </c>
      <c r="C70" s="201"/>
      <c r="D70" s="201"/>
      <c r="E70" s="201"/>
      <c r="F70" s="201"/>
      <c r="G70" s="202"/>
      <c r="H70" s="16">
        <v>0.01</v>
      </c>
      <c r="I70" s="17">
        <f t="shared" si="1"/>
        <v>27.88</v>
      </c>
    </row>
    <row r="71" spans="1:9" ht="15.75" customHeight="1" x14ac:dyDescent="0.25">
      <c r="A71" s="7" t="s">
        <v>87</v>
      </c>
      <c r="B71" s="206" t="s">
        <v>88</v>
      </c>
      <c r="C71" s="201"/>
      <c r="D71" s="201"/>
      <c r="E71" s="201"/>
      <c r="F71" s="201"/>
      <c r="G71" s="202"/>
      <c r="H71" s="16">
        <v>6.0000000000000001E-3</v>
      </c>
      <c r="I71" s="17">
        <f t="shared" si="1"/>
        <v>16.73</v>
      </c>
    </row>
    <row r="72" spans="1:9" ht="20.25" customHeight="1" x14ac:dyDescent="0.25">
      <c r="A72" s="7" t="s">
        <v>89</v>
      </c>
      <c r="B72" s="206" t="s">
        <v>90</v>
      </c>
      <c r="C72" s="201"/>
      <c r="D72" s="201"/>
      <c r="E72" s="201"/>
      <c r="F72" s="201"/>
      <c r="G72" s="202"/>
      <c r="H72" s="16">
        <v>2E-3</v>
      </c>
      <c r="I72" s="17">
        <f t="shared" si="1"/>
        <v>5.58</v>
      </c>
    </row>
    <row r="73" spans="1:9" ht="15.75" customHeight="1" x14ac:dyDescent="0.25">
      <c r="A73" s="7" t="s">
        <v>91</v>
      </c>
      <c r="B73" s="206" t="s">
        <v>92</v>
      </c>
      <c r="C73" s="201"/>
      <c r="D73" s="201"/>
      <c r="E73" s="201"/>
      <c r="F73" s="201"/>
      <c r="G73" s="202"/>
      <c r="H73" s="16">
        <v>0.08</v>
      </c>
      <c r="I73" s="17">
        <f t="shared" si="1"/>
        <v>223.04</v>
      </c>
    </row>
    <row r="74" spans="1:9" ht="15.75" customHeight="1" x14ac:dyDescent="0.25">
      <c r="A74" s="224" t="s">
        <v>72</v>
      </c>
      <c r="B74" s="201"/>
      <c r="C74" s="201"/>
      <c r="D74" s="201"/>
      <c r="E74" s="201"/>
      <c r="F74" s="201"/>
      <c r="G74" s="202"/>
      <c r="H74" s="22">
        <f t="shared" ref="H74:I74" si="2">SUM(H66:H73)</f>
        <v>0.36800000000000005</v>
      </c>
      <c r="I74" s="23">
        <f t="shared" si="2"/>
        <v>1025.9800000000002</v>
      </c>
    </row>
    <row r="75" spans="1:9" ht="8.25" customHeight="1" x14ac:dyDescent="0.25">
      <c r="A75" s="24"/>
      <c r="B75" s="25"/>
      <c r="C75" s="25"/>
      <c r="D75" s="25"/>
      <c r="E75" s="25"/>
      <c r="F75" s="25"/>
      <c r="G75" s="25"/>
      <c r="H75" s="26"/>
      <c r="I75" s="27"/>
    </row>
    <row r="76" spans="1:9" ht="35.25" customHeight="1" x14ac:dyDescent="0.25">
      <c r="A76" s="226" t="s">
        <v>93</v>
      </c>
      <c r="B76" s="201"/>
      <c r="C76" s="201"/>
      <c r="D76" s="201"/>
      <c r="E76" s="201"/>
      <c r="F76" s="201"/>
      <c r="G76" s="201"/>
      <c r="H76" s="201"/>
      <c r="I76" s="202"/>
    </row>
    <row r="77" spans="1:9" ht="7.5" customHeight="1" x14ac:dyDescent="0.25">
      <c r="A77" s="200"/>
      <c r="B77" s="201"/>
      <c r="C77" s="201"/>
      <c r="D77" s="201"/>
      <c r="E77" s="201"/>
      <c r="F77" s="201"/>
      <c r="G77" s="201"/>
      <c r="H77" s="201"/>
      <c r="I77" s="202"/>
    </row>
    <row r="78" spans="1:9" ht="18" customHeight="1" x14ac:dyDescent="0.25">
      <c r="A78" s="233" t="s">
        <v>94</v>
      </c>
      <c r="B78" s="201"/>
      <c r="C78" s="201"/>
      <c r="D78" s="201"/>
      <c r="E78" s="201"/>
      <c r="F78" s="201"/>
      <c r="G78" s="201"/>
      <c r="H78" s="201"/>
      <c r="I78" s="202"/>
    </row>
    <row r="79" spans="1:9" ht="18.75" customHeight="1" x14ac:dyDescent="0.25">
      <c r="A79" s="28" t="s">
        <v>95</v>
      </c>
      <c r="B79" s="221" t="s">
        <v>96</v>
      </c>
      <c r="C79" s="201"/>
      <c r="D79" s="201"/>
      <c r="E79" s="201"/>
      <c r="F79" s="201"/>
      <c r="G79" s="201"/>
      <c r="H79" s="202"/>
      <c r="I79" s="15" t="s">
        <v>69</v>
      </c>
    </row>
    <row r="80" spans="1:9" ht="15.75" customHeight="1" x14ac:dyDescent="0.25">
      <c r="A80" s="6" t="s">
        <v>8</v>
      </c>
      <c r="B80" s="206" t="s">
        <v>97</v>
      </c>
      <c r="C80" s="201"/>
      <c r="D80" s="201"/>
      <c r="E80" s="201"/>
      <c r="F80" s="201"/>
      <c r="G80" s="201"/>
      <c r="H80" s="201"/>
      <c r="I80" s="17">
        <f>IF(ROUND((H83*H81*H82)-(I51*H84),2)&lt;0,0,ROUND((H83*H81*H82)-(I51*H84),2))</f>
        <v>72.39</v>
      </c>
    </row>
    <row r="81" spans="1:9" ht="22.5" customHeight="1" x14ac:dyDescent="0.25">
      <c r="A81" s="6"/>
      <c r="B81" s="206" t="s">
        <v>98</v>
      </c>
      <c r="C81" s="201"/>
      <c r="D81" s="201"/>
      <c r="E81" s="201"/>
      <c r="F81" s="201"/>
      <c r="G81" s="201"/>
      <c r="H81" s="29">
        <v>3.9</v>
      </c>
      <c r="I81" s="30" t="s">
        <v>99</v>
      </c>
    </row>
    <row r="82" spans="1:9" ht="17.25" customHeight="1" x14ac:dyDescent="0.25">
      <c r="A82" s="6"/>
      <c r="B82" s="206" t="s">
        <v>100</v>
      </c>
      <c r="C82" s="201"/>
      <c r="D82" s="201"/>
      <c r="E82" s="201"/>
      <c r="F82" s="201"/>
      <c r="G82" s="202"/>
      <c r="H82" s="31">
        <v>2</v>
      </c>
      <c r="I82" s="30"/>
    </row>
    <row r="83" spans="1:9" ht="15" customHeight="1" x14ac:dyDescent="0.25">
      <c r="A83" s="6"/>
      <c r="B83" s="206" t="s">
        <v>101</v>
      </c>
      <c r="C83" s="201"/>
      <c r="D83" s="201"/>
      <c r="E83" s="201"/>
      <c r="F83" s="201"/>
      <c r="G83" s="202"/>
      <c r="H83" s="32">
        <v>22</v>
      </c>
      <c r="I83" s="30"/>
    </row>
    <row r="84" spans="1:9" ht="27" customHeight="1" x14ac:dyDescent="0.25">
      <c r="A84" s="6"/>
      <c r="B84" s="234" t="s">
        <v>102</v>
      </c>
      <c r="C84" s="235"/>
      <c r="D84" s="235"/>
      <c r="E84" s="235"/>
      <c r="F84" s="235"/>
      <c r="G84" s="235"/>
      <c r="H84" s="34">
        <v>0.06</v>
      </c>
      <c r="I84" s="35"/>
    </row>
    <row r="85" spans="1:9" ht="15.75" customHeight="1" x14ac:dyDescent="0.25">
      <c r="A85" s="6" t="s">
        <v>11</v>
      </c>
      <c r="B85" s="206" t="s">
        <v>103</v>
      </c>
      <c r="C85" s="201"/>
      <c r="D85" s="201"/>
      <c r="E85" s="201"/>
      <c r="F85" s="201"/>
      <c r="G85" s="201"/>
      <c r="H85" s="201"/>
      <c r="I85" s="17">
        <f>ROUND(H87*H86*(1-H88),2)</f>
        <v>452.98</v>
      </c>
    </row>
    <row r="86" spans="1:9" ht="15.75" customHeight="1" x14ac:dyDescent="0.25">
      <c r="A86" s="6"/>
      <c r="B86" s="206" t="s">
        <v>104</v>
      </c>
      <c r="C86" s="201"/>
      <c r="D86" s="201"/>
      <c r="E86" s="201"/>
      <c r="F86" s="201"/>
      <c r="G86" s="201"/>
      <c r="H86" s="36">
        <v>25.42</v>
      </c>
      <c r="I86" s="30" t="s">
        <v>99</v>
      </c>
    </row>
    <row r="87" spans="1:9" ht="15.75" customHeight="1" x14ac:dyDescent="0.25">
      <c r="A87" s="37"/>
      <c r="B87" s="206" t="s">
        <v>105</v>
      </c>
      <c r="C87" s="201"/>
      <c r="D87" s="201"/>
      <c r="E87" s="201"/>
      <c r="F87" s="201"/>
      <c r="G87" s="201"/>
      <c r="H87" s="32">
        <v>22</v>
      </c>
      <c r="I87" s="30"/>
    </row>
    <row r="88" spans="1:9" ht="15.75" customHeight="1" x14ac:dyDescent="0.25">
      <c r="A88" s="37"/>
      <c r="B88" s="236" t="s">
        <v>106</v>
      </c>
      <c r="C88" s="201"/>
      <c r="D88" s="201"/>
      <c r="E88" s="201"/>
      <c r="F88" s="201"/>
      <c r="G88" s="201"/>
      <c r="H88" s="38">
        <v>0.19</v>
      </c>
      <c r="I88" s="30"/>
    </row>
    <row r="89" spans="1:9" ht="30.75" customHeight="1" x14ac:dyDescent="0.25">
      <c r="A89" s="10" t="s">
        <v>14</v>
      </c>
      <c r="B89" s="232" t="s">
        <v>107</v>
      </c>
      <c r="C89" s="201"/>
      <c r="D89" s="201"/>
      <c r="E89" s="201"/>
      <c r="F89" s="201"/>
      <c r="G89" s="201"/>
      <c r="H89" s="202"/>
      <c r="I89" s="39">
        <v>24.1</v>
      </c>
    </row>
    <row r="90" spans="1:9" ht="15.75" customHeight="1" x14ac:dyDescent="0.25">
      <c r="A90" s="40"/>
      <c r="B90" s="224" t="s">
        <v>63</v>
      </c>
      <c r="C90" s="201"/>
      <c r="D90" s="201"/>
      <c r="E90" s="201"/>
      <c r="F90" s="201"/>
      <c r="G90" s="201"/>
      <c r="H90" s="202"/>
      <c r="I90" s="23">
        <f>SUM(I80:I89)</f>
        <v>549.47</v>
      </c>
    </row>
    <row r="91" spans="1:9" ht="7.5" customHeight="1" x14ac:dyDescent="0.25">
      <c r="A91" s="200"/>
      <c r="B91" s="201"/>
      <c r="C91" s="201"/>
      <c r="D91" s="201"/>
      <c r="E91" s="201"/>
      <c r="F91" s="201"/>
      <c r="G91" s="201"/>
      <c r="H91" s="201"/>
      <c r="I91" s="202"/>
    </row>
    <row r="92" spans="1:9" ht="36" customHeight="1" x14ac:dyDescent="0.25">
      <c r="A92" s="226" t="s">
        <v>108</v>
      </c>
      <c r="B92" s="201"/>
      <c r="C92" s="201"/>
      <c r="D92" s="201"/>
      <c r="E92" s="201"/>
      <c r="F92" s="201"/>
      <c r="G92" s="201"/>
      <c r="H92" s="201"/>
      <c r="I92" s="202"/>
    </row>
    <row r="93" spans="1:9" ht="7.5" customHeight="1" x14ac:dyDescent="0.25">
      <c r="A93" s="204"/>
      <c r="B93" s="201"/>
      <c r="C93" s="201"/>
      <c r="D93" s="201"/>
      <c r="E93" s="201"/>
      <c r="F93" s="201"/>
      <c r="G93" s="201"/>
      <c r="H93" s="201"/>
      <c r="I93" s="202"/>
    </row>
    <row r="94" spans="1:9" ht="21.75" customHeight="1" x14ac:dyDescent="0.25">
      <c r="A94" s="203" t="s">
        <v>109</v>
      </c>
      <c r="B94" s="201"/>
      <c r="C94" s="201"/>
      <c r="D94" s="201"/>
      <c r="E94" s="201"/>
      <c r="F94" s="201"/>
      <c r="G94" s="201"/>
      <c r="H94" s="201"/>
      <c r="I94" s="202"/>
    </row>
    <row r="95" spans="1:9" ht="23.25" customHeight="1" x14ac:dyDescent="0.25">
      <c r="A95" s="15">
        <v>2</v>
      </c>
      <c r="B95" s="221" t="s">
        <v>110</v>
      </c>
      <c r="C95" s="201"/>
      <c r="D95" s="201"/>
      <c r="E95" s="201"/>
      <c r="F95" s="201"/>
      <c r="G95" s="201"/>
      <c r="H95" s="202"/>
      <c r="I95" s="15" t="s">
        <v>69</v>
      </c>
    </row>
    <row r="96" spans="1:9" ht="21.75" customHeight="1" x14ac:dyDescent="0.25">
      <c r="A96" s="1" t="s">
        <v>67</v>
      </c>
      <c r="B96" s="206" t="s">
        <v>111</v>
      </c>
      <c r="C96" s="201"/>
      <c r="D96" s="201"/>
      <c r="E96" s="201"/>
      <c r="F96" s="201"/>
      <c r="G96" s="201"/>
      <c r="H96" s="202"/>
      <c r="I96" s="9">
        <f>I62</f>
        <v>472.96000000000004</v>
      </c>
    </row>
    <row r="97" spans="1:9" ht="18.75" customHeight="1" x14ac:dyDescent="0.25">
      <c r="A97" s="1" t="s">
        <v>75</v>
      </c>
      <c r="B97" s="206" t="s">
        <v>76</v>
      </c>
      <c r="C97" s="201"/>
      <c r="D97" s="201"/>
      <c r="E97" s="201"/>
      <c r="F97" s="201"/>
      <c r="G97" s="201"/>
      <c r="H97" s="202"/>
      <c r="I97" s="9">
        <f>I74</f>
        <v>1025.9800000000002</v>
      </c>
    </row>
    <row r="98" spans="1:9" ht="21.75" customHeight="1" x14ac:dyDescent="0.25">
      <c r="A98" s="1" t="s">
        <v>95</v>
      </c>
      <c r="B98" s="206" t="s">
        <v>96</v>
      </c>
      <c r="C98" s="201"/>
      <c r="D98" s="201"/>
      <c r="E98" s="201"/>
      <c r="F98" s="201"/>
      <c r="G98" s="201"/>
      <c r="H98" s="202"/>
      <c r="I98" s="9">
        <f>I90</f>
        <v>549.47</v>
      </c>
    </row>
    <row r="99" spans="1:9" ht="21.75" customHeight="1" x14ac:dyDescent="0.25">
      <c r="A99" s="237" t="s">
        <v>72</v>
      </c>
      <c r="B99" s="201"/>
      <c r="C99" s="201"/>
      <c r="D99" s="201"/>
      <c r="E99" s="201"/>
      <c r="F99" s="201"/>
      <c r="G99" s="201"/>
      <c r="H99" s="202"/>
      <c r="I99" s="41">
        <f>SUM(I96+I97+I98)</f>
        <v>2048.4100000000003</v>
      </c>
    </row>
    <row r="100" spans="1:9" ht="12" customHeight="1" x14ac:dyDescent="0.25">
      <c r="A100" s="238"/>
      <c r="B100" s="201"/>
      <c r="C100" s="201"/>
      <c r="D100" s="201"/>
      <c r="E100" s="201"/>
      <c r="F100" s="201"/>
      <c r="G100" s="201"/>
      <c r="H100" s="201"/>
      <c r="I100" s="202"/>
    </row>
    <row r="101" spans="1:9" ht="26.25" customHeight="1" x14ac:dyDescent="0.25">
      <c r="A101" s="233" t="s">
        <v>112</v>
      </c>
      <c r="B101" s="201"/>
      <c r="C101" s="201"/>
      <c r="D101" s="201"/>
      <c r="E101" s="201"/>
      <c r="F101" s="201"/>
      <c r="G101" s="201"/>
      <c r="H101" s="201"/>
      <c r="I101" s="202"/>
    </row>
    <row r="102" spans="1:9" ht="28.5" customHeight="1" x14ac:dyDescent="0.25">
      <c r="A102" s="28">
        <v>3</v>
      </c>
      <c r="B102" s="227" t="s">
        <v>113</v>
      </c>
      <c r="C102" s="201"/>
      <c r="D102" s="201"/>
      <c r="E102" s="201"/>
      <c r="F102" s="201"/>
      <c r="G102" s="201"/>
      <c r="H102" s="202"/>
      <c r="I102" s="28" t="s">
        <v>114</v>
      </c>
    </row>
    <row r="103" spans="1:9" ht="49.5" customHeight="1" x14ac:dyDescent="0.25">
      <c r="A103" s="6" t="s">
        <v>8</v>
      </c>
      <c r="B103" s="206" t="s">
        <v>115</v>
      </c>
      <c r="C103" s="201"/>
      <c r="D103" s="201"/>
      <c r="E103" s="201"/>
      <c r="F103" s="201"/>
      <c r="G103" s="201"/>
      <c r="H103" s="202"/>
      <c r="I103" s="17">
        <f>ROUND((($I$53/12)+($I$60/12)+($I$53*0.121/12))*(30/30)*0.05,2)</f>
        <v>11.62</v>
      </c>
    </row>
    <row r="104" spans="1:9" ht="15.75" customHeight="1" x14ac:dyDescent="0.25">
      <c r="A104" s="6" t="s">
        <v>11</v>
      </c>
      <c r="B104" s="239" t="s">
        <v>116</v>
      </c>
      <c r="C104" s="201"/>
      <c r="D104" s="201"/>
      <c r="E104" s="201"/>
      <c r="F104" s="201"/>
      <c r="G104" s="201"/>
      <c r="H104" s="202"/>
      <c r="I104" s="17">
        <f>ROUND($I$103*H73,2)</f>
        <v>0.93</v>
      </c>
    </row>
    <row r="105" spans="1:9" ht="36.75" customHeight="1" x14ac:dyDescent="0.25">
      <c r="A105" s="6" t="s">
        <v>14</v>
      </c>
      <c r="B105" s="206" t="s">
        <v>117</v>
      </c>
      <c r="C105" s="201"/>
      <c r="D105" s="201"/>
      <c r="E105" s="201"/>
      <c r="F105" s="201"/>
      <c r="G105" s="201"/>
      <c r="H105" s="202"/>
      <c r="I105" s="17">
        <f>ROUND(((($I$53/30)*7)/$H$10)*(30/30),2)</f>
        <v>22.51</v>
      </c>
    </row>
    <row r="106" spans="1:9" ht="15.75" customHeight="1" x14ac:dyDescent="0.25">
      <c r="A106" s="6" t="s">
        <v>17</v>
      </c>
      <c r="B106" s="239" t="s">
        <v>118</v>
      </c>
      <c r="C106" s="201"/>
      <c r="D106" s="201"/>
      <c r="E106" s="201"/>
      <c r="F106" s="201"/>
      <c r="G106" s="201"/>
      <c r="H106" s="202"/>
      <c r="I106" s="17">
        <f>ROUND($H$74*I105,2)</f>
        <v>8.2799999999999994</v>
      </c>
    </row>
    <row r="107" spans="1:9" ht="35.25" customHeight="1" x14ac:dyDescent="0.25">
      <c r="A107" s="6" t="s">
        <v>85</v>
      </c>
      <c r="B107" s="206" t="s">
        <v>119</v>
      </c>
      <c r="C107" s="201"/>
      <c r="D107" s="201"/>
      <c r="E107" s="201"/>
      <c r="F107" s="201"/>
      <c r="G107" s="202"/>
      <c r="H107" s="42">
        <v>0.04</v>
      </c>
      <c r="I107" s="17">
        <f>ROUND($I$53*H107,2)</f>
        <v>92.6</v>
      </c>
    </row>
    <row r="108" spans="1:9" ht="15.75" customHeight="1" x14ac:dyDescent="0.25">
      <c r="A108" s="224" t="s">
        <v>72</v>
      </c>
      <c r="B108" s="201"/>
      <c r="C108" s="201"/>
      <c r="D108" s="201"/>
      <c r="E108" s="201"/>
      <c r="F108" s="201"/>
      <c r="G108" s="201"/>
      <c r="H108" s="202"/>
      <c r="I108" s="23">
        <f>SUM(I103:I107)</f>
        <v>135.94</v>
      </c>
    </row>
    <row r="109" spans="1:9" ht="10.5" customHeight="1" x14ac:dyDescent="0.25">
      <c r="A109" s="227"/>
      <c r="B109" s="201"/>
      <c r="C109" s="201"/>
      <c r="D109" s="201"/>
      <c r="E109" s="201"/>
      <c r="F109" s="201"/>
      <c r="G109" s="201"/>
      <c r="H109" s="201"/>
      <c r="I109" s="202"/>
    </row>
    <row r="110" spans="1:9" ht="57" customHeight="1" x14ac:dyDescent="0.25">
      <c r="A110" s="226" t="s">
        <v>120</v>
      </c>
      <c r="B110" s="201"/>
      <c r="C110" s="201"/>
      <c r="D110" s="201"/>
      <c r="E110" s="201"/>
      <c r="F110" s="201"/>
      <c r="G110" s="201"/>
      <c r="H110" s="201"/>
      <c r="I110" s="202"/>
    </row>
    <row r="111" spans="1:9" ht="10.5" customHeight="1" x14ac:dyDescent="0.25">
      <c r="A111" s="227"/>
      <c r="B111" s="201"/>
      <c r="C111" s="201"/>
      <c r="D111" s="201"/>
      <c r="E111" s="201"/>
      <c r="F111" s="201"/>
      <c r="G111" s="201"/>
      <c r="H111" s="201"/>
      <c r="I111" s="202"/>
    </row>
    <row r="112" spans="1:9" ht="24" customHeight="1" x14ac:dyDescent="0.25">
      <c r="A112" s="203" t="s">
        <v>121</v>
      </c>
      <c r="B112" s="201"/>
      <c r="C112" s="201"/>
      <c r="D112" s="201"/>
      <c r="E112" s="201"/>
      <c r="F112" s="201"/>
      <c r="G112" s="201"/>
      <c r="H112" s="201"/>
      <c r="I112" s="202"/>
    </row>
    <row r="113" spans="1:9" ht="27" customHeight="1" x14ac:dyDescent="0.25">
      <c r="A113" s="226" t="s">
        <v>122</v>
      </c>
      <c r="B113" s="201"/>
      <c r="C113" s="201"/>
      <c r="D113" s="201"/>
      <c r="E113" s="201"/>
      <c r="F113" s="201"/>
      <c r="G113" s="201"/>
      <c r="H113" s="201"/>
      <c r="I113" s="202"/>
    </row>
    <row r="114" spans="1:9" ht="61.5" customHeight="1" x14ac:dyDescent="0.25">
      <c r="A114" s="228" t="s">
        <v>123</v>
      </c>
      <c r="B114" s="201"/>
      <c r="C114" s="201"/>
      <c r="D114" s="201"/>
      <c r="E114" s="201"/>
      <c r="F114" s="201"/>
      <c r="G114" s="201"/>
      <c r="H114" s="201"/>
      <c r="I114" s="202"/>
    </row>
    <row r="115" spans="1:9" ht="8.25" customHeight="1" x14ac:dyDescent="0.25">
      <c r="A115" s="229"/>
      <c r="B115" s="201"/>
      <c r="C115" s="201"/>
      <c r="D115" s="201"/>
      <c r="E115" s="201"/>
      <c r="F115" s="201"/>
      <c r="G115" s="201"/>
      <c r="H115" s="201"/>
      <c r="I115" s="202"/>
    </row>
    <row r="116" spans="1:9" ht="57" customHeight="1" x14ac:dyDescent="0.25">
      <c r="A116" s="43" t="s">
        <v>124</v>
      </c>
      <c r="B116" s="44">
        <f>I53</f>
        <v>2315.0099999999998</v>
      </c>
      <c r="C116" s="45"/>
      <c r="D116" s="43" t="s">
        <v>125</v>
      </c>
      <c r="E116" s="44">
        <f>I99-I80-I85</f>
        <v>1523.0400000000002</v>
      </c>
      <c r="F116" s="46"/>
      <c r="G116" s="43" t="s">
        <v>126</v>
      </c>
      <c r="H116" s="44">
        <f>I108</f>
        <v>135.94</v>
      </c>
      <c r="I116" s="47">
        <f>B116+E116+H116</f>
        <v>3973.9900000000002</v>
      </c>
    </row>
    <row r="117" spans="1:9" ht="7.5" customHeight="1" x14ac:dyDescent="0.25">
      <c r="A117" s="230"/>
      <c r="B117" s="201"/>
      <c r="C117" s="201"/>
      <c r="D117" s="201"/>
      <c r="E117" s="201"/>
      <c r="F117" s="201"/>
      <c r="G117" s="201"/>
      <c r="H117" s="201"/>
      <c r="I117" s="202"/>
    </row>
    <row r="118" spans="1:9" ht="22.5" customHeight="1" x14ac:dyDescent="0.25">
      <c r="A118" s="203" t="s">
        <v>127</v>
      </c>
      <c r="B118" s="201"/>
      <c r="C118" s="201"/>
      <c r="D118" s="201"/>
      <c r="E118" s="201"/>
      <c r="F118" s="201"/>
      <c r="G118" s="201"/>
      <c r="H118" s="201"/>
      <c r="I118" s="202"/>
    </row>
    <row r="119" spans="1:9" ht="15.75" customHeight="1" x14ac:dyDescent="0.25">
      <c r="A119" s="48" t="s">
        <v>128</v>
      </c>
      <c r="B119" s="227" t="s">
        <v>129</v>
      </c>
      <c r="C119" s="201"/>
      <c r="D119" s="201"/>
      <c r="E119" s="201"/>
      <c r="F119" s="201"/>
      <c r="G119" s="201"/>
      <c r="H119" s="202"/>
      <c r="I119" s="48" t="s">
        <v>69</v>
      </c>
    </row>
    <row r="120" spans="1:9" ht="54" customHeight="1" x14ac:dyDescent="0.25">
      <c r="A120" s="6" t="s">
        <v>8</v>
      </c>
      <c r="B120" s="231" t="s">
        <v>130</v>
      </c>
      <c r="C120" s="201"/>
      <c r="D120" s="201"/>
      <c r="E120" s="201"/>
      <c r="F120" s="201"/>
      <c r="G120" s="201"/>
      <c r="H120" s="202"/>
      <c r="I120" s="17">
        <f>ROUND(I116/12,2)</f>
        <v>331.17</v>
      </c>
    </row>
    <row r="121" spans="1:9" ht="26.25" customHeight="1" x14ac:dyDescent="0.25">
      <c r="A121" s="6" t="s">
        <v>11</v>
      </c>
      <c r="B121" s="231" t="s">
        <v>131</v>
      </c>
      <c r="C121" s="201"/>
      <c r="D121" s="201"/>
      <c r="E121" s="201"/>
      <c r="F121" s="201"/>
      <c r="G121" s="201"/>
      <c r="H121" s="202"/>
      <c r="I121" s="17">
        <f>ROUND((($I$116/30)*1)/12,2)</f>
        <v>11.04</v>
      </c>
    </row>
    <row r="122" spans="1:9" ht="26.25" customHeight="1" x14ac:dyDescent="0.25">
      <c r="A122" s="6" t="s">
        <v>14</v>
      </c>
      <c r="B122" s="231" t="s">
        <v>132</v>
      </c>
      <c r="C122" s="201"/>
      <c r="D122" s="201"/>
      <c r="E122" s="201"/>
      <c r="F122" s="201"/>
      <c r="G122" s="201"/>
      <c r="H122" s="202"/>
      <c r="I122" s="17">
        <f>ROUND((($I$116/30)*5)/12*0.015,2)</f>
        <v>0.83</v>
      </c>
    </row>
    <row r="123" spans="1:9" ht="36" customHeight="1" x14ac:dyDescent="0.25">
      <c r="A123" s="10" t="s">
        <v>17</v>
      </c>
      <c r="B123" s="232" t="s">
        <v>133</v>
      </c>
      <c r="C123" s="201"/>
      <c r="D123" s="201"/>
      <c r="E123" s="201"/>
      <c r="F123" s="201"/>
      <c r="G123" s="201"/>
      <c r="H123" s="202"/>
      <c r="I123" s="49">
        <f>ROUND((((($I$116)/30)*0.97)/12),2)</f>
        <v>10.71</v>
      </c>
    </row>
    <row r="124" spans="1:9" ht="87.75" customHeight="1" x14ac:dyDescent="0.25">
      <c r="A124" s="6" t="s">
        <v>85</v>
      </c>
      <c r="B124" s="231" t="s">
        <v>134</v>
      </c>
      <c r="C124" s="201"/>
      <c r="D124" s="201"/>
      <c r="E124" s="201"/>
      <c r="F124" s="201"/>
      <c r="G124" s="201"/>
      <c r="H124" s="202"/>
      <c r="I124" s="17">
        <f>ROUND(((((B116*0.121)+(H74)*(B116*0.121))*(4/12)))*0.02,2)+ROUND(((H73*B116+H74*I60+I90-I80-I85+I108)*4/12)*0.02,2)</f>
        <v>5.32</v>
      </c>
    </row>
    <row r="125" spans="1:9" ht="39.75" customHeight="1" x14ac:dyDescent="0.25">
      <c r="A125" s="50" t="s">
        <v>87</v>
      </c>
      <c r="B125" s="206" t="s">
        <v>135</v>
      </c>
      <c r="C125" s="201"/>
      <c r="D125" s="201"/>
      <c r="E125" s="201"/>
      <c r="F125" s="201"/>
      <c r="G125" s="201"/>
      <c r="H125" s="202"/>
      <c r="I125" s="17">
        <f>ROUND((((($I$116)/30)*3)/12),2)</f>
        <v>33.119999999999997</v>
      </c>
    </row>
    <row r="126" spans="1:9" ht="15.75" customHeight="1" x14ac:dyDescent="0.25">
      <c r="A126" s="224" t="s">
        <v>72</v>
      </c>
      <c r="B126" s="201"/>
      <c r="C126" s="201"/>
      <c r="D126" s="201"/>
      <c r="E126" s="201"/>
      <c r="F126" s="201"/>
      <c r="G126" s="201"/>
      <c r="H126" s="202"/>
      <c r="I126" s="51">
        <f>SUM(I120:I125)</f>
        <v>392.19</v>
      </c>
    </row>
    <row r="127" spans="1:9" ht="9.75" customHeight="1" x14ac:dyDescent="0.25">
      <c r="A127" s="224"/>
      <c r="B127" s="201"/>
      <c r="C127" s="201"/>
      <c r="D127" s="201"/>
      <c r="E127" s="201"/>
      <c r="F127" s="201"/>
      <c r="G127" s="201"/>
      <c r="H127" s="201"/>
      <c r="I127" s="202"/>
    </row>
    <row r="128" spans="1:9" ht="23.25" customHeight="1" x14ac:dyDescent="0.25">
      <c r="A128" s="203" t="s">
        <v>136</v>
      </c>
      <c r="B128" s="201"/>
      <c r="C128" s="201"/>
      <c r="D128" s="201"/>
      <c r="E128" s="201"/>
      <c r="F128" s="201"/>
      <c r="G128" s="201"/>
      <c r="H128" s="201"/>
      <c r="I128" s="202"/>
    </row>
    <row r="129" spans="1:9" ht="27.75" customHeight="1" x14ac:dyDescent="0.25">
      <c r="A129" s="15">
        <v>4</v>
      </c>
      <c r="B129" s="227" t="s">
        <v>137</v>
      </c>
      <c r="C129" s="201"/>
      <c r="D129" s="201"/>
      <c r="E129" s="201"/>
      <c r="F129" s="201"/>
      <c r="G129" s="201"/>
      <c r="H129" s="202"/>
      <c r="I129" s="52" t="s">
        <v>69</v>
      </c>
    </row>
    <row r="130" spans="1:9" ht="19.5" customHeight="1" x14ac:dyDescent="0.25">
      <c r="A130" s="1" t="s">
        <v>128</v>
      </c>
      <c r="B130" s="239" t="s">
        <v>129</v>
      </c>
      <c r="C130" s="201"/>
      <c r="D130" s="201"/>
      <c r="E130" s="201"/>
      <c r="F130" s="201"/>
      <c r="G130" s="201"/>
      <c r="H130" s="202"/>
      <c r="I130" s="17">
        <f>I126</f>
        <v>392.19</v>
      </c>
    </row>
    <row r="131" spans="1:9" ht="19.5" customHeight="1" x14ac:dyDescent="0.25">
      <c r="A131" s="237" t="s">
        <v>72</v>
      </c>
      <c r="B131" s="201"/>
      <c r="C131" s="201"/>
      <c r="D131" s="201"/>
      <c r="E131" s="201"/>
      <c r="F131" s="201"/>
      <c r="G131" s="201"/>
      <c r="H131" s="202"/>
      <c r="I131" s="23">
        <f>SUM(I130)</f>
        <v>392.19</v>
      </c>
    </row>
    <row r="132" spans="1:9" ht="9" customHeight="1" x14ac:dyDescent="0.25">
      <c r="A132" s="243"/>
      <c r="B132" s="201"/>
      <c r="C132" s="201"/>
      <c r="D132" s="201"/>
      <c r="E132" s="201"/>
      <c r="F132" s="201"/>
      <c r="G132" s="201"/>
      <c r="H132" s="201"/>
      <c r="I132" s="202"/>
    </row>
    <row r="133" spans="1:9" ht="30" customHeight="1" x14ac:dyDescent="0.25">
      <c r="A133" s="203" t="s">
        <v>138</v>
      </c>
      <c r="B133" s="201"/>
      <c r="C133" s="201"/>
      <c r="D133" s="201"/>
      <c r="E133" s="201"/>
      <c r="F133" s="201"/>
      <c r="G133" s="201"/>
      <c r="H133" s="201"/>
      <c r="I133" s="202"/>
    </row>
    <row r="134" spans="1:9" ht="25.5" customHeight="1" x14ac:dyDescent="0.25">
      <c r="A134" s="28">
        <v>5</v>
      </c>
      <c r="B134" s="221" t="s">
        <v>139</v>
      </c>
      <c r="C134" s="201"/>
      <c r="D134" s="201"/>
      <c r="E134" s="201"/>
      <c r="F134" s="201"/>
      <c r="G134" s="201"/>
      <c r="H134" s="202"/>
      <c r="I134" s="28" t="s">
        <v>69</v>
      </c>
    </row>
    <row r="135" spans="1:9" ht="17.25" customHeight="1" x14ac:dyDescent="0.25">
      <c r="A135" s="53" t="s">
        <v>8</v>
      </c>
      <c r="B135" s="240" t="s">
        <v>140</v>
      </c>
      <c r="C135" s="201"/>
      <c r="D135" s="201"/>
      <c r="E135" s="201"/>
      <c r="F135" s="201"/>
      <c r="G135" s="201"/>
      <c r="H135" s="202"/>
      <c r="I135" s="54">
        <f ca="1">'INSUMOS IFRS'!G78</f>
        <v>532.32415149634573</v>
      </c>
    </row>
    <row r="136" spans="1:9" ht="17.25" customHeight="1" x14ac:dyDescent="0.25">
      <c r="A136" s="53" t="s">
        <v>11</v>
      </c>
      <c r="B136" s="240" t="s">
        <v>141</v>
      </c>
      <c r="C136" s="201"/>
      <c r="D136" s="201"/>
      <c r="E136" s="201"/>
      <c r="F136" s="201"/>
      <c r="G136" s="201"/>
      <c r="H136" s="202"/>
      <c r="I136" s="54">
        <f ca="1">'INSUMOS IFRS'!G79</f>
        <v>37.785213239422426</v>
      </c>
    </row>
    <row r="137" spans="1:9" ht="15.75" customHeight="1" x14ac:dyDescent="0.25">
      <c r="A137" s="53" t="s">
        <v>14</v>
      </c>
      <c r="B137" s="327" t="s">
        <v>142</v>
      </c>
      <c r="C137" s="201"/>
      <c r="D137" s="201"/>
      <c r="E137" s="201"/>
      <c r="F137" s="201"/>
      <c r="G137" s="201"/>
      <c r="H137" s="202"/>
      <c r="I137" s="54">
        <f ca="1">'INSUMOS IFRS'!G80</f>
        <v>16.315229675936315</v>
      </c>
    </row>
    <row r="138" spans="1:9" ht="15.75" customHeight="1" x14ac:dyDescent="0.25">
      <c r="A138" s="53" t="s">
        <v>17</v>
      </c>
      <c r="B138" s="327" t="s">
        <v>143</v>
      </c>
      <c r="C138" s="201"/>
      <c r="D138" s="201"/>
      <c r="E138" s="201"/>
      <c r="F138" s="201"/>
      <c r="G138" s="201"/>
      <c r="H138" s="202"/>
      <c r="I138" s="54">
        <f ca="1">'INSUMOS IFRS'!G81</f>
        <v>8.7469247402311368</v>
      </c>
    </row>
    <row r="139" spans="1:9" ht="15.75" customHeight="1" x14ac:dyDescent="0.25">
      <c r="A139" s="53" t="s">
        <v>85</v>
      </c>
      <c r="B139" s="240" t="s">
        <v>144</v>
      </c>
      <c r="C139" s="201"/>
      <c r="D139" s="201"/>
      <c r="E139" s="201"/>
      <c r="F139" s="201"/>
      <c r="G139" s="201"/>
      <c r="H139" s="202"/>
      <c r="I139" s="54">
        <f ca="1">'INSUMOS IFRS'!J91</f>
        <v>3.37718945985096</v>
      </c>
    </row>
    <row r="140" spans="1:9" ht="15.75" customHeight="1" x14ac:dyDescent="0.25">
      <c r="A140" s="224" t="s">
        <v>63</v>
      </c>
      <c r="B140" s="201"/>
      <c r="C140" s="201"/>
      <c r="D140" s="201"/>
      <c r="E140" s="201"/>
      <c r="F140" s="201"/>
      <c r="G140" s="201"/>
      <c r="H140" s="202"/>
      <c r="I140" s="55">
        <f ca="1">SUM(I135:I139)</f>
        <v>598.54870861178654</v>
      </c>
    </row>
    <row r="141" spans="1:9" ht="8.25" customHeight="1" x14ac:dyDescent="0.25">
      <c r="A141" s="200"/>
      <c r="B141" s="201"/>
      <c r="C141" s="201"/>
      <c r="D141" s="201"/>
      <c r="E141" s="201"/>
      <c r="F141" s="201"/>
      <c r="G141" s="201"/>
      <c r="H141" s="201"/>
      <c r="I141" s="202"/>
    </row>
    <row r="142" spans="1:9" ht="14.25" customHeight="1" x14ac:dyDescent="0.25">
      <c r="A142" s="241" t="s">
        <v>145</v>
      </c>
      <c r="B142" s="201"/>
      <c r="C142" s="201"/>
      <c r="D142" s="201"/>
      <c r="E142" s="201"/>
      <c r="F142" s="201"/>
      <c r="G142" s="201"/>
      <c r="H142" s="201"/>
      <c r="I142" s="202"/>
    </row>
    <row r="143" spans="1:9" ht="8.25" customHeight="1" x14ac:dyDescent="0.25">
      <c r="A143" s="56"/>
      <c r="B143" s="57"/>
      <c r="C143" s="57"/>
      <c r="D143" s="57"/>
      <c r="E143" s="57"/>
      <c r="F143" s="57"/>
      <c r="G143" s="57"/>
      <c r="H143" s="57"/>
      <c r="I143" s="58"/>
    </row>
    <row r="144" spans="1:9" ht="29.25" customHeight="1" x14ac:dyDescent="0.25">
      <c r="A144" s="233" t="s">
        <v>146</v>
      </c>
      <c r="B144" s="201"/>
      <c r="C144" s="201"/>
      <c r="D144" s="201"/>
      <c r="E144" s="201"/>
      <c r="F144" s="201"/>
      <c r="G144" s="201"/>
      <c r="H144" s="201"/>
      <c r="I144" s="202"/>
    </row>
    <row r="145" spans="1:9" ht="32.25" customHeight="1" x14ac:dyDescent="0.25">
      <c r="A145" s="28">
        <v>6</v>
      </c>
      <c r="B145" s="227" t="s">
        <v>147</v>
      </c>
      <c r="C145" s="201"/>
      <c r="D145" s="201"/>
      <c r="E145" s="201"/>
      <c r="F145" s="201"/>
      <c r="G145" s="202"/>
      <c r="H145" s="15" t="s">
        <v>77</v>
      </c>
      <c r="I145" s="59" t="s">
        <v>148</v>
      </c>
    </row>
    <row r="146" spans="1:9" ht="51" customHeight="1" x14ac:dyDescent="0.25">
      <c r="A146" s="236" t="s">
        <v>149</v>
      </c>
      <c r="B146" s="201"/>
      <c r="C146" s="201"/>
      <c r="D146" s="201"/>
      <c r="E146" s="201"/>
      <c r="F146" s="201"/>
      <c r="G146" s="202"/>
      <c r="H146" s="60" t="s">
        <v>99</v>
      </c>
      <c r="I146" s="61">
        <f ca="1">SUM(I53+I99+I108+I131+I140)</f>
        <v>5490.0987086117857</v>
      </c>
    </row>
    <row r="147" spans="1:9" ht="15.75" customHeight="1" x14ac:dyDescent="0.25">
      <c r="A147" s="6" t="s">
        <v>8</v>
      </c>
      <c r="B147" s="239" t="s">
        <v>150</v>
      </c>
      <c r="C147" s="201"/>
      <c r="D147" s="201"/>
      <c r="E147" s="201"/>
      <c r="F147" s="201"/>
      <c r="G147" s="202"/>
      <c r="H147" s="62">
        <v>0.05</v>
      </c>
      <c r="I147" s="17">
        <f ca="1">ROUND(H147*I146,2)</f>
        <v>274.5</v>
      </c>
    </row>
    <row r="148" spans="1:9" ht="48" customHeight="1" x14ac:dyDescent="0.25">
      <c r="A148" s="236" t="s">
        <v>151</v>
      </c>
      <c r="B148" s="201"/>
      <c r="C148" s="201"/>
      <c r="D148" s="201"/>
      <c r="E148" s="201"/>
      <c r="F148" s="201"/>
      <c r="G148" s="202"/>
      <c r="H148" s="63" t="s">
        <v>99</v>
      </c>
      <c r="I148" s="61">
        <f ca="1">SUM(I53+I99+I108+I131+I140+I147)</f>
        <v>5764.5987086117857</v>
      </c>
    </row>
    <row r="149" spans="1:9" ht="15.75" customHeight="1" x14ac:dyDescent="0.25">
      <c r="A149" s="6" t="s">
        <v>11</v>
      </c>
      <c r="B149" s="239" t="s">
        <v>152</v>
      </c>
      <c r="C149" s="201"/>
      <c r="D149" s="201"/>
      <c r="E149" s="201"/>
      <c r="F149" s="201"/>
      <c r="G149" s="202"/>
      <c r="H149" s="62">
        <v>0.1</v>
      </c>
      <c r="I149" s="17">
        <f ca="1">ROUND(H149*I148,2)</f>
        <v>576.46</v>
      </c>
    </row>
    <row r="150" spans="1:9" ht="49.5" customHeight="1" x14ac:dyDescent="0.25">
      <c r="A150" s="236" t="s">
        <v>153</v>
      </c>
      <c r="B150" s="201"/>
      <c r="C150" s="201"/>
      <c r="D150" s="201"/>
      <c r="E150" s="201"/>
      <c r="F150" s="201"/>
      <c r="G150" s="202"/>
      <c r="H150" s="63" t="s">
        <v>99</v>
      </c>
      <c r="I150" s="61">
        <f ca="1">SUM(I146+I147+I149)</f>
        <v>6341.0587086117857</v>
      </c>
    </row>
    <row r="151" spans="1:9" ht="15.75" customHeight="1" x14ac:dyDescent="0.25">
      <c r="A151" s="6" t="s">
        <v>14</v>
      </c>
      <c r="B151" s="239" t="s">
        <v>154</v>
      </c>
      <c r="C151" s="201"/>
      <c r="D151" s="201"/>
      <c r="E151" s="201"/>
      <c r="F151" s="201"/>
      <c r="G151" s="202"/>
      <c r="H151" s="8" t="s">
        <v>99</v>
      </c>
      <c r="I151" s="30" t="s">
        <v>99</v>
      </c>
    </row>
    <row r="152" spans="1:9" ht="15.75" customHeight="1" x14ac:dyDescent="0.25">
      <c r="A152" s="6"/>
      <c r="B152" s="239" t="s">
        <v>155</v>
      </c>
      <c r="C152" s="201"/>
      <c r="D152" s="201"/>
      <c r="E152" s="201"/>
      <c r="F152" s="201"/>
      <c r="G152" s="202"/>
      <c r="H152" s="8" t="s">
        <v>99</v>
      </c>
      <c r="I152" s="30" t="s">
        <v>99</v>
      </c>
    </row>
    <row r="153" spans="1:9" ht="36" customHeight="1" x14ac:dyDescent="0.25">
      <c r="A153" s="6"/>
      <c r="B153" s="226" t="s">
        <v>156</v>
      </c>
      <c r="C153" s="201"/>
      <c r="D153" s="201"/>
      <c r="E153" s="201"/>
      <c r="F153" s="201"/>
      <c r="G153" s="202"/>
      <c r="H153" s="64">
        <v>7.5999999999999998E-2</v>
      </c>
      <c r="I153" s="17">
        <f t="shared" ref="I153:I154" ca="1" si="3">ROUND(($I$150/(1-$H$162))*H153,2)</f>
        <v>549.20000000000005</v>
      </c>
    </row>
    <row r="154" spans="1:9" ht="35.25" customHeight="1" x14ac:dyDescent="0.25">
      <c r="A154" s="6"/>
      <c r="B154" s="226" t="s">
        <v>157</v>
      </c>
      <c r="C154" s="201"/>
      <c r="D154" s="201"/>
      <c r="E154" s="201"/>
      <c r="F154" s="201"/>
      <c r="G154" s="202"/>
      <c r="H154" s="64">
        <v>1.6500000000000001E-2</v>
      </c>
      <c r="I154" s="17">
        <f t="shared" ca="1" si="3"/>
        <v>119.23</v>
      </c>
    </row>
    <row r="155" spans="1:9" ht="27" customHeight="1" x14ac:dyDescent="0.25">
      <c r="A155" s="6"/>
      <c r="B155" s="206" t="s">
        <v>158</v>
      </c>
      <c r="C155" s="201"/>
      <c r="D155" s="201"/>
      <c r="E155" s="201"/>
      <c r="F155" s="201"/>
      <c r="G155" s="202"/>
      <c r="H155" s="65" t="s">
        <v>99</v>
      </c>
      <c r="I155" s="30" t="s">
        <v>99</v>
      </c>
    </row>
    <row r="156" spans="1:9" ht="27" customHeight="1" x14ac:dyDescent="0.25">
      <c r="A156" s="6"/>
      <c r="B156" s="206" t="s">
        <v>159</v>
      </c>
      <c r="C156" s="201"/>
      <c r="D156" s="201"/>
      <c r="E156" s="201"/>
      <c r="F156" s="201"/>
      <c r="G156" s="202"/>
      <c r="H156" s="65" t="s">
        <v>99</v>
      </c>
      <c r="I156" s="30" t="s">
        <v>99</v>
      </c>
    </row>
    <row r="157" spans="1:9" ht="18" customHeight="1" x14ac:dyDescent="0.25">
      <c r="A157" s="6"/>
      <c r="B157" s="226" t="s">
        <v>160</v>
      </c>
      <c r="C157" s="201"/>
      <c r="D157" s="201"/>
      <c r="E157" s="201"/>
      <c r="F157" s="201"/>
      <c r="G157" s="201"/>
      <c r="H157" s="65" t="s">
        <v>99</v>
      </c>
      <c r="I157" s="30" t="s">
        <v>99</v>
      </c>
    </row>
    <row r="158" spans="1:9" ht="18" customHeight="1" x14ac:dyDescent="0.25">
      <c r="A158" s="6"/>
      <c r="B158" s="206" t="s">
        <v>161</v>
      </c>
      <c r="C158" s="201"/>
      <c r="D158" s="201"/>
      <c r="E158" s="201"/>
      <c r="F158" s="201"/>
      <c r="G158" s="201"/>
      <c r="H158" s="65" t="s">
        <v>99</v>
      </c>
      <c r="I158" s="30" t="s">
        <v>99</v>
      </c>
    </row>
    <row r="159" spans="1:9" ht="15" customHeight="1" x14ac:dyDescent="0.25">
      <c r="A159" s="6"/>
      <c r="B159" s="242" t="s">
        <v>162</v>
      </c>
      <c r="C159" s="201"/>
      <c r="D159" s="201"/>
      <c r="E159" s="201"/>
      <c r="F159" s="201"/>
      <c r="G159" s="202"/>
      <c r="H159" s="66">
        <v>0.03</v>
      </c>
      <c r="I159" s="17">
        <f ca="1">ROUND(($I$150/(1-$H$162))*H159,2)</f>
        <v>216.79</v>
      </c>
    </row>
    <row r="160" spans="1:9" ht="15.75" customHeight="1" x14ac:dyDescent="0.25">
      <c r="A160" s="224" t="s">
        <v>72</v>
      </c>
      <c r="B160" s="201"/>
      <c r="C160" s="201"/>
      <c r="D160" s="201"/>
      <c r="E160" s="201"/>
      <c r="F160" s="201"/>
      <c r="G160" s="201"/>
      <c r="H160" s="67">
        <f>SUM(H152:H159)</f>
        <v>0.1225</v>
      </c>
      <c r="I160" s="23">
        <f ca="1">SUM(I147+I149+I153+I154+I159)</f>
        <v>1736.18</v>
      </c>
    </row>
    <row r="161" spans="1:9" ht="6.75" customHeight="1" x14ac:dyDescent="0.25">
      <c r="A161" s="243"/>
      <c r="B161" s="201"/>
      <c r="C161" s="201"/>
      <c r="D161" s="201"/>
      <c r="E161" s="201"/>
      <c r="F161" s="201"/>
      <c r="G161" s="201"/>
      <c r="H161" s="201"/>
      <c r="I161" s="202"/>
    </row>
    <row r="162" spans="1:9" ht="15.75" customHeight="1" x14ac:dyDescent="0.25">
      <c r="A162" s="210" t="s">
        <v>163</v>
      </c>
      <c r="B162" s="201"/>
      <c r="C162" s="201"/>
      <c r="D162" s="201"/>
      <c r="E162" s="201"/>
      <c r="F162" s="201"/>
      <c r="G162" s="202"/>
      <c r="H162" s="68">
        <f t="shared" ref="H162:I162" si="4">SUM(H153:H159)</f>
        <v>0.1225</v>
      </c>
      <c r="I162" s="61">
        <f t="shared" ca="1" si="4"/>
        <v>885.22</v>
      </c>
    </row>
    <row r="163" spans="1:9" ht="12.75" customHeight="1" x14ac:dyDescent="0.25">
      <c r="A163" s="244" t="s">
        <v>164</v>
      </c>
      <c r="B163" s="235"/>
      <c r="C163" s="247" t="s">
        <v>165</v>
      </c>
      <c r="D163" s="235"/>
      <c r="E163" s="235"/>
      <c r="F163" s="235"/>
      <c r="G163" s="235"/>
      <c r="H163" s="235"/>
      <c r="I163" s="235"/>
    </row>
    <row r="164" spans="1:9" ht="12" customHeight="1" x14ac:dyDescent="0.25">
      <c r="A164" s="245"/>
      <c r="B164" s="235"/>
      <c r="C164" s="247" t="s">
        <v>166</v>
      </c>
      <c r="D164" s="235"/>
      <c r="E164" s="235"/>
      <c r="F164" s="235"/>
      <c r="G164" s="235"/>
      <c r="H164" s="235"/>
      <c r="I164" s="235"/>
    </row>
    <row r="165" spans="1:9" ht="13.5" customHeight="1" x14ac:dyDescent="0.25">
      <c r="A165" s="246"/>
      <c r="B165" s="214"/>
      <c r="C165" s="248" t="s">
        <v>167</v>
      </c>
      <c r="D165" s="214"/>
      <c r="E165" s="214"/>
      <c r="F165" s="214"/>
      <c r="G165" s="214"/>
      <c r="H165" s="214"/>
      <c r="I165" s="214"/>
    </row>
    <row r="166" spans="1:9" ht="6.75" customHeight="1" x14ac:dyDescent="0.25">
      <c r="A166" s="249"/>
      <c r="B166" s="201"/>
      <c r="C166" s="201"/>
      <c r="D166" s="201"/>
      <c r="E166" s="201"/>
      <c r="F166" s="201"/>
      <c r="G166" s="201"/>
      <c r="H166" s="201"/>
      <c r="I166" s="201"/>
    </row>
    <row r="167" spans="1:9" ht="25.5" customHeight="1" x14ac:dyDescent="0.25">
      <c r="A167" s="226" t="s">
        <v>168</v>
      </c>
      <c r="B167" s="201"/>
      <c r="C167" s="201"/>
      <c r="D167" s="201"/>
      <c r="E167" s="201"/>
      <c r="F167" s="201"/>
      <c r="G167" s="201"/>
      <c r="H167" s="201"/>
      <c r="I167" s="202"/>
    </row>
    <row r="168" spans="1:9" ht="5.25" customHeight="1" x14ac:dyDescent="0.25">
      <c r="A168" s="243"/>
      <c r="B168" s="201"/>
      <c r="C168" s="201"/>
      <c r="D168" s="201"/>
      <c r="E168" s="201"/>
      <c r="F168" s="201"/>
      <c r="G168" s="201"/>
      <c r="H168" s="201"/>
      <c r="I168" s="202"/>
    </row>
    <row r="169" spans="1:9" ht="30" customHeight="1" x14ac:dyDescent="0.25">
      <c r="A169" s="250" t="s">
        <v>169</v>
      </c>
      <c r="B169" s="201"/>
      <c r="C169" s="201"/>
      <c r="D169" s="201"/>
      <c r="E169" s="201"/>
      <c r="F169" s="201"/>
      <c r="G169" s="201"/>
      <c r="H169" s="201"/>
      <c r="I169" s="202"/>
    </row>
    <row r="170" spans="1:9" ht="15" customHeight="1" x14ac:dyDescent="0.25">
      <c r="A170" s="205" t="s">
        <v>170</v>
      </c>
      <c r="B170" s="201"/>
      <c r="C170" s="201"/>
      <c r="D170" s="201"/>
      <c r="E170" s="201"/>
      <c r="F170" s="201"/>
      <c r="G170" s="201"/>
      <c r="H170" s="202"/>
      <c r="I170" s="15" t="s">
        <v>69</v>
      </c>
    </row>
    <row r="171" spans="1:9" ht="15" customHeight="1" x14ac:dyDescent="0.25">
      <c r="A171" s="69" t="s">
        <v>8</v>
      </c>
      <c r="B171" s="251" t="s">
        <v>171</v>
      </c>
      <c r="C171" s="201"/>
      <c r="D171" s="201"/>
      <c r="E171" s="201"/>
      <c r="F171" s="201"/>
      <c r="G171" s="201"/>
      <c r="H171" s="201"/>
      <c r="I171" s="70">
        <f>I53</f>
        <v>2315.0099999999998</v>
      </c>
    </row>
    <row r="172" spans="1:9" ht="15" customHeight="1" x14ac:dyDescent="0.25">
      <c r="A172" s="69" t="s">
        <v>11</v>
      </c>
      <c r="B172" s="251" t="s">
        <v>65</v>
      </c>
      <c r="C172" s="201"/>
      <c r="D172" s="201"/>
      <c r="E172" s="201"/>
      <c r="F172" s="201"/>
      <c r="G172" s="201"/>
      <c r="H172" s="201"/>
      <c r="I172" s="70">
        <f>I99</f>
        <v>2048.4100000000003</v>
      </c>
    </row>
    <row r="173" spans="1:9" ht="15" customHeight="1" x14ac:dyDescent="0.25">
      <c r="A173" s="69" t="s">
        <v>14</v>
      </c>
      <c r="B173" s="251" t="s">
        <v>172</v>
      </c>
      <c r="C173" s="201"/>
      <c r="D173" s="201"/>
      <c r="E173" s="201"/>
      <c r="F173" s="201"/>
      <c r="G173" s="201"/>
      <c r="H173" s="201"/>
      <c r="I173" s="70">
        <f>I108</f>
        <v>135.94</v>
      </c>
    </row>
    <row r="174" spans="1:9" ht="15" customHeight="1" x14ac:dyDescent="0.25">
      <c r="A174" s="69" t="s">
        <v>17</v>
      </c>
      <c r="B174" s="251" t="s">
        <v>173</v>
      </c>
      <c r="C174" s="201"/>
      <c r="D174" s="201"/>
      <c r="E174" s="201"/>
      <c r="F174" s="201"/>
      <c r="G174" s="201"/>
      <c r="H174" s="201"/>
      <c r="I174" s="70">
        <f>I131</f>
        <v>392.19</v>
      </c>
    </row>
    <row r="175" spans="1:9" ht="15" customHeight="1" x14ac:dyDescent="0.25">
      <c r="A175" s="69" t="s">
        <v>85</v>
      </c>
      <c r="B175" s="251" t="s">
        <v>174</v>
      </c>
      <c r="C175" s="201"/>
      <c r="D175" s="201"/>
      <c r="E175" s="201"/>
      <c r="F175" s="201"/>
      <c r="G175" s="201"/>
      <c r="H175" s="201"/>
      <c r="I175" s="70">
        <f ca="1">I140</f>
        <v>598.54870861178654</v>
      </c>
    </row>
    <row r="176" spans="1:9" ht="15" customHeight="1" x14ac:dyDescent="0.25">
      <c r="A176" s="252" t="s">
        <v>175</v>
      </c>
      <c r="B176" s="201"/>
      <c r="C176" s="201"/>
      <c r="D176" s="201"/>
      <c r="E176" s="201"/>
      <c r="F176" s="201"/>
      <c r="G176" s="201"/>
      <c r="H176" s="201"/>
      <c r="I176" s="41">
        <f ca="1">SUM(I171:I175)</f>
        <v>5490.0987086117857</v>
      </c>
    </row>
    <row r="177" spans="1:9" ht="15" customHeight="1" x14ac:dyDescent="0.25">
      <c r="A177" s="71" t="s">
        <v>87</v>
      </c>
      <c r="B177" s="251" t="s">
        <v>176</v>
      </c>
      <c r="C177" s="201"/>
      <c r="D177" s="201"/>
      <c r="E177" s="201"/>
      <c r="F177" s="201"/>
      <c r="G177" s="201"/>
      <c r="H177" s="201"/>
      <c r="I177" s="70">
        <f ca="1">I160</f>
        <v>1736.18</v>
      </c>
    </row>
    <row r="178" spans="1:9" ht="15" customHeight="1" x14ac:dyDescent="0.25">
      <c r="A178" s="252" t="s">
        <v>177</v>
      </c>
      <c r="B178" s="201"/>
      <c r="C178" s="201"/>
      <c r="D178" s="201"/>
      <c r="E178" s="201"/>
      <c r="F178" s="201"/>
      <c r="G178" s="201"/>
      <c r="H178" s="201"/>
      <c r="I178" s="41">
        <f ca="1">ROUND(SUM(I176:I177),2)</f>
        <v>7226.28</v>
      </c>
    </row>
    <row r="179" spans="1:9" ht="15" hidden="1" customHeight="1" x14ac:dyDescent="0.25">
      <c r="A179" s="72"/>
      <c r="B179" s="72"/>
      <c r="C179" s="72"/>
      <c r="D179" s="72"/>
      <c r="E179" s="72"/>
      <c r="F179" s="72"/>
      <c r="G179" s="72"/>
      <c r="H179" s="73"/>
      <c r="I179" s="74"/>
    </row>
    <row r="180" spans="1:9" ht="12.75" customHeight="1" x14ac:dyDescent="0.25">
      <c r="A180" s="253"/>
      <c r="B180" s="235"/>
      <c r="C180" s="235"/>
      <c r="D180" s="235"/>
      <c r="E180" s="235"/>
      <c r="F180" s="235"/>
      <c r="G180" s="235"/>
      <c r="H180" s="235"/>
      <c r="I180" s="235"/>
    </row>
    <row r="181" spans="1:9" ht="16.5" customHeight="1" x14ac:dyDescent="0.25">
      <c r="A181" s="254" t="s">
        <v>178</v>
      </c>
      <c r="B181" s="255"/>
      <c r="C181" s="255"/>
      <c r="D181" s="255"/>
      <c r="E181" s="255"/>
      <c r="F181" s="255"/>
      <c r="G181" s="255"/>
      <c r="H181" s="255"/>
      <c r="I181" s="255"/>
    </row>
    <row r="182" spans="1:9" ht="11.25" customHeight="1" x14ac:dyDescent="0.25">
      <c r="A182" s="76"/>
      <c r="B182" s="76"/>
      <c r="C182" s="76"/>
      <c r="D182" s="76"/>
      <c r="E182" s="76"/>
      <c r="F182" s="76"/>
      <c r="G182" s="76"/>
      <c r="H182" s="76"/>
      <c r="I182" s="77"/>
    </row>
    <row r="183" spans="1:9" ht="21" customHeight="1" x14ac:dyDescent="0.25">
      <c r="A183" s="262" t="s">
        <v>179</v>
      </c>
      <c r="B183" s="235"/>
      <c r="C183" s="235"/>
      <c r="D183" s="235"/>
      <c r="E183" s="235"/>
      <c r="F183" s="235"/>
      <c r="G183" s="235"/>
      <c r="H183" s="235"/>
      <c r="I183" s="235"/>
    </row>
    <row r="184" spans="1:9" ht="45" customHeight="1" x14ac:dyDescent="0.25">
      <c r="A184" s="263" t="s">
        <v>180</v>
      </c>
      <c r="B184" s="214"/>
      <c r="C184" s="214"/>
      <c r="D184" s="214"/>
      <c r="E184" s="214"/>
      <c r="F184" s="214"/>
      <c r="G184" s="214"/>
      <c r="H184" s="214"/>
      <c r="I184" s="214"/>
    </row>
    <row r="185" spans="1:9" ht="51" customHeight="1" x14ac:dyDescent="0.25">
      <c r="A185" s="221" t="s">
        <v>181</v>
      </c>
      <c r="B185" s="202"/>
      <c r="C185" s="221" t="s">
        <v>182</v>
      </c>
      <c r="D185" s="202"/>
      <c r="E185" s="221" t="s">
        <v>183</v>
      </c>
      <c r="F185" s="202"/>
      <c r="G185" s="221" t="s">
        <v>184</v>
      </c>
      <c r="H185" s="201"/>
      <c r="I185" s="202"/>
    </row>
    <row r="186" spans="1:9" ht="12" customHeight="1" x14ac:dyDescent="0.25">
      <c r="A186" s="259" t="s">
        <v>185</v>
      </c>
      <c r="B186" s="202"/>
      <c r="C186" s="256" t="s">
        <v>186</v>
      </c>
      <c r="D186" s="202"/>
      <c r="E186" s="257">
        <f ca="1">I178</f>
        <v>7226.28</v>
      </c>
      <c r="F186" s="202"/>
      <c r="G186" s="260">
        <f ca="1">ROUND((1/1200)*E186,2)</f>
        <v>6.02</v>
      </c>
      <c r="H186" s="201"/>
      <c r="I186" s="202"/>
    </row>
    <row r="187" spans="1:9" ht="6.75" customHeight="1" x14ac:dyDescent="0.25">
      <c r="A187" s="261"/>
      <c r="B187" s="201"/>
      <c r="C187" s="201"/>
      <c r="D187" s="201"/>
      <c r="E187" s="201"/>
      <c r="F187" s="201"/>
      <c r="G187" s="201"/>
      <c r="H187" s="201"/>
      <c r="I187" s="202"/>
    </row>
    <row r="188" spans="1:9" ht="12.75" customHeight="1" x14ac:dyDescent="0.25">
      <c r="A188" s="259" t="s">
        <v>187</v>
      </c>
      <c r="B188" s="202"/>
      <c r="C188" s="256" t="s">
        <v>186</v>
      </c>
      <c r="D188" s="202"/>
      <c r="E188" s="264">
        <f ca="1">I178</f>
        <v>7226.28</v>
      </c>
      <c r="F188" s="202"/>
      <c r="G188" s="258">
        <f ca="1">ROUND((1/1200)*E188,2)</f>
        <v>6.02</v>
      </c>
      <c r="H188" s="201"/>
      <c r="I188" s="202"/>
    </row>
    <row r="189" spans="1:9" ht="6.75" customHeight="1" x14ac:dyDescent="0.25">
      <c r="A189" s="261"/>
      <c r="B189" s="201"/>
      <c r="C189" s="201"/>
      <c r="D189" s="201"/>
      <c r="E189" s="201"/>
      <c r="F189" s="201"/>
      <c r="G189" s="201"/>
      <c r="H189" s="201"/>
      <c r="I189" s="202"/>
    </row>
    <row r="190" spans="1:9" ht="12.75" customHeight="1" x14ac:dyDescent="0.25">
      <c r="A190" s="259" t="s">
        <v>188</v>
      </c>
      <c r="B190" s="202"/>
      <c r="C190" s="256" t="s">
        <v>189</v>
      </c>
      <c r="D190" s="202"/>
      <c r="E190" s="260">
        <f ca="1">I178</f>
        <v>7226.28</v>
      </c>
      <c r="F190" s="202"/>
      <c r="G190" s="258">
        <f ca="1">ROUND((1/450)*E190,2)</f>
        <v>16.059999999999999</v>
      </c>
      <c r="H190" s="201"/>
      <c r="I190" s="202"/>
    </row>
    <row r="191" spans="1:9" ht="6" customHeight="1" x14ac:dyDescent="0.25">
      <c r="A191" s="261"/>
      <c r="B191" s="201"/>
      <c r="C191" s="201"/>
      <c r="D191" s="201"/>
      <c r="E191" s="201"/>
      <c r="F191" s="201"/>
      <c r="G191" s="201"/>
      <c r="H191" s="201"/>
      <c r="I191" s="202"/>
    </row>
    <row r="192" spans="1:9" ht="13.5" customHeight="1" x14ac:dyDescent="0.25">
      <c r="A192" s="259" t="s">
        <v>190</v>
      </c>
      <c r="B192" s="202"/>
      <c r="C192" s="256" t="s">
        <v>191</v>
      </c>
      <c r="D192" s="202"/>
      <c r="E192" s="257">
        <f ca="1">I178</f>
        <v>7226.28</v>
      </c>
      <c r="F192" s="202"/>
      <c r="G192" s="258">
        <f ca="1">ROUND((1/2500)*E192,2)</f>
        <v>2.89</v>
      </c>
      <c r="H192" s="201"/>
      <c r="I192" s="202"/>
    </row>
    <row r="193" spans="1:9" ht="6.75" customHeight="1" x14ac:dyDescent="0.25">
      <c r="A193" s="265"/>
      <c r="B193" s="202"/>
      <c r="C193" s="266"/>
      <c r="D193" s="202"/>
      <c r="E193" s="267"/>
      <c r="F193" s="202"/>
      <c r="G193" s="268"/>
      <c r="H193" s="201"/>
      <c r="I193" s="202"/>
    </row>
    <row r="194" spans="1:9" ht="13.5" customHeight="1" x14ac:dyDescent="0.25">
      <c r="A194" s="259" t="s">
        <v>192</v>
      </c>
      <c r="B194" s="202"/>
      <c r="C194" s="256" t="s">
        <v>193</v>
      </c>
      <c r="D194" s="202"/>
      <c r="E194" s="257">
        <f ca="1">I178</f>
        <v>7226.28</v>
      </c>
      <c r="F194" s="202"/>
      <c r="G194" s="258">
        <f ca="1">ROUND((1/1800)*E194,2)</f>
        <v>4.01</v>
      </c>
      <c r="H194" s="201"/>
      <c r="I194" s="202"/>
    </row>
    <row r="195" spans="1:9" ht="6.75" customHeight="1" x14ac:dyDescent="0.25">
      <c r="A195" s="269"/>
      <c r="B195" s="201"/>
      <c r="C195" s="201"/>
      <c r="D195" s="201"/>
      <c r="E195" s="201"/>
      <c r="F195" s="201"/>
      <c r="G195" s="201"/>
      <c r="H195" s="201"/>
      <c r="I195" s="202"/>
    </row>
    <row r="196" spans="1:9" ht="25.5" customHeight="1" x14ac:dyDescent="0.25">
      <c r="A196" s="259" t="s">
        <v>194</v>
      </c>
      <c r="B196" s="202"/>
      <c r="C196" s="256" t="s">
        <v>195</v>
      </c>
      <c r="D196" s="202"/>
      <c r="E196" s="257">
        <f ca="1">I178</f>
        <v>7226.28</v>
      </c>
      <c r="F196" s="202"/>
      <c r="G196" s="258">
        <f ca="1">ROUND((1/15000)*E196,2)</f>
        <v>0.48</v>
      </c>
      <c r="H196" s="201"/>
      <c r="I196" s="202"/>
    </row>
    <row r="197" spans="1:9" ht="9.75" customHeight="1" x14ac:dyDescent="0.25">
      <c r="A197" s="270"/>
      <c r="B197" s="271"/>
      <c r="C197" s="271"/>
      <c r="D197" s="271"/>
      <c r="E197" s="271"/>
      <c r="F197" s="271"/>
      <c r="G197" s="271"/>
      <c r="H197" s="271"/>
      <c r="I197" s="272"/>
    </row>
    <row r="198" spans="1:9" ht="14.25" customHeight="1" x14ac:dyDescent="0.25">
      <c r="A198" s="273" t="s">
        <v>196</v>
      </c>
      <c r="B198" s="274"/>
      <c r="C198" s="275" t="s">
        <v>197</v>
      </c>
      <c r="D198" s="274"/>
      <c r="E198" s="276">
        <f ca="1">I178</f>
        <v>7226.28</v>
      </c>
      <c r="F198" s="274"/>
      <c r="G198" s="260">
        <f ca="1">ROUND((1/300)*E198,2)</f>
        <v>24.09</v>
      </c>
      <c r="H198" s="201"/>
      <c r="I198" s="202"/>
    </row>
    <row r="199" spans="1:9" ht="9.75" customHeight="1" x14ac:dyDescent="0.25">
      <c r="A199" s="270"/>
      <c r="B199" s="271"/>
      <c r="C199" s="271"/>
      <c r="D199" s="271"/>
      <c r="E199" s="271"/>
      <c r="F199" s="271"/>
      <c r="G199" s="271"/>
      <c r="H199" s="271"/>
      <c r="I199" s="272"/>
    </row>
    <row r="200" spans="1:9" ht="14.25" customHeight="1" x14ac:dyDescent="0.25">
      <c r="A200" s="273" t="s">
        <v>198</v>
      </c>
      <c r="B200" s="277"/>
      <c r="C200" s="277"/>
      <c r="D200" s="277"/>
      <c r="E200" s="277"/>
      <c r="F200" s="277"/>
      <c r="G200" s="277"/>
      <c r="H200" s="277"/>
      <c r="I200" s="274"/>
    </row>
    <row r="201" spans="1:9" ht="9" customHeight="1" x14ac:dyDescent="0.25">
      <c r="A201" s="278"/>
      <c r="B201" s="201"/>
      <c r="C201" s="201"/>
      <c r="D201" s="201"/>
      <c r="E201" s="201"/>
      <c r="F201" s="201"/>
      <c r="G201" s="201"/>
      <c r="H201" s="201"/>
      <c r="I201" s="202"/>
    </row>
    <row r="202" spans="1:9" ht="24" customHeight="1" x14ac:dyDescent="0.25">
      <c r="A202" s="279" t="s">
        <v>199</v>
      </c>
      <c r="B202" s="201"/>
      <c r="C202" s="201"/>
      <c r="D202" s="201"/>
      <c r="E202" s="201"/>
      <c r="F202" s="201"/>
      <c r="G202" s="201"/>
      <c r="H202" s="201"/>
      <c r="I202" s="202"/>
    </row>
    <row r="203" spans="1:9" ht="9" customHeight="1" x14ac:dyDescent="0.25">
      <c r="A203" s="278"/>
      <c r="B203" s="201"/>
      <c r="C203" s="201"/>
      <c r="D203" s="201"/>
      <c r="E203" s="201"/>
      <c r="F203" s="201"/>
      <c r="G203" s="201"/>
      <c r="H203" s="201"/>
      <c r="I203" s="202"/>
    </row>
    <row r="204" spans="1:9" ht="46.5" customHeight="1" x14ac:dyDescent="0.25">
      <c r="A204" s="280" t="s">
        <v>200</v>
      </c>
      <c r="B204" s="201"/>
      <c r="C204" s="201"/>
      <c r="D204" s="201"/>
      <c r="E204" s="201"/>
      <c r="F204" s="201"/>
      <c r="G204" s="201"/>
      <c r="H204" s="201"/>
      <c r="I204" s="201"/>
    </row>
    <row r="205" spans="1:9" ht="44.25" customHeight="1" x14ac:dyDescent="0.25">
      <c r="A205" s="221" t="s">
        <v>201</v>
      </c>
      <c r="B205" s="202"/>
      <c r="C205" s="221" t="s">
        <v>202</v>
      </c>
      <c r="D205" s="202"/>
      <c r="E205" s="221" t="s">
        <v>203</v>
      </c>
      <c r="F205" s="202"/>
      <c r="G205" s="221" t="s">
        <v>184</v>
      </c>
      <c r="H205" s="201"/>
      <c r="I205" s="202"/>
    </row>
    <row r="206" spans="1:9" ht="42" customHeight="1" x14ac:dyDescent="0.25">
      <c r="A206" s="226" t="s">
        <v>204</v>
      </c>
      <c r="B206" s="202"/>
      <c r="C206" s="281" t="s">
        <v>205</v>
      </c>
      <c r="D206" s="202"/>
      <c r="E206" s="264">
        <f ca="1">I178</f>
        <v>7226.28</v>
      </c>
      <c r="F206" s="202"/>
      <c r="G206" s="264">
        <f ca="1">ROUND((1/2700)*E206,2)</f>
        <v>2.68</v>
      </c>
      <c r="H206" s="201"/>
      <c r="I206" s="202"/>
    </row>
    <row r="207" spans="1:9" ht="9.75" customHeight="1" x14ac:dyDescent="0.25">
      <c r="A207" s="229"/>
      <c r="B207" s="201"/>
      <c r="C207" s="201"/>
      <c r="D207" s="201"/>
      <c r="E207" s="201"/>
      <c r="F207" s="201"/>
      <c r="G207" s="201"/>
      <c r="H207" s="201"/>
      <c r="I207" s="202"/>
    </row>
    <row r="208" spans="1:9" ht="42" customHeight="1" x14ac:dyDescent="0.25">
      <c r="A208" s="226" t="s">
        <v>206</v>
      </c>
      <c r="B208" s="202"/>
      <c r="C208" s="281" t="s">
        <v>207</v>
      </c>
      <c r="D208" s="202"/>
      <c r="E208" s="264">
        <f ca="1">I178</f>
        <v>7226.28</v>
      </c>
      <c r="F208" s="202"/>
      <c r="G208" s="264">
        <f ca="1">ROUND((1/9000)*E208,2)</f>
        <v>0.8</v>
      </c>
      <c r="H208" s="201"/>
      <c r="I208" s="202"/>
    </row>
    <row r="209" spans="1:9" ht="7.5" customHeight="1" x14ac:dyDescent="0.25">
      <c r="A209" s="229"/>
      <c r="B209" s="201"/>
      <c r="C209" s="201"/>
      <c r="D209" s="201"/>
      <c r="E209" s="201"/>
      <c r="F209" s="201"/>
      <c r="G209" s="201"/>
      <c r="H209" s="201"/>
      <c r="I209" s="202"/>
    </row>
    <row r="210" spans="1:9" ht="42" customHeight="1" x14ac:dyDescent="0.25">
      <c r="A210" s="226" t="s">
        <v>208</v>
      </c>
      <c r="B210" s="202"/>
      <c r="C210" s="281" t="s">
        <v>205</v>
      </c>
      <c r="D210" s="202"/>
      <c r="E210" s="264">
        <f ca="1">I178</f>
        <v>7226.28</v>
      </c>
      <c r="F210" s="202"/>
      <c r="G210" s="264">
        <f ca="1">ROUND((1/2700)*E210,2)</f>
        <v>2.68</v>
      </c>
      <c r="H210" s="201"/>
      <c r="I210" s="202"/>
    </row>
    <row r="211" spans="1:9" ht="8.25" customHeight="1" x14ac:dyDescent="0.25">
      <c r="A211" s="229"/>
      <c r="B211" s="201"/>
      <c r="C211" s="201"/>
      <c r="D211" s="201"/>
      <c r="E211" s="201"/>
      <c r="F211" s="201"/>
      <c r="G211" s="201"/>
      <c r="H211" s="201"/>
      <c r="I211" s="202"/>
    </row>
    <row r="212" spans="1:9" ht="42" customHeight="1" x14ac:dyDescent="0.25">
      <c r="A212" s="226" t="s">
        <v>209</v>
      </c>
      <c r="B212" s="202"/>
      <c r="C212" s="281" t="s">
        <v>205</v>
      </c>
      <c r="D212" s="202"/>
      <c r="E212" s="264">
        <f ca="1">I178</f>
        <v>7226.28</v>
      </c>
      <c r="F212" s="202"/>
      <c r="G212" s="264">
        <f ca="1">ROUND((1/2700)*E212,2)</f>
        <v>2.68</v>
      </c>
      <c r="H212" s="201"/>
      <c r="I212" s="202"/>
    </row>
    <row r="213" spans="1:9" ht="8.25" customHeight="1" x14ac:dyDescent="0.25">
      <c r="A213" s="229"/>
      <c r="B213" s="201"/>
      <c r="C213" s="201"/>
      <c r="D213" s="201"/>
      <c r="E213" s="201"/>
      <c r="F213" s="201"/>
      <c r="G213" s="201"/>
      <c r="H213" s="201"/>
      <c r="I213" s="202"/>
    </row>
    <row r="214" spans="1:9" ht="34.5" customHeight="1" x14ac:dyDescent="0.25">
      <c r="A214" s="226" t="s">
        <v>209</v>
      </c>
      <c r="B214" s="202"/>
      <c r="C214" s="281" t="s">
        <v>205</v>
      </c>
      <c r="D214" s="202"/>
      <c r="E214" s="264">
        <f ca="1">I178</f>
        <v>7226.28</v>
      </c>
      <c r="F214" s="202"/>
      <c r="G214" s="264">
        <f ca="1">ROUND((1/2700)*E214,2)</f>
        <v>2.68</v>
      </c>
      <c r="H214" s="201"/>
      <c r="I214" s="202"/>
    </row>
    <row r="215" spans="1:9" ht="8.25" customHeight="1" x14ac:dyDescent="0.25">
      <c r="A215" s="78"/>
      <c r="B215" s="78"/>
      <c r="C215" s="78"/>
      <c r="D215" s="78"/>
      <c r="E215" s="78"/>
      <c r="F215" s="78"/>
      <c r="G215" s="78"/>
      <c r="H215" s="78"/>
      <c r="I215" s="78"/>
    </row>
    <row r="216" spans="1:9" ht="30" customHeight="1" x14ac:dyDescent="0.25">
      <c r="A216" s="226" t="s">
        <v>210</v>
      </c>
      <c r="B216" s="202"/>
      <c r="C216" s="281" t="s">
        <v>211</v>
      </c>
      <c r="D216" s="202"/>
      <c r="E216" s="264">
        <f ca="1">I178</f>
        <v>7226.28</v>
      </c>
      <c r="F216" s="202"/>
      <c r="G216" s="264">
        <f ca="1">ROUND((1/100000)*E216,2)</f>
        <v>7.0000000000000007E-2</v>
      </c>
      <c r="H216" s="201"/>
      <c r="I216" s="202"/>
    </row>
    <row r="217" spans="1:9" ht="8.25" customHeight="1" x14ac:dyDescent="0.25">
      <c r="A217" s="78"/>
      <c r="B217" s="78"/>
      <c r="C217" s="78"/>
      <c r="D217" s="78"/>
      <c r="E217" s="78"/>
      <c r="F217" s="78"/>
      <c r="G217" s="78"/>
      <c r="H217" s="78"/>
      <c r="I217" s="78"/>
    </row>
    <row r="218" spans="1:9" ht="15.75" customHeight="1" x14ac:dyDescent="0.25">
      <c r="A218" s="226" t="s">
        <v>212</v>
      </c>
      <c r="B218" s="201"/>
      <c r="C218" s="201"/>
      <c r="D218" s="201"/>
      <c r="E218" s="201"/>
      <c r="F218" s="201"/>
      <c r="G218" s="201"/>
      <c r="H218" s="201"/>
      <c r="I218" s="202"/>
    </row>
    <row r="219" spans="1:9" ht="10.5" customHeight="1" x14ac:dyDescent="0.25">
      <c r="A219" s="204"/>
      <c r="B219" s="201"/>
      <c r="C219" s="201"/>
      <c r="D219" s="201"/>
      <c r="E219" s="201"/>
      <c r="F219" s="201"/>
      <c r="G219" s="201"/>
      <c r="H219" s="201"/>
      <c r="I219" s="202"/>
    </row>
    <row r="220" spans="1:9" ht="24.75" customHeight="1" x14ac:dyDescent="0.25">
      <c r="A220" s="206" t="s">
        <v>213</v>
      </c>
      <c r="B220" s="201"/>
      <c r="C220" s="201"/>
      <c r="D220" s="201"/>
      <c r="E220" s="201"/>
      <c r="F220" s="201"/>
      <c r="G220" s="201"/>
      <c r="H220" s="201"/>
      <c r="I220" s="202"/>
    </row>
    <row r="221" spans="1:9" ht="10.5" customHeight="1" x14ac:dyDescent="0.25">
      <c r="A221" s="204"/>
      <c r="B221" s="201"/>
      <c r="C221" s="201"/>
      <c r="D221" s="201"/>
      <c r="E221" s="201"/>
      <c r="F221" s="201"/>
      <c r="G221" s="201"/>
      <c r="H221" s="201"/>
      <c r="I221" s="202"/>
    </row>
    <row r="222" spans="1:9" ht="12" customHeight="1" x14ac:dyDescent="0.25">
      <c r="A222" s="282" t="s">
        <v>214</v>
      </c>
      <c r="B222" s="277"/>
      <c r="C222" s="277"/>
      <c r="D222" s="277"/>
      <c r="E222" s="277"/>
      <c r="F222" s="277"/>
      <c r="G222" s="277"/>
      <c r="H222" s="277"/>
      <c r="I222" s="274"/>
    </row>
    <row r="223" spans="1:9" ht="36.75" customHeight="1" x14ac:dyDescent="0.25">
      <c r="A223" s="246"/>
      <c r="B223" s="214"/>
      <c r="C223" s="214"/>
      <c r="D223" s="214"/>
      <c r="E223" s="214"/>
      <c r="F223" s="214"/>
      <c r="G223" s="214"/>
      <c r="H223" s="214"/>
      <c r="I223" s="215"/>
    </row>
    <row r="224" spans="1:9" ht="69" customHeight="1" x14ac:dyDescent="0.25">
      <c r="A224" s="15" t="s">
        <v>215</v>
      </c>
      <c r="B224" s="79" t="s">
        <v>216</v>
      </c>
      <c r="C224" s="79" t="s">
        <v>217</v>
      </c>
      <c r="D224" s="283" t="s">
        <v>218</v>
      </c>
      <c r="E224" s="202"/>
      <c r="F224" s="79" t="s">
        <v>219</v>
      </c>
      <c r="G224" s="79" t="s">
        <v>220</v>
      </c>
      <c r="H224" s="283" t="s">
        <v>221</v>
      </c>
      <c r="I224" s="202"/>
    </row>
    <row r="225" spans="1:9" ht="51" customHeight="1" x14ac:dyDescent="0.25">
      <c r="A225" s="80" t="s">
        <v>222</v>
      </c>
      <c r="B225" s="81" t="s">
        <v>223</v>
      </c>
      <c r="C225" s="60" t="s">
        <v>224</v>
      </c>
      <c r="D225" s="284" t="s">
        <v>225</v>
      </c>
      <c r="E225" s="202"/>
      <c r="F225" s="82">
        <f>ROUND((1/160)*16*(1/188.76),7)</f>
        <v>5.2979999999999998E-4</v>
      </c>
      <c r="G225" s="61">
        <f ca="1">I178</f>
        <v>7226.28</v>
      </c>
      <c r="H225" s="264">
        <f ca="1">ROUND(F225*G225,2)</f>
        <v>3.83</v>
      </c>
      <c r="I225" s="202"/>
    </row>
    <row r="226" spans="1:9" ht="9" customHeight="1" x14ac:dyDescent="0.25">
      <c r="A226" s="285"/>
      <c r="B226" s="201"/>
      <c r="C226" s="201"/>
      <c r="D226" s="201"/>
      <c r="E226" s="201"/>
      <c r="F226" s="201"/>
      <c r="G226" s="201"/>
      <c r="H226" s="201"/>
      <c r="I226" s="202"/>
    </row>
    <row r="227" spans="1:9" ht="51" customHeight="1" x14ac:dyDescent="0.25">
      <c r="A227" s="80" t="s">
        <v>226</v>
      </c>
      <c r="B227" s="81" t="s">
        <v>227</v>
      </c>
      <c r="C227" s="60" t="s">
        <v>224</v>
      </c>
      <c r="D227" s="284" t="s">
        <v>225</v>
      </c>
      <c r="E227" s="202"/>
      <c r="F227" s="82">
        <f>ROUND((1/380)*16*(1/188.76),7)</f>
        <v>2.231E-4</v>
      </c>
      <c r="G227" s="61">
        <f ca="1">I178</f>
        <v>7226.28</v>
      </c>
      <c r="H227" s="264">
        <f ca="1">ROUND(F227*G227,2)</f>
        <v>1.61</v>
      </c>
      <c r="I227" s="202"/>
    </row>
    <row r="228" spans="1:9" ht="6.75" customHeight="1" x14ac:dyDescent="0.25">
      <c r="A228" s="286"/>
      <c r="B228" s="201"/>
      <c r="C228" s="201"/>
      <c r="D228" s="201"/>
      <c r="E228" s="201"/>
      <c r="F228" s="201"/>
      <c r="G228" s="201"/>
      <c r="H228" s="201"/>
      <c r="I228" s="202"/>
    </row>
    <row r="229" spans="1:9" ht="25.5" customHeight="1" x14ac:dyDescent="0.25">
      <c r="A229" s="80" t="s">
        <v>228</v>
      </c>
      <c r="B229" s="83" t="s">
        <v>227</v>
      </c>
      <c r="C229" s="84" t="s">
        <v>224</v>
      </c>
      <c r="D229" s="284" t="s">
        <v>225</v>
      </c>
      <c r="E229" s="202"/>
      <c r="F229" s="82">
        <f>ROUND((1/380)*16*(1/188.76),7)</f>
        <v>2.231E-4</v>
      </c>
      <c r="G229" s="61">
        <f ca="1">I178</f>
        <v>7226.28</v>
      </c>
      <c r="H229" s="264">
        <f ca="1">ROUND(F229*G229,2)</f>
        <v>1.61</v>
      </c>
      <c r="I229" s="202"/>
    </row>
    <row r="230" spans="1:9" ht="9.75" customHeight="1" x14ac:dyDescent="0.25">
      <c r="A230" s="285"/>
      <c r="B230" s="201"/>
      <c r="C230" s="201"/>
      <c r="D230" s="201"/>
      <c r="E230" s="201"/>
      <c r="F230" s="201"/>
      <c r="G230" s="201"/>
      <c r="H230" s="201"/>
      <c r="I230" s="202"/>
    </row>
    <row r="231" spans="1:9" ht="37.5" customHeight="1" x14ac:dyDescent="0.25">
      <c r="A231" s="80" t="s">
        <v>229</v>
      </c>
      <c r="B231" s="83" t="s">
        <v>189</v>
      </c>
      <c r="C231" s="84" t="s">
        <v>224</v>
      </c>
      <c r="D231" s="284" t="s">
        <v>225</v>
      </c>
      <c r="E231" s="202"/>
      <c r="F231" s="82">
        <f>ROUND((1/450)*16*(1/188.76),7)</f>
        <v>1.884E-4</v>
      </c>
      <c r="G231" s="61">
        <f ca="1">I178</f>
        <v>7226.28</v>
      </c>
      <c r="H231" s="264">
        <f ca="1">ROUND(F231*G231,2)</f>
        <v>1.36</v>
      </c>
      <c r="I231" s="202"/>
    </row>
    <row r="232" spans="1:9" ht="9.75" customHeight="1" x14ac:dyDescent="0.25">
      <c r="A232" s="285"/>
      <c r="B232" s="201"/>
      <c r="C232" s="201"/>
      <c r="D232" s="201"/>
      <c r="E232" s="201"/>
      <c r="F232" s="201"/>
      <c r="G232" s="201"/>
      <c r="H232" s="201"/>
      <c r="I232" s="202"/>
    </row>
    <row r="233" spans="1:9" ht="16.5" customHeight="1" x14ac:dyDescent="0.25">
      <c r="A233" s="85" t="s">
        <v>230</v>
      </c>
      <c r="B233" s="86" t="s">
        <v>223</v>
      </c>
      <c r="C233" s="84" t="s">
        <v>224</v>
      </c>
      <c r="D233" s="284" t="s">
        <v>225</v>
      </c>
      <c r="E233" s="202"/>
      <c r="F233" s="87">
        <f>ROUND((1/160)*16*(1/188.76),7)</f>
        <v>5.2979999999999998E-4</v>
      </c>
      <c r="G233" s="88">
        <f ca="1">I178</f>
        <v>7226.28</v>
      </c>
      <c r="H233" s="217">
        <f ca="1">ROUND(F233*G233,2)</f>
        <v>3.83</v>
      </c>
      <c r="I233" s="202"/>
    </row>
    <row r="234" spans="1:9" ht="9.75" customHeight="1" x14ac:dyDescent="0.25">
      <c r="A234" s="285"/>
      <c r="B234" s="201"/>
      <c r="C234" s="201"/>
      <c r="D234" s="201"/>
      <c r="E234" s="201"/>
      <c r="F234" s="201"/>
      <c r="G234" s="201"/>
      <c r="H234" s="201"/>
      <c r="I234" s="202"/>
    </row>
    <row r="235" spans="1:9" ht="12.75" customHeight="1" x14ac:dyDescent="0.25">
      <c r="A235" s="226" t="s">
        <v>231</v>
      </c>
      <c r="B235" s="201"/>
      <c r="C235" s="201"/>
      <c r="D235" s="201"/>
      <c r="E235" s="201"/>
      <c r="F235" s="201"/>
      <c r="G235" s="201"/>
      <c r="H235" s="201"/>
      <c r="I235" s="202"/>
    </row>
    <row r="236" spans="1:9" ht="7.5" customHeight="1" x14ac:dyDescent="0.25">
      <c r="A236" s="261"/>
      <c r="B236" s="201"/>
      <c r="C236" s="201"/>
      <c r="D236" s="201"/>
      <c r="E236" s="201"/>
      <c r="F236" s="201"/>
      <c r="G236" s="201"/>
      <c r="H236" s="201"/>
      <c r="I236" s="202"/>
    </row>
    <row r="237" spans="1:9" ht="25.5" customHeight="1" x14ac:dyDescent="0.25">
      <c r="A237" s="293" t="s">
        <v>232</v>
      </c>
      <c r="B237" s="201"/>
      <c r="C237" s="201"/>
      <c r="D237" s="201"/>
      <c r="E237" s="201"/>
      <c r="F237" s="201"/>
      <c r="G237" s="201"/>
      <c r="H237" s="201"/>
      <c r="I237" s="202"/>
    </row>
    <row r="238" spans="1:9" ht="7.5" customHeight="1" x14ac:dyDescent="0.25">
      <c r="A238" s="261"/>
      <c r="B238" s="201"/>
      <c r="C238" s="201"/>
      <c r="D238" s="201"/>
      <c r="E238" s="201"/>
      <c r="F238" s="201"/>
      <c r="G238" s="201"/>
      <c r="H238" s="201"/>
      <c r="I238" s="202"/>
    </row>
    <row r="239" spans="1:9" ht="11.25" customHeight="1" x14ac:dyDescent="0.25">
      <c r="A239" s="307" t="s">
        <v>233</v>
      </c>
      <c r="B239" s="277"/>
      <c r="C239" s="277"/>
      <c r="D239" s="277"/>
      <c r="E239" s="277"/>
      <c r="F239" s="277"/>
      <c r="G239" s="277"/>
      <c r="H239" s="277"/>
      <c r="I239" s="274"/>
    </row>
    <row r="240" spans="1:9" ht="11.25" customHeight="1" x14ac:dyDescent="0.25">
      <c r="A240" s="246"/>
      <c r="B240" s="214"/>
      <c r="C240" s="214"/>
      <c r="D240" s="214"/>
      <c r="E240" s="214"/>
      <c r="F240" s="214"/>
      <c r="G240" s="214"/>
      <c r="H240" s="214"/>
      <c r="I240" s="215"/>
    </row>
    <row r="241" spans="1:9" ht="25.5" customHeight="1" x14ac:dyDescent="0.25">
      <c r="A241" s="308" t="s">
        <v>234</v>
      </c>
      <c r="B241" s="309"/>
      <c r="C241" s="310"/>
      <c r="D241" s="311" t="s">
        <v>235</v>
      </c>
      <c r="E241" s="310"/>
      <c r="F241" s="2" t="s">
        <v>236</v>
      </c>
      <c r="G241" s="311" t="s">
        <v>237</v>
      </c>
      <c r="H241" s="309"/>
      <c r="I241" s="310"/>
    </row>
    <row r="242" spans="1:9" ht="13.5" customHeight="1" x14ac:dyDescent="0.25">
      <c r="A242" s="279" t="s">
        <v>23</v>
      </c>
      <c r="B242" s="201"/>
      <c r="C242" s="202"/>
      <c r="D242" s="294">
        <f ca="1">G186</f>
        <v>6.02</v>
      </c>
      <c r="E242" s="202"/>
      <c r="F242" s="89">
        <f t="shared" ref="F242:F249" si="5">H13</f>
        <v>0</v>
      </c>
      <c r="G242" s="287">
        <f t="shared" ref="G242:G248" ca="1" si="6">ROUND(D242*F242,2)</f>
        <v>0</v>
      </c>
      <c r="H242" s="201"/>
      <c r="I242" s="202"/>
    </row>
    <row r="243" spans="1:9" ht="13.5" customHeight="1" x14ac:dyDescent="0.25">
      <c r="A243" s="279" t="s">
        <v>25</v>
      </c>
      <c r="B243" s="201"/>
      <c r="C243" s="202"/>
      <c r="D243" s="294">
        <f ca="1">G188</f>
        <v>6.02</v>
      </c>
      <c r="E243" s="202"/>
      <c r="F243" s="89">
        <f t="shared" si="5"/>
        <v>3390.16</v>
      </c>
      <c r="G243" s="287">
        <f t="shared" ca="1" si="6"/>
        <v>20408.759999999998</v>
      </c>
      <c r="H243" s="201"/>
      <c r="I243" s="202"/>
    </row>
    <row r="244" spans="1:9" ht="13.5" customHeight="1" x14ac:dyDescent="0.25">
      <c r="A244" s="279" t="s">
        <v>26</v>
      </c>
      <c r="B244" s="201"/>
      <c r="C244" s="202"/>
      <c r="D244" s="294">
        <f ca="1">G190</f>
        <v>16.059999999999999</v>
      </c>
      <c r="E244" s="202"/>
      <c r="F244" s="89">
        <f t="shared" si="5"/>
        <v>364.98</v>
      </c>
      <c r="G244" s="287">
        <f t="shared" ca="1" si="6"/>
        <v>5861.58</v>
      </c>
      <c r="H244" s="201"/>
      <c r="I244" s="202"/>
    </row>
    <row r="245" spans="1:9" ht="13.5" customHeight="1" x14ac:dyDescent="0.25">
      <c r="A245" s="279" t="s">
        <v>27</v>
      </c>
      <c r="B245" s="201"/>
      <c r="C245" s="202"/>
      <c r="D245" s="294">
        <f ca="1">G192</f>
        <v>2.89</v>
      </c>
      <c r="E245" s="202"/>
      <c r="F245" s="89">
        <f t="shared" si="5"/>
        <v>41.78</v>
      </c>
      <c r="G245" s="287">
        <f t="shared" ca="1" si="6"/>
        <v>120.74</v>
      </c>
      <c r="H245" s="201"/>
      <c r="I245" s="202"/>
    </row>
    <row r="246" spans="1:9" ht="13.5" customHeight="1" x14ac:dyDescent="0.25">
      <c r="A246" s="279" t="s">
        <v>28</v>
      </c>
      <c r="B246" s="201"/>
      <c r="C246" s="202"/>
      <c r="D246" s="294">
        <f ca="1">G194</f>
        <v>4.01</v>
      </c>
      <c r="E246" s="202"/>
      <c r="F246" s="89">
        <f t="shared" si="5"/>
        <v>0</v>
      </c>
      <c r="G246" s="287">
        <f t="shared" ca="1" si="6"/>
        <v>0</v>
      </c>
      <c r="H246" s="201"/>
      <c r="I246" s="202"/>
    </row>
    <row r="247" spans="1:9" ht="15.75" customHeight="1" x14ac:dyDescent="0.25">
      <c r="A247" s="293" t="s">
        <v>29</v>
      </c>
      <c r="B247" s="201"/>
      <c r="C247" s="202"/>
      <c r="D247" s="294">
        <f ca="1">G196</f>
        <v>0.48</v>
      </c>
      <c r="E247" s="202"/>
      <c r="F247" s="89">
        <f t="shared" si="5"/>
        <v>537.20000000000005</v>
      </c>
      <c r="G247" s="287">
        <f t="shared" ca="1" si="6"/>
        <v>257.86</v>
      </c>
      <c r="H247" s="201"/>
      <c r="I247" s="202"/>
    </row>
    <row r="248" spans="1:9" ht="20.25" customHeight="1" x14ac:dyDescent="0.25">
      <c r="A248" s="206" t="s">
        <v>238</v>
      </c>
      <c r="B248" s="201"/>
      <c r="C248" s="202"/>
      <c r="D248" s="312">
        <f ca="1">G198</f>
        <v>24.09</v>
      </c>
      <c r="E248" s="202"/>
      <c r="F248" s="90">
        <f t="shared" si="5"/>
        <v>820.28</v>
      </c>
      <c r="G248" s="287">
        <f t="shared" ca="1" si="6"/>
        <v>19760.55</v>
      </c>
      <c r="H248" s="201"/>
      <c r="I248" s="202"/>
    </row>
    <row r="249" spans="1:9" ht="16.5" customHeight="1" x14ac:dyDescent="0.25">
      <c r="A249" s="291" t="s">
        <v>31</v>
      </c>
      <c r="B249" s="201"/>
      <c r="C249" s="201"/>
      <c r="D249" s="201"/>
      <c r="E249" s="202"/>
      <c r="F249" s="91">
        <f t="shared" si="5"/>
        <v>5154.3999999999996</v>
      </c>
      <c r="G249" s="290">
        <f ca="1">SUM(G242:I248)</f>
        <v>46409.49</v>
      </c>
      <c r="H249" s="201"/>
      <c r="I249" s="202"/>
    </row>
    <row r="250" spans="1:9" ht="6.75" customHeight="1" x14ac:dyDescent="0.25">
      <c r="A250" s="313"/>
      <c r="B250" s="201"/>
      <c r="C250" s="201"/>
      <c r="D250" s="201"/>
      <c r="E250" s="201"/>
      <c r="F250" s="201"/>
      <c r="G250" s="201"/>
      <c r="H250" s="201"/>
      <c r="I250" s="202"/>
    </row>
    <row r="251" spans="1:9" ht="24" customHeight="1" x14ac:dyDescent="0.25">
      <c r="A251" s="288" t="s">
        <v>32</v>
      </c>
      <c r="B251" s="214"/>
      <c r="C251" s="215"/>
      <c r="D251" s="289">
        <f ca="1">G206</f>
        <v>2.68</v>
      </c>
      <c r="E251" s="215"/>
      <c r="F251" s="92">
        <f t="shared" ref="F251:F257" si="7">H22</f>
        <v>659.12</v>
      </c>
      <c r="G251" s="287">
        <f t="shared" ref="G251:G256" ca="1" si="8">ROUND(D251*F251,2)</f>
        <v>1766.44</v>
      </c>
      <c r="H251" s="201"/>
      <c r="I251" s="202"/>
    </row>
    <row r="252" spans="1:9" ht="24" customHeight="1" x14ac:dyDescent="0.25">
      <c r="A252" s="288" t="s">
        <v>239</v>
      </c>
      <c r="B252" s="214"/>
      <c r="C252" s="215"/>
      <c r="D252" s="289">
        <f ca="1">G208</f>
        <v>0.8</v>
      </c>
      <c r="E252" s="215"/>
      <c r="F252" s="92">
        <f t="shared" si="7"/>
        <v>0</v>
      </c>
      <c r="G252" s="287">
        <f t="shared" ca="1" si="8"/>
        <v>0</v>
      </c>
      <c r="H252" s="201"/>
      <c r="I252" s="202"/>
    </row>
    <row r="253" spans="1:9" ht="24" customHeight="1" x14ac:dyDescent="0.25">
      <c r="A253" s="288" t="s">
        <v>240</v>
      </c>
      <c r="B253" s="214"/>
      <c r="C253" s="215"/>
      <c r="D253" s="289">
        <f ca="1">G210</f>
        <v>2.68</v>
      </c>
      <c r="E253" s="215"/>
      <c r="F253" s="92">
        <f t="shared" si="7"/>
        <v>0</v>
      </c>
      <c r="G253" s="287">
        <f t="shared" ca="1" si="8"/>
        <v>0</v>
      </c>
      <c r="H253" s="201"/>
      <c r="I253" s="202"/>
    </row>
    <row r="254" spans="1:9" ht="24" customHeight="1" x14ac:dyDescent="0.25">
      <c r="A254" s="288" t="s">
        <v>241</v>
      </c>
      <c r="B254" s="214"/>
      <c r="C254" s="215"/>
      <c r="D254" s="289">
        <f ca="1">G212</f>
        <v>2.68</v>
      </c>
      <c r="E254" s="215"/>
      <c r="F254" s="92">
        <f t="shared" si="7"/>
        <v>0</v>
      </c>
      <c r="G254" s="287">
        <f t="shared" ca="1" si="8"/>
        <v>0</v>
      </c>
      <c r="H254" s="201"/>
      <c r="I254" s="202"/>
    </row>
    <row r="255" spans="1:9" ht="24" customHeight="1" x14ac:dyDescent="0.25">
      <c r="A255" s="288" t="s">
        <v>242</v>
      </c>
      <c r="B255" s="214"/>
      <c r="C255" s="215"/>
      <c r="D255" s="289">
        <f ca="1">G214</f>
        <v>2.68</v>
      </c>
      <c r="E255" s="215"/>
      <c r="F255" s="92">
        <f t="shared" si="7"/>
        <v>0</v>
      </c>
      <c r="G255" s="287">
        <f t="shared" ca="1" si="8"/>
        <v>0</v>
      </c>
      <c r="H255" s="201"/>
      <c r="I255" s="202"/>
    </row>
    <row r="256" spans="1:9" ht="24" customHeight="1" x14ac:dyDescent="0.25">
      <c r="A256" s="288" t="s">
        <v>243</v>
      </c>
      <c r="B256" s="214"/>
      <c r="C256" s="215"/>
      <c r="D256" s="289">
        <f ca="1">G216</f>
        <v>7.0000000000000007E-2</v>
      </c>
      <c r="E256" s="215"/>
      <c r="F256" s="92">
        <f t="shared" si="7"/>
        <v>0</v>
      </c>
      <c r="G256" s="287">
        <f t="shared" ca="1" si="8"/>
        <v>0</v>
      </c>
      <c r="H256" s="201"/>
      <c r="I256" s="202"/>
    </row>
    <row r="257" spans="1:9" ht="12.75" customHeight="1" x14ac:dyDescent="0.25">
      <c r="A257" s="291" t="s">
        <v>38</v>
      </c>
      <c r="B257" s="201"/>
      <c r="C257" s="201"/>
      <c r="D257" s="201"/>
      <c r="E257" s="202"/>
      <c r="F257" s="93">
        <f t="shared" si="7"/>
        <v>659.12</v>
      </c>
      <c r="G257" s="290">
        <f ca="1">SUM(G251:I256)</f>
        <v>1766.44</v>
      </c>
      <c r="H257" s="201"/>
      <c r="I257" s="202"/>
    </row>
    <row r="258" spans="1:9" ht="9" customHeight="1" x14ac:dyDescent="0.25">
      <c r="A258" s="292"/>
      <c r="B258" s="201"/>
      <c r="C258" s="201"/>
      <c r="D258" s="201"/>
      <c r="E258" s="201"/>
      <c r="F258" s="201"/>
      <c r="G258" s="201"/>
      <c r="H258" s="201"/>
      <c r="I258" s="202"/>
    </row>
    <row r="259" spans="1:9" ht="24" customHeight="1" x14ac:dyDescent="0.25">
      <c r="A259" s="293" t="s">
        <v>244</v>
      </c>
      <c r="B259" s="201"/>
      <c r="C259" s="202"/>
      <c r="D259" s="294">
        <f ca="1">H225</f>
        <v>3.83</v>
      </c>
      <c r="E259" s="202"/>
      <c r="F259" s="89">
        <f t="shared" ref="F259:F261" si="9">H30</f>
        <v>0</v>
      </c>
      <c r="G259" s="287">
        <f t="shared" ref="G259:G262" ca="1" si="10">ROUND((D259*F259),2)</f>
        <v>0</v>
      </c>
      <c r="H259" s="201"/>
      <c r="I259" s="202"/>
    </row>
    <row r="260" spans="1:9" ht="24" customHeight="1" x14ac:dyDescent="0.25">
      <c r="A260" s="293" t="s">
        <v>245</v>
      </c>
      <c r="B260" s="201"/>
      <c r="C260" s="202"/>
      <c r="D260" s="294">
        <f ca="1">H227</f>
        <v>1.61</v>
      </c>
      <c r="E260" s="202"/>
      <c r="F260" s="89">
        <f t="shared" si="9"/>
        <v>97.25</v>
      </c>
      <c r="G260" s="287">
        <f t="shared" ca="1" si="10"/>
        <v>156.57</v>
      </c>
      <c r="H260" s="201"/>
      <c r="I260" s="202"/>
    </row>
    <row r="261" spans="1:9" ht="13.5" customHeight="1" x14ac:dyDescent="0.25">
      <c r="A261" s="293" t="s">
        <v>246</v>
      </c>
      <c r="B261" s="201"/>
      <c r="C261" s="202"/>
      <c r="D261" s="294">
        <f ca="1">H229</f>
        <v>1.61</v>
      </c>
      <c r="E261" s="202"/>
      <c r="F261" s="89">
        <f t="shared" si="9"/>
        <v>0</v>
      </c>
      <c r="G261" s="287">
        <f t="shared" ca="1" si="10"/>
        <v>0</v>
      </c>
      <c r="H261" s="201"/>
      <c r="I261" s="202"/>
    </row>
    <row r="262" spans="1:9" ht="13.5" customHeight="1" x14ac:dyDescent="0.25">
      <c r="A262" s="293" t="s">
        <v>43</v>
      </c>
      <c r="B262" s="201"/>
      <c r="C262" s="202"/>
      <c r="D262" s="294">
        <f ca="1">H231</f>
        <v>1.36</v>
      </c>
      <c r="E262" s="202"/>
      <c r="F262" s="89">
        <f>H35</f>
        <v>77.86</v>
      </c>
      <c r="G262" s="287">
        <f t="shared" ca="1" si="10"/>
        <v>105.89</v>
      </c>
      <c r="H262" s="201"/>
      <c r="I262" s="202"/>
    </row>
    <row r="263" spans="1:9" ht="12.75" customHeight="1" x14ac:dyDescent="0.25">
      <c r="A263" s="291" t="s">
        <v>247</v>
      </c>
      <c r="B263" s="201"/>
      <c r="C263" s="201"/>
      <c r="D263" s="201"/>
      <c r="E263" s="202"/>
      <c r="F263" s="91">
        <f>H33</f>
        <v>97.25</v>
      </c>
      <c r="G263" s="290">
        <f ca="1">SUM(G259:I262)</f>
        <v>262.45999999999998</v>
      </c>
      <c r="H263" s="201"/>
      <c r="I263" s="202"/>
    </row>
    <row r="264" spans="1:9" ht="7.5" customHeight="1" x14ac:dyDescent="0.25">
      <c r="A264" s="261"/>
      <c r="B264" s="201"/>
      <c r="C264" s="201"/>
      <c r="D264" s="201"/>
      <c r="E264" s="201"/>
      <c r="F264" s="201"/>
      <c r="G264" s="201"/>
      <c r="H264" s="201"/>
      <c r="I264" s="202"/>
    </row>
    <row r="265" spans="1:9" ht="12.75" customHeight="1" x14ac:dyDescent="0.25">
      <c r="A265" s="296" t="s">
        <v>248</v>
      </c>
      <c r="B265" s="214"/>
      <c r="C265" s="214"/>
      <c r="D265" s="214"/>
      <c r="E265" s="215"/>
      <c r="F265" s="94">
        <f>ROUND(F249+F257+F262+F263,2)</f>
        <v>5988.63</v>
      </c>
      <c r="G265" s="295">
        <f ca="1">SUM(G249+G257+G263)</f>
        <v>48438.39</v>
      </c>
      <c r="H265" s="201"/>
      <c r="I265" s="202"/>
    </row>
    <row r="266" spans="1:9" ht="6.75" customHeight="1" x14ac:dyDescent="0.25">
      <c r="A266" s="269"/>
      <c r="B266" s="201"/>
      <c r="C266" s="201"/>
      <c r="D266" s="201"/>
      <c r="E266" s="201"/>
      <c r="F266" s="201"/>
      <c r="G266" s="201"/>
      <c r="H266" s="201"/>
      <c r="I266" s="202"/>
    </row>
    <row r="267" spans="1:9" ht="18.75" customHeight="1" x14ac:dyDescent="0.25">
      <c r="A267" s="206" t="s">
        <v>249</v>
      </c>
      <c r="B267" s="201"/>
      <c r="C267" s="201"/>
      <c r="D267" s="201"/>
      <c r="E267" s="201"/>
      <c r="F267" s="202"/>
      <c r="G267" s="297">
        <f ca="1">G265</f>
        <v>48438.39</v>
      </c>
      <c r="H267" s="201"/>
      <c r="I267" s="202"/>
    </row>
    <row r="268" spans="1:9" ht="8.25" customHeight="1" x14ac:dyDescent="0.25">
      <c r="A268" s="298"/>
      <c r="B268" s="271"/>
      <c r="C268" s="271"/>
      <c r="D268" s="271"/>
      <c r="E268" s="271"/>
      <c r="F268" s="271"/>
      <c r="G268" s="271"/>
      <c r="H268" s="271"/>
      <c r="I268" s="271"/>
    </row>
    <row r="269" spans="1:9" ht="19.5" customHeight="1" x14ac:dyDescent="0.25">
      <c r="A269" s="206" t="s">
        <v>250</v>
      </c>
      <c r="B269" s="201"/>
      <c r="C269" s="201"/>
      <c r="D269" s="201"/>
      <c r="E269" s="201"/>
      <c r="F269" s="202"/>
      <c r="G269" s="217">
        <f>H10</f>
        <v>24</v>
      </c>
      <c r="H269" s="201"/>
      <c r="I269" s="202"/>
    </row>
    <row r="270" spans="1:9" ht="14.25" customHeight="1" x14ac:dyDescent="0.25">
      <c r="A270" s="302"/>
      <c r="B270" s="201"/>
      <c r="C270" s="201"/>
      <c r="D270" s="201"/>
      <c r="E270" s="201"/>
      <c r="F270" s="201"/>
      <c r="G270" s="201"/>
      <c r="H270" s="201"/>
      <c r="I270" s="201"/>
    </row>
    <row r="271" spans="1:9" ht="31.5" customHeight="1" x14ac:dyDescent="0.25">
      <c r="A271" s="206" t="s">
        <v>251</v>
      </c>
      <c r="B271" s="201"/>
      <c r="C271" s="201"/>
      <c r="D271" s="201"/>
      <c r="E271" s="201"/>
      <c r="F271" s="202"/>
      <c r="G271" s="303">
        <f ca="1">ROUND(G265*G269,2)</f>
        <v>1162521.3600000001</v>
      </c>
      <c r="H271" s="201"/>
      <c r="I271" s="202"/>
    </row>
    <row r="272" spans="1:9" ht="8.25" customHeight="1" x14ac:dyDescent="0.25">
      <c r="A272" s="229"/>
      <c r="B272" s="201"/>
      <c r="C272" s="201"/>
      <c r="D272" s="201"/>
      <c r="E272" s="201"/>
      <c r="F272" s="201"/>
      <c r="G272" s="201"/>
      <c r="H272" s="201"/>
      <c r="I272" s="202"/>
    </row>
    <row r="273" spans="1:9" ht="29.25" customHeight="1" x14ac:dyDescent="0.25">
      <c r="A273" s="304" t="s">
        <v>252</v>
      </c>
      <c r="B273" s="201"/>
      <c r="C273" s="201"/>
      <c r="D273" s="201"/>
      <c r="E273" s="201"/>
      <c r="F273" s="201"/>
      <c r="G273" s="201"/>
      <c r="H273" s="201"/>
      <c r="I273" s="202"/>
    </row>
    <row r="274" spans="1:9" ht="12" customHeight="1" x14ac:dyDescent="0.25">
      <c r="A274" s="305" t="s">
        <v>253</v>
      </c>
      <c r="B274" s="277"/>
      <c r="C274" s="277"/>
      <c r="D274" s="277"/>
      <c r="E274" s="277"/>
      <c r="F274" s="277"/>
      <c r="G274" s="274"/>
      <c r="H274" s="306" t="s">
        <v>254</v>
      </c>
      <c r="I274" s="274"/>
    </row>
    <row r="275" spans="1:9" ht="11.25" customHeight="1" x14ac:dyDescent="0.25">
      <c r="A275" s="246"/>
      <c r="B275" s="214"/>
      <c r="C275" s="214"/>
      <c r="D275" s="214"/>
      <c r="E275" s="214"/>
      <c r="F275" s="214"/>
      <c r="G275" s="215"/>
      <c r="H275" s="246"/>
      <c r="I275" s="215"/>
    </row>
    <row r="276" spans="1:9" ht="11.25" customHeight="1" x14ac:dyDescent="0.25">
      <c r="A276" s="299" t="s">
        <v>255</v>
      </c>
      <c r="B276" s="201"/>
      <c r="C276" s="201"/>
      <c r="D276" s="201"/>
      <c r="E276" s="201"/>
      <c r="F276" s="201"/>
      <c r="G276" s="202"/>
      <c r="H276" s="300">
        <f>'CÁLCULO DO Nº DE SERVENTES'!P23</f>
        <v>7</v>
      </c>
      <c r="I276" s="202"/>
    </row>
    <row r="277" spans="1:9" ht="12.75" customHeight="1" x14ac:dyDescent="0.25">
      <c r="A277" s="293"/>
      <c r="B277" s="201"/>
      <c r="C277" s="201"/>
      <c r="D277" s="201"/>
      <c r="E277" s="201"/>
      <c r="F277" s="201"/>
      <c r="G277" s="201"/>
      <c r="H277" s="201"/>
      <c r="I277" s="202"/>
    </row>
    <row r="278" spans="1:9" ht="9" customHeight="1" x14ac:dyDescent="0.25">
      <c r="A278" s="301"/>
      <c r="B278" s="277"/>
      <c r="C278" s="277"/>
      <c r="D278" s="277"/>
      <c r="E278" s="277"/>
      <c r="F278" s="277"/>
      <c r="G278" s="277"/>
      <c r="H278" s="277"/>
      <c r="I278" s="274"/>
    </row>
    <row r="279" spans="1:9" ht="11.25" hidden="1" customHeight="1" x14ac:dyDescent="0.25">
      <c r="A279" s="246"/>
      <c r="B279" s="214"/>
      <c r="C279" s="214"/>
      <c r="D279" s="214"/>
      <c r="E279" s="214"/>
      <c r="F279" s="214"/>
      <c r="G279" s="214"/>
      <c r="H279" s="214"/>
      <c r="I279" s="215"/>
    </row>
    <row r="280" spans="1:9" ht="11.25" customHeight="1" x14ac:dyDescent="0.25">
      <c r="A280" s="95"/>
      <c r="B280" s="95"/>
      <c r="C280" s="95"/>
      <c r="D280" s="95"/>
      <c r="E280" s="95"/>
      <c r="F280" s="95"/>
      <c r="G280" s="95"/>
      <c r="H280" s="95"/>
      <c r="I280" s="96"/>
    </row>
    <row r="281" spans="1:9" ht="11.25" customHeight="1" x14ac:dyDescent="0.25">
      <c r="A281" s="95"/>
      <c r="B281" s="95"/>
      <c r="C281" s="95"/>
      <c r="D281" s="95"/>
      <c r="E281" s="95"/>
      <c r="F281" s="95"/>
      <c r="G281" s="95"/>
      <c r="H281" s="95"/>
      <c r="I281" s="96"/>
    </row>
  </sheetData>
  <mergeCells count="419">
    <mergeCell ref="B59:H59"/>
    <mergeCell ref="B125:H125"/>
    <mergeCell ref="A126:H126"/>
    <mergeCell ref="A127:I127"/>
    <mergeCell ref="A128:I128"/>
    <mergeCell ref="B129:H129"/>
    <mergeCell ref="B130:H130"/>
    <mergeCell ref="A131:H131"/>
    <mergeCell ref="A132:I132"/>
    <mergeCell ref="B50:G50"/>
    <mergeCell ref="B51:H51"/>
    <mergeCell ref="B52:G52"/>
    <mergeCell ref="A53:H53"/>
    <mergeCell ref="A54:I54"/>
    <mergeCell ref="A55:I55"/>
    <mergeCell ref="A56:I56"/>
    <mergeCell ref="A57:I57"/>
    <mergeCell ref="A58:I58"/>
    <mergeCell ref="A35:E35"/>
    <mergeCell ref="F35:G35"/>
    <mergeCell ref="H35:I35"/>
    <mergeCell ref="A36:G36"/>
    <mergeCell ref="H36:I36"/>
    <mergeCell ref="A46:I46"/>
    <mergeCell ref="A47:I47"/>
    <mergeCell ref="A48:I48"/>
    <mergeCell ref="A49:I49"/>
    <mergeCell ref="A31:E31"/>
    <mergeCell ref="F31:G31"/>
    <mergeCell ref="H31:I31"/>
    <mergeCell ref="A32:E32"/>
    <mergeCell ref="F32:G32"/>
    <mergeCell ref="H32:I32"/>
    <mergeCell ref="H33:I33"/>
    <mergeCell ref="A33:G33"/>
    <mergeCell ref="A34:I34"/>
    <mergeCell ref="F30:G30"/>
    <mergeCell ref="H30:I30"/>
    <mergeCell ref="A27:E27"/>
    <mergeCell ref="F27:G27"/>
    <mergeCell ref="H27:I27"/>
    <mergeCell ref="A28:G28"/>
    <mergeCell ref="H28:I28"/>
    <mergeCell ref="A29:I29"/>
    <mergeCell ref="A30:E30"/>
    <mergeCell ref="F26:G26"/>
    <mergeCell ref="H26:I26"/>
    <mergeCell ref="A24:E24"/>
    <mergeCell ref="F24:G24"/>
    <mergeCell ref="H24:I24"/>
    <mergeCell ref="A25:E25"/>
    <mergeCell ref="F25:G25"/>
    <mergeCell ref="H25:I25"/>
    <mergeCell ref="A26:E26"/>
    <mergeCell ref="F23:G23"/>
    <mergeCell ref="H23:I23"/>
    <mergeCell ref="A20:G20"/>
    <mergeCell ref="H20:I20"/>
    <mergeCell ref="A21:I21"/>
    <mergeCell ref="A22:E22"/>
    <mergeCell ref="F22:G22"/>
    <mergeCell ref="H22:I22"/>
    <mergeCell ref="A23:E23"/>
    <mergeCell ref="F19:G19"/>
    <mergeCell ref="H19:I19"/>
    <mergeCell ref="A17:E17"/>
    <mergeCell ref="F17:G17"/>
    <mergeCell ref="H17:I17"/>
    <mergeCell ref="A18:E18"/>
    <mergeCell ref="F18:G18"/>
    <mergeCell ref="H18:I18"/>
    <mergeCell ref="A19:E19"/>
    <mergeCell ref="A249:E249"/>
    <mergeCell ref="A250:I250"/>
    <mergeCell ref="D251:E251"/>
    <mergeCell ref="G251:I251"/>
    <mergeCell ref="A251:C251"/>
    <mergeCell ref="A252:C252"/>
    <mergeCell ref="D252:E252"/>
    <mergeCell ref="G252:I252"/>
    <mergeCell ref="A253:C253"/>
    <mergeCell ref="D253:E253"/>
    <mergeCell ref="G253:I253"/>
    <mergeCell ref="G243:I243"/>
    <mergeCell ref="G244:I244"/>
    <mergeCell ref="G245:I245"/>
    <mergeCell ref="G246:I246"/>
    <mergeCell ref="G247:I247"/>
    <mergeCell ref="G248:I248"/>
    <mergeCell ref="G249:I249"/>
    <mergeCell ref="A241:C241"/>
    <mergeCell ref="D241:E241"/>
    <mergeCell ref="G241:I241"/>
    <mergeCell ref="A242:C242"/>
    <mergeCell ref="D242:E242"/>
    <mergeCell ref="A243:C243"/>
    <mergeCell ref="D243:E243"/>
    <mergeCell ref="A244:C244"/>
    <mergeCell ref="D244:E244"/>
    <mergeCell ref="A245:C245"/>
    <mergeCell ref="D245:E245"/>
    <mergeCell ref="A246:C246"/>
    <mergeCell ref="D246:E246"/>
    <mergeCell ref="D247:E247"/>
    <mergeCell ref="A247:C247"/>
    <mergeCell ref="A248:C248"/>
    <mergeCell ref="D248:E248"/>
    <mergeCell ref="A276:G276"/>
    <mergeCell ref="H276:I276"/>
    <mergeCell ref="A277:I277"/>
    <mergeCell ref="A278:I279"/>
    <mergeCell ref="A270:I270"/>
    <mergeCell ref="A271:F271"/>
    <mergeCell ref="G271:I271"/>
    <mergeCell ref="A272:I272"/>
    <mergeCell ref="A273:I273"/>
    <mergeCell ref="A274:G275"/>
    <mergeCell ref="H274:I275"/>
    <mergeCell ref="A264:I264"/>
    <mergeCell ref="G265:I265"/>
    <mergeCell ref="A265:E265"/>
    <mergeCell ref="A266:I266"/>
    <mergeCell ref="A267:F267"/>
    <mergeCell ref="G267:I267"/>
    <mergeCell ref="A268:I268"/>
    <mergeCell ref="A269:F269"/>
    <mergeCell ref="G269:I269"/>
    <mergeCell ref="G260:I260"/>
    <mergeCell ref="G261:I261"/>
    <mergeCell ref="G262:I262"/>
    <mergeCell ref="G263:I263"/>
    <mergeCell ref="A257:E257"/>
    <mergeCell ref="G257:I257"/>
    <mergeCell ref="A258:I258"/>
    <mergeCell ref="A259:C259"/>
    <mergeCell ref="D259:E259"/>
    <mergeCell ref="A260:C260"/>
    <mergeCell ref="D260:E260"/>
    <mergeCell ref="A261:C261"/>
    <mergeCell ref="D261:E261"/>
    <mergeCell ref="A262:C262"/>
    <mergeCell ref="D262:E262"/>
    <mergeCell ref="A263:E263"/>
    <mergeCell ref="G256:I256"/>
    <mergeCell ref="A254:C254"/>
    <mergeCell ref="D254:E254"/>
    <mergeCell ref="G254:I254"/>
    <mergeCell ref="A255:C255"/>
    <mergeCell ref="D255:E255"/>
    <mergeCell ref="A256:C256"/>
    <mergeCell ref="D256:E256"/>
    <mergeCell ref="G259:I259"/>
    <mergeCell ref="H224:I224"/>
    <mergeCell ref="D224:E224"/>
    <mergeCell ref="D225:E225"/>
    <mergeCell ref="H225:I225"/>
    <mergeCell ref="A226:I226"/>
    <mergeCell ref="D227:E227"/>
    <mergeCell ref="H227:I227"/>
    <mergeCell ref="A228:I228"/>
    <mergeCell ref="G255:I255"/>
    <mergeCell ref="D229:E229"/>
    <mergeCell ref="H229:I229"/>
    <mergeCell ref="A230:I230"/>
    <mergeCell ref="D231:E231"/>
    <mergeCell ref="H231:I231"/>
    <mergeCell ref="A232:I232"/>
    <mergeCell ref="D233:E233"/>
    <mergeCell ref="H233:I233"/>
    <mergeCell ref="A234:I234"/>
    <mergeCell ref="A235:I235"/>
    <mergeCell ref="A236:I236"/>
    <mergeCell ref="A237:I237"/>
    <mergeCell ref="A238:I238"/>
    <mergeCell ref="A239:I240"/>
    <mergeCell ref="G242:I242"/>
    <mergeCell ref="A216:B216"/>
    <mergeCell ref="C216:D216"/>
    <mergeCell ref="E216:F216"/>
    <mergeCell ref="G216:I216"/>
    <mergeCell ref="A218:I218"/>
    <mergeCell ref="A219:I219"/>
    <mergeCell ref="A220:I220"/>
    <mergeCell ref="A221:I221"/>
    <mergeCell ref="A222:I223"/>
    <mergeCell ref="A211:I211"/>
    <mergeCell ref="A212:B212"/>
    <mergeCell ref="C212:D212"/>
    <mergeCell ref="E212:F212"/>
    <mergeCell ref="G212:I212"/>
    <mergeCell ref="A213:I213"/>
    <mergeCell ref="A214:B214"/>
    <mergeCell ref="C214:D214"/>
    <mergeCell ref="E214:F214"/>
    <mergeCell ref="G214:I214"/>
    <mergeCell ref="E208:F208"/>
    <mergeCell ref="G208:I208"/>
    <mergeCell ref="A208:B208"/>
    <mergeCell ref="A210:B210"/>
    <mergeCell ref="C210:D210"/>
    <mergeCell ref="E210:F210"/>
    <mergeCell ref="A206:B206"/>
    <mergeCell ref="C206:D206"/>
    <mergeCell ref="E206:F206"/>
    <mergeCell ref="G206:I206"/>
    <mergeCell ref="A207:I207"/>
    <mergeCell ref="C208:D208"/>
    <mergeCell ref="A209:I209"/>
    <mergeCell ref="G210:I210"/>
    <mergeCell ref="A199:I199"/>
    <mergeCell ref="A200:I200"/>
    <mergeCell ref="A201:I201"/>
    <mergeCell ref="A202:I202"/>
    <mergeCell ref="A203:I203"/>
    <mergeCell ref="A204:I204"/>
    <mergeCell ref="A205:B205"/>
    <mergeCell ref="C205:D205"/>
    <mergeCell ref="E205:F205"/>
    <mergeCell ref="G205:I205"/>
    <mergeCell ref="A195:I195"/>
    <mergeCell ref="A196:B196"/>
    <mergeCell ref="C196:D196"/>
    <mergeCell ref="E196:F196"/>
    <mergeCell ref="G196:I196"/>
    <mergeCell ref="A197:I197"/>
    <mergeCell ref="A198:B198"/>
    <mergeCell ref="C198:D198"/>
    <mergeCell ref="E198:F198"/>
    <mergeCell ref="G198:I198"/>
    <mergeCell ref="C188:D188"/>
    <mergeCell ref="E188:F188"/>
    <mergeCell ref="G188:I188"/>
    <mergeCell ref="A189:I189"/>
    <mergeCell ref="A193:B193"/>
    <mergeCell ref="C193:D193"/>
    <mergeCell ref="E193:F193"/>
    <mergeCell ref="G193:I193"/>
    <mergeCell ref="A194:B194"/>
    <mergeCell ref="C194:D194"/>
    <mergeCell ref="E194:F194"/>
    <mergeCell ref="G194:I194"/>
    <mergeCell ref="A178:H178"/>
    <mergeCell ref="A180:I180"/>
    <mergeCell ref="A181:I181"/>
    <mergeCell ref="C186:D186"/>
    <mergeCell ref="E186:F186"/>
    <mergeCell ref="E192:F192"/>
    <mergeCell ref="G192:I192"/>
    <mergeCell ref="A190:B190"/>
    <mergeCell ref="C190:D190"/>
    <mergeCell ref="E190:F190"/>
    <mergeCell ref="G190:I190"/>
    <mergeCell ref="A191:I191"/>
    <mergeCell ref="A192:B192"/>
    <mergeCell ref="C192:D192"/>
    <mergeCell ref="A183:I183"/>
    <mergeCell ref="A184:I184"/>
    <mergeCell ref="A185:B185"/>
    <mergeCell ref="C185:D185"/>
    <mergeCell ref="E185:F185"/>
    <mergeCell ref="G185:I185"/>
    <mergeCell ref="A186:B186"/>
    <mergeCell ref="G186:I186"/>
    <mergeCell ref="A187:I187"/>
    <mergeCell ref="A188:B188"/>
    <mergeCell ref="A169:I169"/>
    <mergeCell ref="A170:H170"/>
    <mergeCell ref="B171:H171"/>
    <mergeCell ref="B172:H172"/>
    <mergeCell ref="B173:H173"/>
    <mergeCell ref="B174:H174"/>
    <mergeCell ref="B175:H175"/>
    <mergeCell ref="A176:H176"/>
    <mergeCell ref="B177:H177"/>
    <mergeCell ref="A161:I161"/>
    <mergeCell ref="A162:G162"/>
    <mergeCell ref="A163:B165"/>
    <mergeCell ref="C163:I163"/>
    <mergeCell ref="C164:I164"/>
    <mergeCell ref="C165:I165"/>
    <mergeCell ref="A166:I166"/>
    <mergeCell ref="A167:I167"/>
    <mergeCell ref="A168:I168"/>
    <mergeCell ref="B152:G152"/>
    <mergeCell ref="B153:G153"/>
    <mergeCell ref="B154:G154"/>
    <mergeCell ref="B155:G155"/>
    <mergeCell ref="B156:G156"/>
    <mergeCell ref="B157:G157"/>
    <mergeCell ref="B158:G158"/>
    <mergeCell ref="B159:G159"/>
    <mergeCell ref="A160:G160"/>
    <mergeCell ref="A142:I142"/>
    <mergeCell ref="A144:I144"/>
    <mergeCell ref="B145:G145"/>
    <mergeCell ref="A146:G146"/>
    <mergeCell ref="B147:G147"/>
    <mergeCell ref="A148:G148"/>
    <mergeCell ref="B149:G149"/>
    <mergeCell ref="A150:G150"/>
    <mergeCell ref="B151:G151"/>
    <mergeCell ref="B104:H104"/>
    <mergeCell ref="B105:H105"/>
    <mergeCell ref="B106:H106"/>
    <mergeCell ref="B107:G107"/>
    <mergeCell ref="A108:H108"/>
    <mergeCell ref="A109:I109"/>
    <mergeCell ref="B139:H139"/>
    <mergeCell ref="A140:H140"/>
    <mergeCell ref="A141:I141"/>
    <mergeCell ref="A133:I133"/>
    <mergeCell ref="B134:H134"/>
    <mergeCell ref="B135:H135"/>
    <mergeCell ref="B136:H136"/>
    <mergeCell ref="B137:H137"/>
    <mergeCell ref="B138:H138"/>
    <mergeCell ref="B122:H122"/>
    <mergeCell ref="B123:H123"/>
    <mergeCell ref="B124:H124"/>
    <mergeCell ref="B67:G67"/>
    <mergeCell ref="B68:C68"/>
    <mergeCell ref="B69:G69"/>
    <mergeCell ref="B70:G70"/>
    <mergeCell ref="B71:G71"/>
    <mergeCell ref="B72:G72"/>
    <mergeCell ref="B73:G73"/>
    <mergeCell ref="A74:G74"/>
    <mergeCell ref="A76:I76"/>
    <mergeCell ref="A77:I77"/>
    <mergeCell ref="A78:I78"/>
    <mergeCell ref="B79:H79"/>
    <mergeCell ref="B80:H80"/>
    <mergeCell ref="B81:G81"/>
    <mergeCell ref="B82:G82"/>
    <mergeCell ref="B83:G83"/>
    <mergeCell ref="B84:G84"/>
    <mergeCell ref="B85:H85"/>
    <mergeCell ref="B86:G86"/>
    <mergeCell ref="B87:G87"/>
    <mergeCell ref="B88:G88"/>
    <mergeCell ref="A112:I112"/>
    <mergeCell ref="A113:I113"/>
    <mergeCell ref="A114:I114"/>
    <mergeCell ref="A115:I115"/>
    <mergeCell ref="A117:I117"/>
    <mergeCell ref="A118:I118"/>
    <mergeCell ref="B119:H119"/>
    <mergeCell ref="B120:H120"/>
    <mergeCell ref="B121:H121"/>
    <mergeCell ref="B60:G60"/>
    <mergeCell ref="B61:G61"/>
    <mergeCell ref="A62:H62"/>
    <mergeCell ref="A63:I63"/>
    <mergeCell ref="A64:I64"/>
    <mergeCell ref="B65:G65"/>
    <mergeCell ref="B66:G66"/>
    <mergeCell ref="A110:I110"/>
    <mergeCell ref="A111:I111"/>
    <mergeCell ref="B89:H89"/>
    <mergeCell ref="B90:H90"/>
    <mergeCell ref="A91:I91"/>
    <mergeCell ref="A92:I92"/>
    <mergeCell ref="A93:I93"/>
    <mergeCell ref="A94:I94"/>
    <mergeCell ref="B95:H95"/>
    <mergeCell ref="B96:H96"/>
    <mergeCell ref="B97:H97"/>
    <mergeCell ref="B98:H98"/>
    <mergeCell ref="A99:H99"/>
    <mergeCell ref="A100:I100"/>
    <mergeCell ref="A101:I101"/>
    <mergeCell ref="B102:H102"/>
    <mergeCell ref="B103:H103"/>
    <mergeCell ref="F12:G12"/>
    <mergeCell ref="H12:I12"/>
    <mergeCell ref="A13:E13"/>
    <mergeCell ref="F16:G16"/>
    <mergeCell ref="H16:I16"/>
    <mergeCell ref="A14:E14"/>
    <mergeCell ref="F14:G14"/>
    <mergeCell ref="H14:I14"/>
    <mergeCell ref="A15:E15"/>
    <mergeCell ref="F15:G15"/>
    <mergeCell ref="H15:I15"/>
    <mergeCell ref="A16:E16"/>
    <mergeCell ref="B44:G44"/>
    <mergeCell ref="H44:I44"/>
    <mergeCell ref="B45:G45"/>
    <mergeCell ref="H45:I45"/>
    <mergeCell ref="A1:I1"/>
    <mergeCell ref="A2:I2"/>
    <mergeCell ref="A3:E3"/>
    <mergeCell ref="F3:I3"/>
    <mergeCell ref="A4:E4"/>
    <mergeCell ref="F4:I4"/>
    <mergeCell ref="A5:I5"/>
    <mergeCell ref="A6:I6"/>
    <mergeCell ref="B7:G7"/>
    <mergeCell ref="H7:I7"/>
    <mergeCell ref="B8:G8"/>
    <mergeCell ref="H8:I8"/>
    <mergeCell ref="B9:G9"/>
    <mergeCell ref="H9:I9"/>
    <mergeCell ref="F13:G13"/>
    <mergeCell ref="H13:I13"/>
    <mergeCell ref="B10:G10"/>
    <mergeCell ref="H10:I10"/>
    <mergeCell ref="A11:I11"/>
    <mergeCell ref="A12:E12"/>
    <mergeCell ref="A37:I37"/>
    <mergeCell ref="A38:I38"/>
    <mergeCell ref="A39:I39"/>
    <mergeCell ref="A40:I40"/>
    <mergeCell ref="B41:G41"/>
    <mergeCell ref="H41:I41"/>
    <mergeCell ref="H42:I42"/>
    <mergeCell ref="B42:G42"/>
    <mergeCell ref="B43:G43"/>
    <mergeCell ref="H43:I43"/>
  </mergeCells>
  <pageMargins left="0.7" right="0.7" top="0.75" bottom="0.75" header="0" footer="0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workbookViewId="0"/>
  </sheetViews>
  <sheetFormatPr defaultColWidth="12.6640625" defaultRowHeight="15" customHeight="1" x14ac:dyDescent="0.25"/>
  <cols>
    <col min="1" max="1" width="13.77734375" customWidth="1"/>
    <col min="2" max="2" width="14.33203125" customWidth="1"/>
    <col min="3" max="4" width="9.33203125" customWidth="1"/>
    <col min="5" max="6" width="9.77734375" customWidth="1"/>
    <col min="7" max="8" width="10.109375" customWidth="1"/>
    <col min="9" max="9" width="4" customWidth="1"/>
    <col min="10" max="10" width="9.77734375" customWidth="1"/>
    <col min="11" max="11" width="3" customWidth="1"/>
    <col min="12" max="12" width="5.88671875" customWidth="1"/>
    <col min="13" max="13" width="2.33203125" customWidth="1"/>
    <col min="14" max="15" width="9.33203125" customWidth="1"/>
    <col min="16" max="16" width="7.33203125" customWidth="1"/>
  </cols>
  <sheetData>
    <row r="1" spans="1:16" ht="114.75" customHeight="1" x14ac:dyDescent="0.25">
      <c r="A1" s="97" t="s">
        <v>234</v>
      </c>
      <c r="B1" s="97" t="s">
        <v>256</v>
      </c>
      <c r="C1" s="98" t="s">
        <v>257</v>
      </c>
      <c r="D1" s="99" t="s">
        <v>258</v>
      </c>
      <c r="E1" s="99" t="s">
        <v>259</v>
      </c>
      <c r="F1" s="99" t="s">
        <v>260</v>
      </c>
      <c r="G1" s="99" t="s">
        <v>261</v>
      </c>
      <c r="H1" s="99" t="s">
        <v>262</v>
      </c>
      <c r="I1" s="328" t="s">
        <v>263</v>
      </c>
      <c r="J1" s="201"/>
      <c r="K1" s="201"/>
      <c r="L1" s="201"/>
      <c r="M1" s="201"/>
      <c r="N1" s="201"/>
      <c r="O1" s="201"/>
      <c r="P1" s="202"/>
    </row>
    <row r="2" spans="1:16" ht="38.25" customHeight="1" x14ac:dyDescent="0.25">
      <c r="A2" s="329" t="s">
        <v>264</v>
      </c>
      <c r="B2" s="100" t="s">
        <v>265</v>
      </c>
      <c r="C2" s="101">
        <v>1200</v>
      </c>
      <c r="D2" s="102">
        <v>0</v>
      </c>
      <c r="E2" s="97">
        <f t="shared" ref="E2:E14" si="0">D2/C2</f>
        <v>0</v>
      </c>
      <c r="F2" s="6">
        <f t="shared" ref="F2:F19" si="1">TRUNC(E2,0)</f>
        <v>0</v>
      </c>
      <c r="G2" s="97">
        <f t="shared" ref="G2:G19" si="2">E2-F2</f>
        <v>0</v>
      </c>
      <c r="H2" s="97">
        <f t="shared" ref="H2:H19" si="3">G2*$C$23*60</f>
        <v>0</v>
      </c>
      <c r="I2" s="103">
        <f t="shared" ref="I2:I19" si="4">F2</f>
        <v>0</v>
      </c>
      <c r="J2" s="99" t="s">
        <v>266</v>
      </c>
      <c r="K2" s="103">
        <f t="shared" ref="K2:K19" si="5">$C$23</f>
        <v>8</v>
      </c>
      <c r="L2" s="99" t="s">
        <v>267</v>
      </c>
      <c r="M2" s="103">
        <v>1</v>
      </c>
      <c r="N2" s="99" t="s">
        <v>268</v>
      </c>
      <c r="O2" s="103">
        <f t="shared" ref="O2:O19" si="6">H2</f>
        <v>0</v>
      </c>
      <c r="P2" s="99" t="s">
        <v>269</v>
      </c>
    </row>
    <row r="3" spans="1:16" ht="33.75" customHeight="1" x14ac:dyDescent="0.25">
      <c r="A3" s="330"/>
      <c r="B3" s="104" t="s">
        <v>270</v>
      </c>
      <c r="C3" s="101">
        <v>1200</v>
      </c>
      <c r="D3" s="102">
        <v>3390.16</v>
      </c>
      <c r="E3" s="97">
        <f t="shared" si="0"/>
        <v>2.8251333333333331</v>
      </c>
      <c r="F3" s="6">
        <f t="shared" si="1"/>
        <v>2</v>
      </c>
      <c r="G3" s="97">
        <f t="shared" si="2"/>
        <v>0.82513333333333305</v>
      </c>
      <c r="H3" s="97">
        <f t="shared" si="3"/>
        <v>396.06399999999985</v>
      </c>
      <c r="I3" s="103">
        <f t="shared" si="4"/>
        <v>2</v>
      </c>
      <c r="J3" s="99" t="s">
        <v>266</v>
      </c>
      <c r="K3" s="103">
        <f t="shared" si="5"/>
        <v>8</v>
      </c>
      <c r="L3" s="99" t="s">
        <v>267</v>
      </c>
      <c r="M3" s="103">
        <v>1</v>
      </c>
      <c r="N3" s="99" t="s">
        <v>268</v>
      </c>
      <c r="O3" s="103">
        <f t="shared" si="6"/>
        <v>396.06399999999985</v>
      </c>
      <c r="P3" s="99" t="s">
        <v>269</v>
      </c>
    </row>
    <row r="4" spans="1:16" ht="33.75" customHeight="1" x14ac:dyDescent="0.25">
      <c r="A4" s="330"/>
      <c r="B4" s="104" t="s">
        <v>271</v>
      </c>
      <c r="C4" s="101">
        <v>450</v>
      </c>
      <c r="D4" s="102">
        <v>364.98</v>
      </c>
      <c r="E4" s="97">
        <f t="shared" si="0"/>
        <v>0.81106666666666671</v>
      </c>
      <c r="F4" s="6">
        <f t="shared" si="1"/>
        <v>0</v>
      </c>
      <c r="G4" s="97">
        <f t="shared" si="2"/>
        <v>0.81106666666666671</v>
      </c>
      <c r="H4" s="97">
        <f t="shared" si="3"/>
        <v>389.31200000000001</v>
      </c>
      <c r="I4" s="103">
        <f t="shared" si="4"/>
        <v>0</v>
      </c>
      <c r="J4" s="99" t="s">
        <v>266</v>
      </c>
      <c r="K4" s="103">
        <f t="shared" si="5"/>
        <v>8</v>
      </c>
      <c r="L4" s="99" t="s">
        <v>267</v>
      </c>
      <c r="M4" s="103">
        <v>1</v>
      </c>
      <c r="N4" s="99" t="s">
        <v>268</v>
      </c>
      <c r="O4" s="103">
        <f t="shared" si="6"/>
        <v>389.31200000000001</v>
      </c>
      <c r="P4" s="99" t="s">
        <v>269</v>
      </c>
    </row>
    <row r="5" spans="1:16" ht="33.75" customHeight="1" x14ac:dyDescent="0.25">
      <c r="A5" s="330"/>
      <c r="B5" s="105" t="s">
        <v>272</v>
      </c>
      <c r="C5" s="101">
        <v>2500</v>
      </c>
      <c r="D5" s="102">
        <v>41.78</v>
      </c>
      <c r="E5" s="97">
        <f t="shared" si="0"/>
        <v>1.6712000000000001E-2</v>
      </c>
      <c r="F5" s="6">
        <f t="shared" si="1"/>
        <v>0</v>
      </c>
      <c r="G5" s="97">
        <f t="shared" si="2"/>
        <v>1.6712000000000001E-2</v>
      </c>
      <c r="H5" s="97">
        <f t="shared" si="3"/>
        <v>8.0217600000000004</v>
      </c>
      <c r="I5" s="103">
        <f t="shared" si="4"/>
        <v>0</v>
      </c>
      <c r="J5" s="99" t="s">
        <v>266</v>
      </c>
      <c r="K5" s="103">
        <f t="shared" si="5"/>
        <v>8</v>
      </c>
      <c r="L5" s="99" t="s">
        <v>267</v>
      </c>
      <c r="M5" s="103">
        <v>1</v>
      </c>
      <c r="N5" s="99" t="s">
        <v>268</v>
      </c>
      <c r="O5" s="103">
        <f t="shared" si="6"/>
        <v>8.0217600000000004</v>
      </c>
      <c r="P5" s="99" t="s">
        <v>269</v>
      </c>
    </row>
    <row r="6" spans="1:16" ht="33.75" customHeight="1" x14ac:dyDescent="0.25">
      <c r="A6" s="330"/>
      <c r="B6" s="104" t="s">
        <v>273</v>
      </c>
      <c r="C6" s="101">
        <v>1800</v>
      </c>
      <c r="D6" s="106">
        <v>0</v>
      </c>
      <c r="E6" s="97">
        <f t="shared" si="0"/>
        <v>0</v>
      </c>
      <c r="F6" s="6">
        <f t="shared" si="1"/>
        <v>0</v>
      </c>
      <c r="G6" s="97">
        <f t="shared" si="2"/>
        <v>0</v>
      </c>
      <c r="H6" s="97">
        <f t="shared" si="3"/>
        <v>0</v>
      </c>
      <c r="I6" s="103">
        <f t="shared" si="4"/>
        <v>0</v>
      </c>
      <c r="J6" s="99" t="s">
        <v>266</v>
      </c>
      <c r="K6" s="103">
        <f t="shared" si="5"/>
        <v>8</v>
      </c>
      <c r="L6" s="99" t="s">
        <v>267</v>
      </c>
      <c r="M6" s="103">
        <v>1</v>
      </c>
      <c r="N6" s="99" t="s">
        <v>268</v>
      </c>
      <c r="O6" s="103">
        <f t="shared" si="6"/>
        <v>0</v>
      </c>
      <c r="P6" s="99" t="s">
        <v>269</v>
      </c>
    </row>
    <row r="7" spans="1:16" ht="45" customHeight="1" x14ac:dyDescent="0.25">
      <c r="A7" s="330"/>
      <c r="B7" s="105" t="s">
        <v>274</v>
      </c>
      <c r="C7" s="101">
        <v>1500</v>
      </c>
      <c r="D7" s="102">
        <v>537.20000000000005</v>
      </c>
      <c r="E7" s="97">
        <f t="shared" si="0"/>
        <v>0.35813333333333336</v>
      </c>
      <c r="F7" s="6">
        <f t="shared" si="1"/>
        <v>0</v>
      </c>
      <c r="G7" s="97">
        <f t="shared" si="2"/>
        <v>0.35813333333333336</v>
      </c>
      <c r="H7" s="97">
        <f t="shared" si="3"/>
        <v>171.90400000000002</v>
      </c>
      <c r="I7" s="103">
        <f t="shared" si="4"/>
        <v>0</v>
      </c>
      <c r="J7" s="99" t="s">
        <v>266</v>
      </c>
      <c r="K7" s="103">
        <f t="shared" si="5"/>
        <v>8</v>
      </c>
      <c r="L7" s="99" t="s">
        <v>267</v>
      </c>
      <c r="M7" s="103">
        <v>1</v>
      </c>
      <c r="N7" s="99" t="s">
        <v>268</v>
      </c>
      <c r="O7" s="103">
        <f t="shared" si="6"/>
        <v>171.90400000000002</v>
      </c>
      <c r="P7" s="99" t="s">
        <v>269</v>
      </c>
    </row>
    <row r="8" spans="1:16" ht="33.75" customHeight="1" x14ac:dyDescent="0.25">
      <c r="A8" s="331"/>
      <c r="B8" s="107" t="s">
        <v>275</v>
      </c>
      <c r="C8" s="101">
        <v>300</v>
      </c>
      <c r="D8" s="102">
        <v>820.28</v>
      </c>
      <c r="E8" s="97">
        <f t="shared" si="0"/>
        <v>2.7342666666666666</v>
      </c>
      <c r="F8" s="6">
        <f t="shared" si="1"/>
        <v>2</v>
      </c>
      <c r="G8" s="97">
        <f t="shared" si="2"/>
        <v>0.73426666666666662</v>
      </c>
      <c r="H8" s="97">
        <f t="shared" si="3"/>
        <v>352.44799999999998</v>
      </c>
      <c r="I8" s="103">
        <f t="shared" si="4"/>
        <v>2</v>
      </c>
      <c r="J8" s="99" t="s">
        <v>266</v>
      </c>
      <c r="K8" s="103">
        <f t="shared" si="5"/>
        <v>8</v>
      </c>
      <c r="L8" s="99" t="s">
        <v>267</v>
      </c>
      <c r="M8" s="103">
        <v>1</v>
      </c>
      <c r="N8" s="99" t="s">
        <v>268</v>
      </c>
      <c r="O8" s="103">
        <f t="shared" si="6"/>
        <v>352.44799999999998</v>
      </c>
      <c r="P8" s="99" t="s">
        <v>269</v>
      </c>
    </row>
    <row r="9" spans="1:16" ht="45" customHeight="1" x14ac:dyDescent="0.25">
      <c r="A9" s="329" t="s">
        <v>276</v>
      </c>
      <c r="B9" s="105" t="s">
        <v>277</v>
      </c>
      <c r="C9" s="101">
        <v>2700</v>
      </c>
      <c r="D9" s="102">
        <v>659.12</v>
      </c>
      <c r="E9" s="97">
        <f t="shared" si="0"/>
        <v>0.24411851851851851</v>
      </c>
      <c r="F9" s="6">
        <f t="shared" si="1"/>
        <v>0</v>
      </c>
      <c r="G9" s="97">
        <f t="shared" si="2"/>
        <v>0.24411851851851851</v>
      </c>
      <c r="H9" s="97">
        <f t="shared" si="3"/>
        <v>117.17688888888888</v>
      </c>
      <c r="I9" s="103">
        <f t="shared" si="4"/>
        <v>0</v>
      </c>
      <c r="J9" s="99" t="s">
        <v>266</v>
      </c>
      <c r="K9" s="103">
        <f t="shared" si="5"/>
        <v>8</v>
      </c>
      <c r="L9" s="99" t="s">
        <v>267</v>
      </c>
      <c r="M9" s="103">
        <v>1</v>
      </c>
      <c r="N9" s="99" t="s">
        <v>268</v>
      </c>
      <c r="O9" s="103">
        <f t="shared" si="6"/>
        <v>117.17688888888888</v>
      </c>
      <c r="P9" s="99" t="s">
        <v>269</v>
      </c>
    </row>
    <row r="10" spans="1:16" ht="33.75" customHeight="1" x14ac:dyDescent="0.25">
      <c r="A10" s="330"/>
      <c r="B10" s="105" t="s">
        <v>278</v>
      </c>
      <c r="C10" s="101">
        <v>9000</v>
      </c>
      <c r="D10" s="106">
        <v>0</v>
      </c>
      <c r="E10" s="97">
        <f t="shared" si="0"/>
        <v>0</v>
      </c>
      <c r="F10" s="6">
        <f t="shared" si="1"/>
        <v>0</v>
      </c>
      <c r="G10" s="97">
        <f t="shared" si="2"/>
        <v>0</v>
      </c>
      <c r="H10" s="97">
        <f t="shared" si="3"/>
        <v>0</v>
      </c>
      <c r="I10" s="103">
        <f t="shared" si="4"/>
        <v>0</v>
      </c>
      <c r="J10" s="99" t="s">
        <v>266</v>
      </c>
      <c r="K10" s="103">
        <f t="shared" si="5"/>
        <v>8</v>
      </c>
      <c r="L10" s="99" t="s">
        <v>267</v>
      </c>
      <c r="M10" s="103">
        <v>1</v>
      </c>
      <c r="N10" s="99" t="s">
        <v>268</v>
      </c>
      <c r="O10" s="103">
        <f t="shared" si="6"/>
        <v>0</v>
      </c>
      <c r="P10" s="99" t="s">
        <v>269</v>
      </c>
    </row>
    <row r="11" spans="1:16" ht="33.75" customHeight="1" x14ac:dyDescent="0.25">
      <c r="A11" s="330"/>
      <c r="B11" s="105" t="s">
        <v>279</v>
      </c>
      <c r="C11" s="101">
        <v>2700</v>
      </c>
      <c r="D11" s="106">
        <v>0</v>
      </c>
      <c r="E11" s="97">
        <f t="shared" si="0"/>
        <v>0</v>
      </c>
      <c r="F11" s="6">
        <f t="shared" si="1"/>
        <v>0</v>
      </c>
      <c r="G11" s="97">
        <f t="shared" si="2"/>
        <v>0</v>
      </c>
      <c r="H11" s="97">
        <f t="shared" si="3"/>
        <v>0</v>
      </c>
      <c r="I11" s="103">
        <f t="shared" si="4"/>
        <v>0</v>
      </c>
      <c r="J11" s="99" t="s">
        <v>266</v>
      </c>
      <c r="K11" s="103">
        <f t="shared" si="5"/>
        <v>8</v>
      </c>
      <c r="L11" s="99" t="s">
        <v>267</v>
      </c>
      <c r="M11" s="103">
        <v>1</v>
      </c>
      <c r="N11" s="99" t="s">
        <v>268</v>
      </c>
      <c r="O11" s="103">
        <f t="shared" si="6"/>
        <v>0</v>
      </c>
      <c r="P11" s="99" t="s">
        <v>269</v>
      </c>
    </row>
    <row r="12" spans="1:16" ht="33.75" customHeight="1" x14ac:dyDescent="0.25">
      <c r="A12" s="330"/>
      <c r="B12" s="105" t="s">
        <v>280</v>
      </c>
      <c r="C12" s="101">
        <v>2700</v>
      </c>
      <c r="D12" s="106">
        <v>0</v>
      </c>
      <c r="E12" s="97">
        <f t="shared" si="0"/>
        <v>0</v>
      </c>
      <c r="F12" s="6">
        <f t="shared" si="1"/>
        <v>0</v>
      </c>
      <c r="G12" s="97">
        <f t="shared" si="2"/>
        <v>0</v>
      </c>
      <c r="H12" s="97">
        <f t="shared" si="3"/>
        <v>0</v>
      </c>
      <c r="I12" s="103">
        <f t="shared" si="4"/>
        <v>0</v>
      </c>
      <c r="J12" s="99" t="s">
        <v>266</v>
      </c>
      <c r="K12" s="103">
        <f t="shared" si="5"/>
        <v>8</v>
      </c>
      <c r="L12" s="99" t="s">
        <v>267</v>
      </c>
      <c r="M12" s="103">
        <v>1</v>
      </c>
      <c r="N12" s="99" t="s">
        <v>268</v>
      </c>
      <c r="O12" s="103">
        <f t="shared" si="6"/>
        <v>0</v>
      </c>
      <c r="P12" s="99" t="s">
        <v>269</v>
      </c>
    </row>
    <row r="13" spans="1:16" ht="33.75" customHeight="1" x14ac:dyDescent="0.25">
      <c r="A13" s="330"/>
      <c r="B13" s="105" t="s">
        <v>281</v>
      </c>
      <c r="C13" s="101">
        <v>2700</v>
      </c>
      <c r="D13" s="106">
        <v>0</v>
      </c>
      <c r="E13" s="97">
        <f t="shared" si="0"/>
        <v>0</v>
      </c>
      <c r="F13" s="6">
        <f t="shared" si="1"/>
        <v>0</v>
      </c>
      <c r="G13" s="97">
        <f t="shared" si="2"/>
        <v>0</v>
      </c>
      <c r="H13" s="97">
        <f t="shared" si="3"/>
        <v>0</v>
      </c>
      <c r="I13" s="103">
        <f t="shared" si="4"/>
        <v>0</v>
      </c>
      <c r="J13" s="99" t="s">
        <v>266</v>
      </c>
      <c r="K13" s="103">
        <f t="shared" si="5"/>
        <v>8</v>
      </c>
      <c r="L13" s="99" t="s">
        <v>267</v>
      </c>
      <c r="M13" s="103">
        <v>1</v>
      </c>
      <c r="N13" s="99" t="s">
        <v>268</v>
      </c>
      <c r="O13" s="103">
        <f t="shared" si="6"/>
        <v>0</v>
      </c>
      <c r="P13" s="99" t="s">
        <v>269</v>
      </c>
    </row>
    <row r="14" spans="1:16" ht="45" customHeight="1" x14ac:dyDescent="0.25">
      <c r="A14" s="331"/>
      <c r="B14" s="105" t="s">
        <v>282</v>
      </c>
      <c r="C14" s="101">
        <v>100000</v>
      </c>
      <c r="D14" s="106">
        <v>0</v>
      </c>
      <c r="E14" s="97">
        <f t="shared" si="0"/>
        <v>0</v>
      </c>
      <c r="F14" s="6">
        <f t="shared" si="1"/>
        <v>0</v>
      </c>
      <c r="G14" s="97">
        <f t="shared" si="2"/>
        <v>0</v>
      </c>
      <c r="H14" s="97">
        <f t="shared" si="3"/>
        <v>0</v>
      </c>
      <c r="I14" s="103">
        <f t="shared" si="4"/>
        <v>0</v>
      </c>
      <c r="J14" s="99" t="s">
        <v>266</v>
      </c>
      <c r="K14" s="103">
        <f t="shared" si="5"/>
        <v>8</v>
      </c>
      <c r="L14" s="99" t="s">
        <v>267</v>
      </c>
      <c r="M14" s="103">
        <v>1</v>
      </c>
      <c r="N14" s="99" t="s">
        <v>268</v>
      </c>
      <c r="O14" s="103">
        <f t="shared" si="6"/>
        <v>0</v>
      </c>
      <c r="P14" s="99" t="s">
        <v>269</v>
      </c>
    </row>
    <row r="15" spans="1:16" ht="38.25" customHeight="1" x14ac:dyDescent="0.25">
      <c r="A15" s="332" t="s">
        <v>283</v>
      </c>
      <c r="B15" s="105" t="s">
        <v>284</v>
      </c>
      <c r="C15" s="101">
        <v>160</v>
      </c>
      <c r="D15" s="106"/>
      <c r="E15" s="97">
        <f t="shared" ref="E15:E17" si="7">(D15/C15)*(16/188.76)</f>
        <v>0</v>
      </c>
      <c r="F15" s="6">
        <f t="shared" si="1"/>
        <v>0</v>
      </c>
      <c r="G15" s="97">
        <f t="shared" si="2"/>
        <v>0</v>
      </c>
      <c r="H15" s="97">
        <f t="shared" si="3"/>
        <v>0</v>
      </c>
      <c r="I15" s="103">
        <f t="shared" si="4"/>
        <v>0</v>
      </c>
      <c r="J15" s="99" t="s">
        <v>266</v>
      </c>
      <c r="K15" s="103">
        <f t="shared" si="5"/>
        <v>8</v>
      </c>
      <c r="L15" s="99" t="s">
        <v>267</v>
      </c>
      <c r="M15" s="103">
        <v>1</v>
      </c>
      <c r="N15" s="99" t="s">
        <v>268</v>
      </c>
      <c r="O15" s="103">
        <f t="shared" si="6"/>
        <v>0</v>
      </c>
      <c r="P15" s="99" t="s">
        <v>269</v>
      </c>
    </row>
    <row r="16" spans="1:16" ht="33.75" customHeight="1" x14ac:dyDescent="0.25">
      <c r="A16" s="330"/>
      <c r="B16" s="105" t="s">
        <v>285</v>
      </c>
      <c r="C16" s="101">
        <v>380</v>
      </c>
      <c r="D16" s="102">
        <v>97.25</v>
      </c>
      <c r="E16" s="97">
        <f t="shared" si="7"/>
        <v>2.1692820735882939E-2</v>
      </c>
      <c r="F16" s="6">
        <f t="shared" si="1"/>
        <v>0</v>
      </c>
      <c r="G16" s="97">
        <f t="shared" si="2"/>
        <v>2.1692820735882939E-2</v>
      </c>
      <c r="H16" s="97">
        <f t="shared" si="3"/>
        <v>10.41255395322381</v>
      </c>
      <c r="I16" s="103">
        <f t="shared" si="4"/>
        <v>0</v>
      </c>
      <c r="J16" s="99" t="s">
        <v>266</v>
      </c>
      <c r="K16" s="103">
        <f t="shared" si="5"/>
        <v>8</v>
      </c>
      <c r="L16" s="99" t="s">
        <v>267</v>
      </c>
      <c r="M16" s="103">
        <v>1</v>
      </c>
      <c r="N16" s="99" t="s">
        <v>268</v>
      </c>
      <c r="O16" s="103">
        <f t="shared" si="6"/>
        <v>10.41255395322381</v>
      </c>
      <c r="P16" s="99" t="s">
        <v>269</v>
      </c>
    </row>
    <row r="17" spans="1:16" ht="33.75" customHeight="1" x14ac:dyDescent="0.25">
      <c r="A17" s="331"/>
      <c r="B17" s="105" t="s">
        <v>286</v>
      </c>
      <c r="C17" s="101">
        <v>380</v>
      </c>
      <c r="D17" s="106"/>
      <c r="E17" s="97">
        <f t="shared" si="7"/>
        <v>0</v>
      </c>
      <c r="F17" s="6">
        <f t="shared" si="1"/>
        <v>0</v>
      </c>
      <c r="G17" s="97">
        <f t="shared" si="2"/>
        <v>0</v>
      </c>
      <c r="H17" s="97">
        <f t="shared" si="3"/>
        <v>0</v>
      </c>
      <c r="I17" s="103">
        <f t="shared" si="4"/>
        <v>0</v>
      </c>
      <c r="J17" s="99" t="s">
        <v>266</v>
      </c>
      <c r="K17" s="103">
        <f t="shared" si="5"/>
        <v>8</v>
      </c>
      <c r="L17" s="99" t="s">
        <v>267</v>
      </c>
      <c r="M17" s="103">
        <v>1</v>
      </c>
      <c r="N17" s="99" t="s">
        <v>268</v>
      </c>
      <c r="O17" s="103">
        <f t="shared" si="6"/>
        <v>0</v>
      </c>
      <c r="P17" s="99" t="s">
        <v>269</v>
      </c>
    </row>
    <row r="18" spans="1:16" ht="33.75" customHeight="1" x14ac:dyDescent="0.25">
      <c r="A18" s="105" t="s">
        <v>287</v>
      </c>
      <c r="B18" s="105" t="s">
        <v>288</v>
      </c>
      <c r="C18" s="108">
        <v>160</v>
      </c>
      <c r="D18" s="102">
        <v>77.86</v>
      </c>
      <c r="E18" s="97">
        <f>(D18/C18)*(8/1132.6)</f>
        <v>3.4372240861734065E-3</v>
      </c>
      <c r="F18" s="6">
        <f t="shared" si="1"/>
        <v>0</v>
      </c>
      <c r="G18" s="97">
        <f t="shared" si="2"/>
        <v>3.4372240861734065E-3</v>
      </c>
      <c r="H18" s="97">
        <f t="shared" si="3"/>
        <v>1.6498675613632352</v>
      </c>
      <c r="I18" s="103">
        <f t="shared" si="4"/>
        <v>0</v>
      </c>
      <c r="J18" s="99" t="s">
        <v>266</v>
      </c>
      <c r="K18" s="103">
        <f t="shared" si="5"/>
        <v>8</v>
      </c>
      <c r="L18" s="99" t="s">
        <v>267</v>
      </c>
      <c r="M18" s="103">
        <v>1</v>
      </c>
      <c r="N18" s="99" t="s">
        <v>268</v>
      </c>
      <c r="O18" s="103">
        <f t="shared" si="6"/>
        <v>1.6498675613632352</v>
      </c>
      <c r="P18" s="99" t="s">
        <v>269</v>
      </c>
    </row>
    <row r="19" spans="1:16" ht="33.75" customHeight="1" x14ac:dyDescent="0.25">
      <c r="A19" s="105" t="s">
        <v>289</v>
      </c>
      <c r="B19" s="105" t="s">
        <v>290</v>
      </c>
      <c r="C19" s="109">
        <v>450</v>
      </c>
      <c r="D19" s="106"/>
      <c r="E19" s="97">
        <f>D19/C19</f>
        <v>0</v>
      </c>
      <c r="F19" s="6">
        <f t="shared" si="1"/>
        <v>0</v>
      </c>
      <c r="G19" s="97">
        <f t="shared" si="2"/>
        <v>0</v>
      </c>
      <c r="H19" s="97">
        <f t="shared" si="3"/>
        <v>0</v>
      </c>
      <c r="I19" s="103">
        <f t="shared" si="4"/>
        <v>0</v>
      </c>
      <c r="J19" s="99" t="s">
        <v>266</v>
      </c>
      <c r="K19" s="103">
        <f t="shared" si="5"/>
        <v>8</v>
      </c>
      <c r="L19" s="99" t="s">
        <v>267</v>
      </c>
      <c r="M19" s="103">
        <v>1</v>
      </c>
      <c r="N19" s="99" t="s">
        <v>268</v>
      </c>
      <c r="O19" s="103">
        <f t="shared" si="6"/>
        <v>0</v>
      </c>
      <c r="P19" s="99" t="s">
        <v>269</v>
      </c>
    </row>
    <row r="20" spans="1:16" ht="12.75" customHeight="1" x14ac:dyDescent="0.25">
      <c r="A20" s="110"/>
      <c r="B20" s="110"/>
      <c r="C20" s="111"/>
      <c r="D20" s="112">
        <f>SUM(D2:D19)</f>
        <v>5988.6299999999992</v>
      </c>
      <c r="E20" s="113"/>
      <c r="F20" s="6"/>
      <c r="G20" s="113"/>
      <c r="H20" s="113"/>
      <c r="I20" s="111"/>
      <c r="J20" s="111"/>
      <c r="K20" s="111"/>
      <c r="L20" s="111"/>
      <c r="M20" s="111"/>
      <c r="N20" s="111"/>
      <c r="O20" s="111"/>
      <c r="P20" s="111"/>
    </row>
    <row r="21" spans="1:16" ht="52.5" customHeight="1" x14ac:dyDescent="0.25">
      <c r="A21" s="226" t="s">
        <v>291</v>
      </c>
      <c r="B21" s="201"/>
      <c r="C21" s="201"/>
      <c r="D21" s="202"/>
      <c r="E21" s="97">
        <f>SUM(E3:E19)</f>
        <v>7.0145605633405737</v>
      </c>
      <c r="F21" s="6">
        <f>TRUNC(E21,0)</f>
        <v>7</v>
      </c>
      <c r="G21" s="97">
        <f>E21-F21</f>
        <v>1.4560563340573651E-2</v>
      </c>
      <c r="H21" s="97">
        <f>G21*$C$23*60</f>
        <v>6.9890704034753526</v>
      </c>
      <c r="I21" s="15">
        <f>F21</f>
        <v>7</v>
      </c>
      <c r="J21" s="99" t="s">
        <v>266</v>
      </c>
      <c r="K21" s="103">
        <f>$C$23</f>
        <v>8</v>
      </c>
      <c r="L21" s="99" t="s">
        <v>267</v>
      </c>
      <c r="M21" s="15">
        <v>1</v>
      </c>
      <c r="N21" s="99" t="s">
        <v>268</v>
      </c>
      <c r="O21" s="15">
        <f>H21</f>
        <v>6.9890704034753526</v>
      </c>
      <c r="P21" s="99" t="s">
        <v>269</v>
      </c>
    </row>
    <row r="22" spans="1:16" ht="12.75" customHeight="1" x14ac:dyDescent="0.25">
      <c r="A22" s="110"/>
      <c r="B22" s="110"/>
      <c r="C22" s="110"/>
      <c r="D22" s="114"/>
      <c r="E22" s="115"/>
      <c r="F22" s="116"/>
      <c r="G22" s="115"/>
      <c r="H22" s="115"/>
      <c r="I22" s="117"/>
      <c r="J22" s="111"/>
      <c r="K22" s="111"/>
      <c r="L22" s="111"/>
      <c r="M22" s="111"/>
      <c r="N22" s="111"/>
      <c r="O22" s="117"/>
      <c r="P22" s="111"/>
    </row>
    <row r="23" spans="1:16" ht="20.25" customHeight="1" x14ac:dyDescent="0.25">
      <c r="A23" s="333" t="s">
        <v>292</v>
      </c>
      <c r="B23" s="334"/>
      <c r="C23" s="118">
        <v>8</v>
      </c>
      <c r="D23" s="119" t="s">
        <v>293</v>
      </c>
      <c r="E23" s="337" t="s">
        <v>294</v>
      </c>
      <c r="F23" s="336"/>
      <c r="G23" s="336"/>
      <c r="H23" s="336"/>
      <c r="I23" s="336"/>
      <c r="J23" s="336"/>
      <c r="K23" s="334"/>
      <c r="L23" s="335">
        <f>(F21+G21)</f>
        <v>7.0145605633405737</v>
      </c>
      <c r="M23" s="336"/>
      <c r="N23" s="334"/>
      <c r="O23" s="120" t="s">
        <v>295</v>
      </c>
      <c r="P23" s="121">
        <f>ROUND(F21+G21,0)</f>
        <v>7</v>
      </c>
    </row>
    <row r="24" spans="1:16" ht="12.75" customHeight="1" x14ac:dyDescent="0.25">
      <c r="A24" s="122"/>
      <c r="B24" s="122"/>
      <c r="C24" s="115"/>
      <c r="D24" s="115"/>
      <c r="E24" s="115"/>
      <c r="F24" s="117"/>
      <c r="G24" s="115"/>
      <c r="H24" s="115"/>
      <c r="I24" s="117"/>
      <c r="J24" s="117"/>
      <c r="K24" s="117"/>
      <c r="L24" s="117"/>
      <c r="M24" s="117"/>
      <c r="N24" s="117"/>
      <c r="O24" s="117"/>
      <c r="P24" s="117"/>
    </row>
    <row r="25" spans="1:16" ht="18.75" customHeight="1" x14ac:dyDescent="0.25">
      <c r="A25" s="338" t="s">
        <v>296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</row>
    <row r="26" spans="1:16" ht="18.75" customHeight="1" x14ac:dyDescent="0.25">
      <c r="A26" s="338" t="s">
        <v>297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</row>
    <row r="27" spans="1:16" ht="35.25" customHeight="1" x14ac:dyDescent="0.25">
      <c r="A27" s="339" t="s">
        <v>298</v>
      </c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</row>
    <row r="28" spans="1:16" ht="36" customHeight="1" x14ac:dyDescent="0.25">
      <c r="A28" s="339" t="s">
        <v>299</v>
      </c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</row>
    <row r="29" spans="1:16" ht="36" customHeight="1" x14ac:dyDescent="0.25">
      <c r="A29" s="339" t="s">
        <v>300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</row>
    <row r="30" spans="1:16" ht="18.75" customHeight="1" x14ac:dyDescent="0.25">
      <c r="A30" s="339"/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</row>
    <row r="31" spans="1:16" ht="18.75" customHeight="1" x14ac:dyDescent="0.25">
      <c r="A31" s="262" t="s">
        <v>301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</row>
    <row r="32" spans="1:16" ht="36" customHeight="1" x14ac:dyDescent="0.25">
      <c r="A32" s="262" t="s">
        <v>302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</row>
    <row r="33" spans="1:16" ht="15" customHeight="1" x14ac:dyDescent="0.25">
      <c r="A33" s="247" t="s">
        <v>303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</row>
    <row r="34" spans="1:16" ht="15" customHeight="1" x14ac:dyDescent="0.25">
      <c r="A34" s="341" t="s">
        <v>304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</row>
    <row r="35" spans="1:16" ht="36" customHeight="1" x14ac:dyDescent="0.25">
      <c r="A35" s="342" t="s">
        <v>305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</row>
    <row r="36" spans="1:16" ht="15" customHeight="1" x14ac:dyDescent="0.25">
      <c r="A36" s="117"/>
      <c r="B36" s="117"/>
      <c r="C36" s="117"/>
      <c r="D36" s="117"/>
      <c r="E36" s="115"/>
      <c r="F36" s="117"/>
      <c r="G36" s="115"/>
      <c r="H36" s="115"/>
      <c r="I36" s="117"/>
      <c r="J36" s="117"/>
      <c r="K36" s="117"/>
      <c r="L36" s="117"/>
      <c r="M36" s="117"/>
      <c r="N36" s="117"/>
      <c r="O36" s="117"/>
      <c r="P36" s="117"/>
    </row>
    <row r="37" spans="1:16" ht="15" customHeight="1" x14ac:dyDescent="0.25">
      <c r="A37" s="117"/>
      <c r="B37" s="117"/>
      <c r="C37" s="117"/>
      <c r="D37" s="117"/>
      <c r="E37" s="115"/>
      <c r="F37" s="117"/>
      <c r="G37" s="115"/>
      <c r="H37" s="115"/>
      <c r="I37" s="117"/>
      <c r="J37" s="117"/>
      <c r="K37" s="117"/>
      <c r="L37" s="117"/>
      <c r="M37" s="117"/>
      <c r="N37" s="117"/>
      <c r="O37" s="117"/>
      <c r="P37" s="117"/>
    </row>
    <row r="38" spans="1:16" ht="18.75" customHeight="1" x14ac:dyDescent="0.25">
      <c r="A38" s="340" t="s">
        <v>306</v>
      </c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</row>
    <row r="39" spans="1:16" ht="15" customHeight="1" x14ac:dyDescent="0.25">
      <c r="A39" s="117"/>
      <c r="B39" s="117"/>
      <c r="C39" s="117"/>
      <c r="D39" s="117"/>
      <c r="E39" s="115"/>
      <c r="F39" s="117"/>
      <c r="G39" s="115"/>
      <c r="H39" s="115"/>
      <c r="I39" s="117"/>
      <c r="J39" s="117"/>
      <c r="K39" s="117"/>
      <c r="L39" s="117"/>
      <c r="M39" s="117"/>
      <c r="N39" s="117"/>
      <c r="O39" s="117"/>
      <c r="P39" s="117"/>
    </row>
    <row r="40" spans="1:16" ht="36" customHeight="1" x14ac:dyDescent="0.25">
      <c r="A40" s="340" t="s">
        <v>307</v>
      </c>
      <c r="B40" s="235"/>
      <c r="C40" s="235"/>
      <c r="D40" s="235"/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</row>
    <row r="41" spans="1:16" ht="15" customHeight="1" x14ac:dyDescent="0.25">
      <c r="A41" s="117"/>
      <c r="B41" s="117"/>
      <c r="C41" s="117"/>
      <c r="D41" s="117"/>
      <c r="E41" s="115"/>
      <c r="F41" s="117"/>
      <c r="G41" s="115"/>
      <c r="H41" s="115"/>
      <c r="I41" s="117"/>
      <c r="J41" s="117"/>
      <c r="K41" s="117"/>
      <c r="L41" s="117"/>
      <c r="M41" s="117"/>
      <c r="N41" s="117"/>
      <c r="O41" s="117"/>
      <c r="P41" s="117"/>
    </row>
    <row r="42" spans="1:16" ht="18.75" customHeight="1" x14ac:dyDescent="0.25">
      <c r="A42" s="340" t="s">
        <v>308</v>
      </c>
      <c r="B42" s="235"/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</row>
    <row r="43" spans="1:16" ht="18.75" customHeight="1" x14ac:dyDescent="0.25">
      <c r="A43" s="340" t="s">
        <v>309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35"/>
      <c r="L43" s="235"/>
      <c r="M43" s="235"/>
      <c r="N43" s="235"/>
      <c r="O43" s="235"/>
      <c r="P43" s="117"/>
    </row>
    <row r="44" spans="1:16" ht="35.25" customHeight="1" x14ac:dyDescent="0.25">
      <c r="A44" s="253" t="s">
        <v>310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</row>
    <row r="45" spans="1:16" ht="35.25" customHeight="1" x14ac:dyDescent="0.25">
      <c r="A45" s="253" t="s">
        <v>311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P45" s="235"/>
    </row>
    <row r="46" spans="1:16" ht="12.75" customHeight="1" x14ac:dyDescent="0.25">
      <c r="A46" s="125"/>
      <c r="B46" s="125"/>
      <c r="C46" s="125"/>
      <c r="D46" s="125"/>
      <c r="E46" s="126"/>
      <c r="F46" s="125"/>
      <c r="G46" s="126"/>
      <c r="H46" s="126"/>
      <c r="I46" s="125"/>
      <c r="J46" s="125"/>
      <c r="K46" s="125"/>
      <c r="L46" s="125"/>
      <c r="M46" s="125"/>
      <c r="N46" s="125"/>
      <c r="O46" s="125"/>
      <c r="P46" s="125"/>
    </row>
  </sheetData>
  <mergeCells count="25">
    <mergeCell ref="A44:P44"/>
    <mergeCell ref="A42:P42"/>
    <mergeCell ref="A45:P45"/>
    <mergeCell ref="A31:P31"/>
    <mergeCell ref="A32:P32"/>
    <mergeCell ref="A33:P33"/>
    <mergeCell ref="A34:P34"/>
    <mergeCell ref="A35:P35"/>
    <mergeCell ref="A38:P38"/>
    <mergeCell ref="A40:P40"/>
    <mergeCell ref="A27:P27"/>
    <mergeCell ref="A28:P28"/>
    <mergeCell ref="A29:P29"/>
    <mergeCell ref="A30:P30"/>
    <mergeCell ref="A43:O43"/>
    <mergeCell ref="A23:B23"/>
    <mergeCell ref="L23:N23"/>
    <mergeCell ref="E23:K23"/>
    <mergeCell ref="A25:P25"/>
    <mergeCell ref="A26:P26"/>
    <mergeCell ref="I1:P1"/>
    <mergeCell ref="A2:A8"/>
    <mergeCell ref="A9:A14"/>
    <mergeCell ref="A15:A17"/>
    <mergeCell ref="A21:D21"/>
  </mergeCells>
  <pageMargins left="0.7" right="0.7" top="0.75" bottom="0.75" header="0" footer="0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workbookViewId="0"/>
  </sheetViews>
  <sheetFormatPr defaultColWidth="12.6640625" defaultRowHeight="15" customHeight="1" x14ac:dyDescent="0.25"/>
  <cols>
    <col min="1" max="1" width="7.33203125" customWidth="1"/>
    <col min="2" max="2" width="40.33203125" customWidth="1"/>
    <col min="3" max="3" width="12.109375" customWidth="1"/>
    <col min="4" max="4" width="10.88671875" customWidth="1"/>
    <col min="5" max="5" width="11.33203125" customWidth="1"/>
    <col min="6" max="6" width="13.77734375" customWidth="1"/>
    <col min="7" max="7" width="11.109375" customWidth="1"/>
    <col min="8" max="8" width="14.109375" customWidth="1"/>
    <col min="9" max="10" width="9.33203125" customWidth="1"/>
  </cols>
  <sheetData>
    <row r="1" spans="1:10" ht="69.75" customHeight="1" x14ac:dyDescent="0.3">
      <c r="A1" s="127"/>
      <c r="B1" s="128"/>
      <c r="C1" s="129"/>
      <c r="D1" s="343"/>
      <c r="E1" s="235"/>
      <c r="F1" s="129"/>
      <c r="G1" s="129"/>
      <c r="H1" s="129"/>
      <c r="I1" s="130"/>
      <c r="J1" s="130"/>
    </row>
    <row r="2" spans="1:10" ht="12.75" customHeight="1" x14ac:dyDescent="0.3">
      <c r="A2" s="344" t="s">
        <v>312</v>
      </c>
      <c r="B2" s="235"/>
      <c r="C2" s="235"/>
      <c r="D2" s="235"/>
      <c r="E2" s="235"/>
      <c r="F2" s="235"/>
      <c r="G2" s="235"/>
      <c r="H2" s="235"/>
      <c r="I2" s="130"/>
      <c r="J2" s="130"/>
    </row>
    <row r="3" spans="1:10" ht="12.75" customHeight="1" x14ac:dyDescent="0.3">
      <c r="A3" s="344" t="s">
        <v>313</v>
      </c>
      <c r="B3" s="235"/>
      <c r="C3" s="235"/>
      <c r="D3" s="235"/>
      <c r="E3" s="235"/>
      <c r="F3" s="235"/>
      <c r="G3" s="235"/>
      <c r="H3" s="235"/>
      <c r="I3" s="130"/>
      <c r="J3" s="130"/>
    </row>
    <row r="4" spans="1:10" ht="12.75" customHeight="1" x14ac:dyDescent="0.3">
      <c r="A4" s="344" t="s">
        <v>314</v>
      </c>
      <c r="B4" s="235"/>
      <c r="C4" s="235"/>
      <c r="D4" s="235"/>
      <c r="E4" s="235"/>
      <c r="F4" s="235"/>
      <c r="G4" s="235"/>
      <c r="H4" s="235"/>
      <c r="I4" s="130"/>
      <c r="J4" s="130"/>
    </row>
    <row r="5" spans="1:10" ht="12.75" customHeight="1" x14ac:dyDescent="0.3">
      <c r="A5" s="345" t="s">
        <v>315</v>
      </c>
      <c r="B5" s="235"/>
      <c r="C5" s="235"/>
      <c r="D5" s="235"/>
      <c r="E5" s="235"/>
      <c r="F5" s="235"/>
      <c r="G5" s="235"/>
      <c r="H5" s="235"/>
      <c r="I5" s="130"/>
      <c r="J5" s="130"/>
    </row>
    <row r="6" spans="1:10" ht="12.75" customHeight="1" x14ac:dyDescent="0.3">
      <c r="A6" s="346"/>
      <c r="B6" s="235"/>
      <c r="C6" s="235"/>
      <c r="D6" s="235"/>
      <c r="E6" s="235"/>
      <c r="F6" s="235"/>
      <c r="G6" s="235"/>
      <c r="H6" s="235"/>
      <c r="I6" s="130"/>
      <c r="J6" s="130"/>
    </row>
    <row r="7" spans="1:10" ht="54" customHeight="1" x14ac:dyDescent="0.3">
      <c r="A7" s="347" t="s">
        <v>316</v>
      </c>
      <c r="B7" s="235"/>
      <c r="C7" s="235"/>
      <c r="D7" s="235"/>
      <c r="E7" s="235"/>
      <c r="F7" s="235"/>
      <c r="G7" s="235"/>
      <c r="H7" s="235"/>
      <c r="I7" s="130"/>
      <c r="J7" s="130"/>
    </row>
    <row r="8" spans="1:10" ht="40.5" customHeight="1" x14ac:dyDescent="0.25">
      <c r="A8" s="132" t="s">
        <v>317</v>
      </c>
      <c r="B8" s="132" t="s">
        <v>318</v>
      </c>
      <c r="C8" s="132" t="s">
        <v>319</v>
      </c>
      <c r="D8" s="132" t="s">
        <v>320</v>
      </c>
      <c r="E8" s="132" t="s">
        <v>321</v>
      </c>
      <c r="F8" s="132" t="s">
        <v>322</v>
      </c>
      <c r="G8" s="132" t="s">
        <v>323</v>
      </c>
      <c r="H8" s="133"/>
      <c r="I8" s="134"/>
      <c r="J8" s="135"/>
    </row>
    <row r="9" spans="1:10" ht="22.5" customHeight="1" x14ac:dyDescent="0.25">
      <c r="A9" s="99">
        <v>1</v>
      </c>
      <c r="B9" s="136" t="s">
        <v>324</v>
      </c>
      <c r="C9" s="137" t="s">
        <v>325</v>
      </c>
      <c r="D9" s="137">
        <v>16</v>
      </c>
      <c r="E9" s="138">
        <f t="shared" ref="E9:E33" si="0">D9*12</f>
        <v>192</v>
      </c>
      <c r="F9" s="139">
        <f ca="1">IFERROR(__xludf.DUMMYFUNCTION("IMPORTRANGE(""https://docs.google.com/spreadsheets/d/1Z7EsCb9bEP28u5Pefo-KbaroHIgD-ThKAEQaO0csxP4/edit?gid=67479200#gid=67479200"", ""MAPA DE PREÇOS!I17"")"),6.79)</f>
        <v>6.79</v>
      </c>
      <c r="G9" s="140">
        <f t="shared" ref="G9:G33" ca="1" si="1">ROUND(E9*F9,2)</f>
        <v>1303.68</v>
      </c>
      <c r="H9" s="141"/>
      <c r="I9" s="142"/>
      <c r="J9" s="143"/>
    </row>
    <row r="10" spans="1:10" ht="21.75" customHeight="1" x14ac:dyDescent="0.25">
      <c r="A10" s="144">
        <v>2</v>
      </c>
      <c r="B10" s="136" t="s">
        <v>326</v>
      </c>
      <c r="C10" s="137" t="s">
        <v>325</v>
      </c>
      <c r="D10" s="137">
        <v>12</v>
      </c>
      <c r="E10" s="138">
        <f t="shared" si="0"/>
        <v>144</v>
      </c>
      <c r="F10" s="145">
        <f ca="1">IFERROR(__xludf.DUMMYFUNCTION("IMPORTRANGE(""https://docs.google.com/spreadsheets/d/1Z7EsCb9bEP28u5Pefo-KbaroHIgD-ThKAEQaO0csxP4/edit?gid=67479200#gid=67479200"", ""MAPA DE PREÇOS!I19"")"),10.65)</f>
        <v>10.65</v>
      </c>
      <c r="G10" s="140">
        <f t="shared" ca="1" si="1"/>
        <v>1533.6</v>
      </c>
      <c r="H10" s="141"/>
      <c r="I10" s="142"/>
      <c r="J10" s="143"/>
    </row>
    <row r="11" spans="1:10" ht="12.75" customHeight="1" x14ac:dyDescent="0.25">
      <c r="A11" s="99">
        <v>3</v>
      </c>
      <c r="B11" s="136" t="s">
        <v>327</v>
      </c>
      <c r="C11" s="137" t="s">
        <v>325</v>
      </c>
      <c r="D11" s="137">
        <v>8</v>
      </c>
      <c r="E11" s="138">
        <f t="shared" si="0"/>
        <v>96</v>
      </c>
      <c r="F11" s="145">
        <f ca="1">IFERROR(__xludf.DUMMYFUNCTION("IMPORTRANGE(""https://docs.google.com/spreadsheets/d/1Z7EsCb9bEP28u5Pefo-KbaroHIgD-ThKAEQaO0csxP4/edit?gid=67479200#gid=67479200"", ""MAPA DE PREÇOS!I21"")"),2.75)</f>
        <v>2.75</v>
      </c>
      <c r="G11" s="140">
        <f t="shared" ca="1" si="1"/>
        <v>264</v>
      </c>
      <c r="H11" s="141"/>
      <c r="I11" s="123"/>
      <c r="J11" s="143"/>
    </row>
    <row r="12" spans="1:10" ht="22.5" customHeight="1" x14ac:dyDescent="0.25">
      <c r="A12" s="144">
        <v>4</v>
      </c>
      <c r="B12" s="136" t="s">
        <v>328</v>
      </c>
      <c r="C12" s="137" t="s">
        <v>325</v>
      </c>
      <c r="D12" s="137">
        <v>6</v>
      </c>
      <c r="E12" s="138">
        <f t="shared" si="0"/>
        <v>72</v>
      </c>
      <c r="F12" s="145">
        <f ca="1">IFERROR(__xludf.DUMMYFUNCTION("IMPORTRANGE(""https://docs.google.com/spreadsheets/d/1Z7EsCb9bEP28u5Pefo-KbaroHIgD-ThKAEQaO0csxP4/edit?gid=67479200#gid=67479200"", ""MAPA DE PREÇOS!I23"")"),28.67)</f>
        <v>28.67</v>
      </c>
      <c r="G12" s="140">
        <f t="shared" ca="1" si="1"/>
        <v>2064.2399999999998</v>
      </c>
      <c r="H12" s="141"/>
      <c r="I12" s="124"/>
      <c r="J12" s="146"/>
    </row>
    <row r="13" spans="1:10" ht="27" customHeight="1" x14ac:dyDescent="0.25">
      <c r="A13" s="99">
        <v>5</v>
      </c>
      <c r="B13" s="136" t="s">
        <v>329</v>
      </c>
      <c r="C13" s="137" t="s">
        <v>325</v>
      </c>
      <c r="D13" s="137">
        <v>2</v>
      </c>
      <c r="E13" s="138">
        <f t="shared" si="0"/>
        <v>24</v>
      </c>
      <c r="F13" s="145">
        <f ca="1">IFERROR(__xludf.DUMMYFUNCTION("IMPORTRANGE(""https://docs.google.com/spreadsheets/d/1Z7EsCb9bEP28u5Pefo-KbaroHIgD-ThKAEQaO0csxP4/edit?gid=67479200#gid=67479200"", ""MAPA DE PREÇOS!I25"")"),44.07)</f>
        <v>44.07</v>
      </c>
      <c r="G13" s="140">
        <f t="shared" ca="1" si="1"/>
        <v>1057.68</v>
      </c>
      <c r="H13" s="141"/>
      <c r="I13" s="147"/>
      <c r="J13" s="146"/>
    </row>
    <row r="14" spans="1:10" ht="18.75" customHeight="1" x14ac:dyDescent="0.25">
      <c r="A14" s="144">
        <v>6</v>
      </c>
      <c r="B14" s="136" t="s">
        <v>330</v>
      </c>
      <c r="C14" s="137" t="s">
        <v>325</v>
      </c>
      <c r="D14" s="137">
        <v>16</v>
      </c>
      <c r="E14" s="138">
        <f t="shared" si="0"/>
        <v>192</v>
      </c>
      <c r="F14" s="145">
        <f ca="1">IFERROR(__xludf.DUMMYFUNCTION("IMPORTRANGE(""https://docs.google.com/spreadsheets/d/1Z7EsCb9bEP28u5Pefo-KbaroHIgD-ThKAEQaO0csxP4/edit?gid=67479200#gid=67479200"", ""MAPA DE PREÇOS!I27"")"),13.55)</f>
        <v>13.55</v>
      </c>
      <c r="G14" s="140">
        <f t="shared" ca="1" si="1"/>
        <v>2601.6</v>
      </c>
      <c r="H14" s="141"/>
      <c r="I14" s="124"/>
      <c r="J14" s="146"/>
    </row>
    <row r="15" spans="1:10" ht="21.75" customHeight="1" x14ac:dyDescent="0.25">
      <c r="A15" s="99">
        <v>7</v>
      </c>
      <c r="B15" s="136" t="s">
        <v>331</v>
      </c>
      <c r="C15" s="137" t="s">
        <v>325</v>
      </c>
      <c r="D15" s="137">
        <v>40</v>
      </c>
      <c r="E15" s="138">
        <f t="shared" si="0"/>
        <v>480</v>
      </c>
      <c r="F15" s="145">
        <f ca="1">IFERROR(__xludf.DUMMYFUNCTION("IMPORTRANGE(""https://docs.google.com/spreadsheets/d/1Z7EsCb9bEP28u5Pefo-KbaroHIgD-ThKAEQaO0csxP4/edit?gid=67479200#gid=67479200"", ""MAPA DE PREÇOS!I29"")"),2.48)</f>
        <v>2.48</v>
      </c>
      <c r="G15" s="140">
        <f t="shared" ca="1" si="1"/>
        <v>1190.4000000000001</v>
      </c>
      <c r="H15" s="148"/>
      <c r="I15" s="123"/>
      <c r="J15" s="146"/>
    </row>
    <row r="16" spans="1:10" ht="12.75" customHeight="1" x14ac:dyDescent="0.3">
      <c r="A16" s="144">
        <v>8</v>
      </c>
      <c r="B16" s="136" t="s">
        <v>332</v>
      </c>
      <c r="C16" s="137" t="s">
        <v>325</v>
      </c>
      <c r="D16" s="137">
        <v>32</v>
      </c>
      <c r="E16" s="138">
        <f t="shared" si="0"/>
        <v>384</v>
      </c>
      <c r="F16" s="145">
        <f ca="1">IFERROR(__xludf.DUMMYFUNCTION("IMPORTRANGE(""https://docs.google.com/spreadsheets/d/1Z7EsCb9bEP28u5Pefo-KbaroHIgD-ThKAEQaO0csxP4/edit?gid=67479200#gid=67479200"", ""MAPA DE PREÇOS!I31"")"),9.71)</f>
        <v>9.7100000000000009</v>
      </c>
      <c r="G16" s="140">
        <f t="shared" ca="1" si="1"/>
        <v>3728.64</v>
      </c>
      <c r="H16" s="149"/>
      <c r="I16" s="148"/>
      <c r="J16" s="130"/>
    </row>
    <row r="17" spans="1:10" ht="22.5" customHeight="1" x14ac:dyDescent="0.3">
      <c r="A17" s="99">
        <v>9</v>
      </c>
      <c r="B17" s="136" t="s">
        <v>333</v>
      </c>
      <c r="C17" s="137" t="s">
        <v>325</v>
      </c>
      <c r="D17" s="137">
        <v>16</v>
      </c>
      <c r="E17" s="138">
        <f t="shared" si="0"/>
        <v>192</v>
      </c>
      <c r="F17" s="145">
        <f ca="1">IFERROR(__xludf.DUMMYFUNCTION("IMPORTRANGE(""https://docs.google.com/spreadsheets/d/1Z7EsCb9bEP28u5Pefo-KbaroHIgD-ThKAEQaO0csxP4/edit?gid=67479200#gid=67479200"", ""MAPA DE PREÇOS!I33"")"),0.74)</f>
        <v>0.74</v>
      </c>
      <c r="G17" s="140">
        <f t="shared" ca="1" si="1"/>
        <v>142.08000000000001</v>
      </c>
      <c r="H17" s="141"/>
      <c r="I17" s="148"/>
      <c r="J17" s="130"/>
    </row>
    <row r="18" spans="1:10" ht="27" customHeight="1" x14ac:dyDescent="0.3">
      <c r="A18" s="144">
        <v>10</v>
      </c>
      <c r="B18" s="136" t="s">
        <v>334</v>
      </c>
      <c r="C18" s="137" t="s">
        <v>325</v>
      </c>
      <c r="D18" s="137">
        <v>8</v>
      </c>
      <c r="E18" s="138">
        <f t="shared" si="0"/>
        <v>96</v>
      </c>
      <c r="F18" s="145">
        <f ca="1">IFERROR(__xludf.DUMMYFUNCTION("IMPORTRANGE(""https://docs.google.com/spreadsheets/d/1Z7EsCb9bEP28u5Pefo-KbaroHIgD-ThKAEQaO0csxP4/edit?gid=67479200#gid=67479200"", ""MAPA DE PREÇOS!I35"")"),3.91)</f>
        <v>3.91</v>
      </c>
      <c r="G18" s="140">
        <f t="shared" ca="1" si="1"/>
        <v>375.36</v>
      </c>
      <c r="H18" s="141"/>
      <c r="I18" s="148"/>
      <c r="J18" s="130"/>
    </row>
    <row r="19" spans="1:10" ht="15.75" customHeight="1" x14ac:dyDescent="0.3">
      <c r="A19" s="99">
        <v>11</v>
      </c>
      <c r="B19" s="136" t="s">
        <v>335</v>
      </c>
      <c r="C19" s="137" t="s">
        <v>325</v>
      </c>
      <c r="D19" s="137">
        <v>8</v>
      </c>
      <c r="E19" s="138">
        <f t="shared" si="0"/>
        <v>96</v>
      </c>
      <c r="F19" s="145">
        <f ca="1">IFERROR(__xludf.DUMMYFUNCTION("IMPORTRANGE(""https://docs.google.com/spreadsheets/d/1Z7EsCb9bEP28u5Pefo-KbaroHIgD-ThKAEQaO0csxP4/edit?gid=67479200#gid=67479200"", ""MAPA DE PREÇOS!I37"")"),4.14)</f>
        <v>4.1399999999999997</v>
      </c>
      <c r="G19" s="140">
        <f t="shared" ca="1" si="1"/>
        <v>397.44</v>
      </c>
      <c r="H19" s="141"/>
      <c r="I19" s="148"/>
      <c r="J19" s="130"/>
    </row>
    <row r="20" spans="1:10" ht="24.75" customHeight="1" x14ac:dyDescent="0.3">
      <c r="A20" s="144">
        <v>12</v>
      </c>
      <c r="B20" s="136" t="s">
        <v>336</v>
      </c>
      <c r="C20" s="137" t="s">
        <v>325</v>
      </c>
      <c r="D20" s="137">
        <v>2</v>
      </c>
      <c r="E20" s="138">
        <f t="shared" si="0"/>
        <v>24</v>
      </c>
      <c r="F20" s="145">
        <f ca="1">IFERROR(__xludf.DUMMYFUNCTION("IMPORTRANGE(""https://docs.google.com/spreadsheets/d/1Z7EsCb9bEP28u5Pefo-KbaroHIgD-ThKAEQaO0csxP4/edit?gid=67479200#gid=67479200"", ""MAPA DE PREÇOS!I39"")"),13.95)</f>
        <v>13.95</v>
      </c>
      <c r="G20" s="140">
        <f t="shared" ca="1" si="1"/>
        <v>334.8</v>
      </c>
      <c r="H20" s="141"/>
      <c r="I20" s="148"/>
      <c r="J20" s="130"/>
    </row>
    <row r="21" spans="1:10" ht="34.5" customHeight="1" x14ac:dyDescent="0.3">
      <c r="A21" s="99">
        <v>13</v>
      </c>
      <c r="B21" s="136" t="s">
        <v>337</v>
      </c>
      <c r="C21" s="137" t="s">
        <v>325</v>
      </c>
      <c r="D21" s="137">
        <v>8</v>
      </c>
      <c r="E21" s="138">
        <f t="shared" si="0"/>
        <v>96</v>
      </c>
      <c r="F21" s="145">
        <f ca="1">IFERROR(__xludf.DUMMYFUNCTION("IMPORTRANGE(""https://docs.google.com/spreadsheets/d/1Z7EsCb9bEP28u5Pefo-KbaroHIgD-ThKAEQaO0csxP4/edit?gid=67479200#gid=67479200"", ""MAPA DE PREÇOS!I41"")"),14.44)</f>
        <v>14.44</v>
      </c>
      <c r="G21" s="140">
        <f t="shared" ca="1" si="1"/>
        <v>1386.24</v>
      </c>
      <c r="H21" s="141"/>
      <c r="I21" s="148"/>
      <c r="J21" s="130"/>
    </row>
    <row r="22" spans="1:10" ht="36.75" customHeight="1" x14ac:dyDescent="0.3">
      <c r="A22" s="144">
        <v>14</v>
      </c>
      <c r="B22" s="136" t="s">
        <v>338</v>
      </c>
      <c r="C22" s="137" t="s">
        <v>325</v>
      </c>
      <c r="D22" s="137">
        <v>1</v>
      </c>
      <c r="E22" s="138">
        <f t="shared" si="0"/>
        <v>12</v>
      </c>
      <c r="F22" s="145">
        <f ca="1">IFERROR(__xludf.DUMMYFUNCTION("IMPORTRANGE(""https://docs.google.com/spreadsheets/d/1Z7EsCb9bEP28u5Pefo-KbaroHIgD-ThKAEQaO0csxP4/edit?gid=67479200#gid=67479200"", ""MAPA DE PREÇOS!I43"")"),11.35)</f>
        <v>11.35</v>
      </c>
      <c r="G22" s="140">
        <f t="shared" ca="1" si="1"/>
        <v>136.19999999999999</v>
      </c>
      <c r="H22" s="150"/>
      <c r="I22" s="148"/>
      <c r="J22" s="130"/>
    </row>
    <row r="23" spans="1:10" ht="36.75" customHeight="1" x14ac:dyDescent="0.3">
      <c r="A23" s="99">
        <v>15</v>
      </c>
      <c r="B23" s="136" t="s">
        <v>339</v>
      </c>
      <c r="C23" s="137" t="s">
        <v>325</v>
      </c>
      <c r="D23" s="137">
        <v>2</v>
      </c>
      <c r="E23" s="138">
        <f t="shared" si="0"/>
        <v>24</v>
      </c>
      <c r="F23" s="145">
        <f ca="1">IFERROR(__xludf.DUMMYFUNCTION("IMPORTRANGE(""https://docs.google.com/spreadsheets/d/1Z7EsCb9bEP28u5Pefo-KbaroHIgD-ThKAEQaO0csxP4/edit?gid=67479200#gid=67479200"", ""MAPA DE PREÇOS!I45"")"),26)</f>
        <v>26</v>
      </c>
      <c r="G23" s="140">
        <f t="shared" ca="1" si="1"/>
        <v>624</v>
      </c>
      <c r="H23" s="150"/>
      <c r="I23" s="148"/>
      <c r="J23" s="130"/>
    </row>
    <row r="24" spans="1:10" ht="36.75" customHeight="1" x14ac:dyDescent="0.3">
      <c r="A24" s="144">
        <v>16</v>
      </c>
      <c r="B24" s="136" t="s">
        <v>340</v>
      </c>
      <c r="C24" s="137" t="s">
        <v>325</v>
      </c>
      <c r="D24" s="137">
        <v>6</v>
      </c>
      <c r="E24" s="138">
        <f t="shared" si="0"/>
        <v>72</v>
      </c>
      <c r="F24" s="145">
        <f ca="1">IFERROR(__xludf.DUMMYFUNCTION("IMPORTRANGE(""https://docs.google.com/spreadsheets/d/1Z7EsCb9bEP28u5Pefo-KbaroHIgD-ThKAEQaO0csxP4/edit?gid=67479200#gid=67479200"", ""MAPA DE PREÇOS!I47"")"),22.88)</f>
        <v>22.88</v>
      </c>
      <c r="G24" s="140">
        <f t="shared" ca="1" si="1"/>
        <v>1647.36</v>
      </c>
      <c r="H24" s="150"/>
      <c r="I24" s="148"/>
      <c r="J24" s="130"/>
    </row>
    <row r="25" spans="1:10" ht="36.75" customHeight="1" x14ac:dyDescent="0.3">
      <c r="A25" s="99">
        <v>17</v>
      </c>
      <c r="B25" s="136" t="s">
        <v>341</v>
      </c>
      <c r="C25" s="137" t="s">
        <v>325</v>
      </c>
      <c r="D25" s="137">
        <v>23</v>
      </c>
      <c r="E25" s="138">
        <f t="shared" si="0"/>
        <v>276</v>
      </c>
      <c r="F25" s="145">
        <f ca="1">IFERROR(__xludf.DUMMYFUNCTION("IMPORTRANGE(""https://docs.google.com/spreadsheets/d/1Z7EsCb9bEP28u5Pefo-KbaroHIgD-ThKAEQaO0csxP4/edit?gid=67479200#gid=67479200"", ""MAPA DE PREÇOS!I49"")"),86.82)</f>
        <v>86.82</v>
      </c>
      <c r="G25" s="140">
        <f t="shared" ca="1" si="1"/>
        <v>23962.32</v>
      </c>
      <c r="H25" s="150"/>
      <c r="I25" s="148"/>
      <c r="J25" s="130"/>
    </row>
    <row r="26" spans="1:10" ht="36.75" customHeight="1" x14ac:dyDescent="0.3">
      <c r="A26" s="144">
        <v>18</v>
      </c>
      <c r="B26" s="136" t="s">
        <v>342</v>
      </c>
      <c r="C26" s="137" t="s">
        <v>325</v>
      </c>
      <c r="D26" s="137">
        <v>5</v>
      </c>
      <c r="E26" s="138">
        <f t="shared" si="0"/>
        <v>60</v>
      </c>
      <c r="F26" s="151">
        <f ca="1">IFERROR(__xludf.DUMMYFUNCTION("IMPORTRANGE(""https://docs.google.com/spreadsheets/d/1Z7EsCb9bEP28u5Pefo-KbaroHIgD-ThKAEQaO0csxP4/edit?gid=67479200#gid=67479200"", ""MAPA DE PREÇOS!I51"")"),34.31)</f>
        <v>34.31</v>
      </c>
      <c r="G26" s="140">
        <f t="shared" ca="1" si="1"/>
        <v>2058.6</v>
      </c>
      <c r="H26" s="150"/>
      <c r="I26" s="148"/>
      <c r="J26" s="130"/>
    </row>
    <row r="27" spans="1:10" ht="36.75" customHeight="1" x14ac:dyDescent="0.3">
      <c r="A27" s="144">
        <v>19</v>
      </c>
      <c r="B27" s="136" t="s">
        <v>343</v>
      </c>
      <c r="C27" s="137" t="s">
        <v>325</v>
      </c>
      <c r="D27" s="137">
        <v>16</v>
      </c>
      <c r="E27" s="138">
        <f t="shared" si="0"/>
        <v>192</v>
      </c>
      <c r="F27" s="151">
        <f ca="1">IFERROR(__xludf.DUMMYFUNCTION("IMPORTRANGE(""https://docs.google.com/spreadsheets/d/1Z7EsCb9bEP28u5Pefo-KbaroHIgD-ThKAEQaO0csxP4/edit?gid=67479200#gid=67479200"", ""MAPA DE PREÇOS!I53"")"),67.44)</f>
        <v>67.44</v>
      </c>
      <c r="G27" s="140">
        <f t="shared" ca="1" si="1"/>
        <v>12948.48</v>
      </c>
      <c r="H27" s="150"/>
      <c r="I27" s="148"/>
      <c r="J27" s="130"/>
    </row>
    <row r="28" spans="1:10" ht="36.75" customHeight="1" x14ac:dyDescent="0.3">
      <c r="A28" s="99">
        <v>20</v>
      </c>
      <c r="B28" s="136" t="s">
        <v>344</v>
      </c>
      <c r="C28" s="137" t="s">
        <v>325</v>
      </c>
      <c r="D28" s="137">
        <v>7</v>
      </c>
      <c r="E28" s="138">
        <f t="shared" si="0"/>
        <v>84</v>
      </c>
      <c r="F28" s="151">
        <f ca="1">IFERROR(__xludf.DUMMYFUNCTION("IMPORTRANGE(""https://docs.google.com/spreadsheets/d/1Z7EsCb9bEP28u5Pefo-KbaroHIgD-ThKAEQaO0csxP4/edit?gid=67479200#gid=67479200"", ""MAPA DE PREÇOS!I55"")"),20.2)</f>
        <v>20.2</v>
      </c>
      <c r="G28" s="140">
        <f t="shared" ca="1" si="1"/>
        <v>1696.8</v>
      </c>
      <c r="H28" s="150"/>
      <c r="I28" s="148"/>
      <c r="J28" s="130"/>
    </row>
    <row r="29" spans="1:10" ht="36.75" customHeight="1" x14ac:dyDescent="0.3">
      <c r="A29" s="144">
        <v>21</v>
      </c>
      <c r="B29" s="136" t="s">
        <v>345</v>
      </c>
      <c r="C29" s="137" t="s">
        <v>325</v>
      </c>
      <c r="D29" s="137">
        <v>1</v>
      </c>
      <c r="E29" s="138">
        <f t="shared" si="0"/>
        <v>12</v>
      </c>
      <c r="F29" s="151">
        <f ca="1">IFERROR(__xludf.DUMMYFUNCTION("IMPORTRANGE(""https://docs.google.com/spreadsheets/d/1Z7EsCb9bEP28u5Pefo-KbaroHIgD-ThKAEQaO0csxP4/edit?gid=67479200#gid=67479200"", ""MAPA DE PREÇOS!I57"")"),31.42)</f>
        <v>31.42</v>
      </c>
      <c r="G29" s="140">
        <f t="shared" ca="1" si="1"/>
        <v>377.04</v>
      </c>
      <c r="H29" s="150"/>
      <c r="I29" s="148"/>
      <c r="J29" s="130"/>
    </row>
    <row r="30" spans="1:10" ht="36.75" customHeight="1" x14ac:dyDescent="0.3">
      <c r="A30" s="144">
        <v>22</v>
      </c>
      <c r="B30" s="136" t="s">
        <v>346</v>
      </c>
      <c r="C30" s="137" t="s">
        <v>325</v>
      </c>
      <c r="D30" s="137">
        <v>8</v>
      </c>
      <c r="E30" s="138">
        <f t="shared" si="0"/>
        <v>96</v>
      </c>
      <c r="F30" s="151">
        <f ca="1">IFERROR(__xludf.DUMMYFUNCTION("IMPORTRANGE(""https://docs.google.com/spreadsheets/d/1Z7EsCb9bEP28u5Pefo-KbaroHIgD-ThKAEQaO0csxP4/edit?gid=67479200#gid=67479200"", ""MAPA DE PREÇOS!I59"")"),25.68)</f>
        <v>25.68</v>
      </c>
      <c r="G30" s="140">
        <f t="shared" ca="1" si="1"/>
        <v>2465.2800000000002</v>
      </c>
      <c r="H30" s="150"/>
      <c r="I30" s="148"/>
      <c r="J30" s="130"/>
    </row>
    <row r="31" spans="1:10" ht="36.75" customHeight="1" x14ac:dyDescent="0.3">
      <c r="A31" s="99">
        <v>23</v>
      </c>
      <c r="B31" s="136" t="s">
        <v>347</v>
      </c>
      <c r="C31" s="137" t="s">
        <v>325</v>
      </c>
      <c r="D31" s="137">
        <v>1</v>
      </c>
      <c r="E31" s="138">
        <f t="shared" si="0"/>
        <v>12</v>
      </c>
      <c r="F31" s="151">
        <f ca="1">IFERROR(__xludf.DUMMYFUNCTION("IMPORTRANGE(""https://docs.google.com/spreadsheets/d/1Z7EsCb9bEP28u5Pefo-KbaroHIgD-ThKAEQaO0csxP4/edit?gid=67479200#gid=67479200"", ""MAPA DE PREÇOS!I61"")"),18.68)</f>
        <v>18.68</v>
      </c>
      <c r="G31" s="140">
        <f t="shared" ca="1" si="1"/>
        <v>224.16</v>
      </c>
      <c r="H31" s="150"/>
      <c r="I31" s="148"/>
      <c r="J31" s="130"/>
    </row>
    <row r="32" spans="1:10" ht="36.75" customHeight="1" x14ac:dyDescent="0.3">
      <c r="A32" s="144">
        <v>24</v>
      </c>
      <c r="B32" s="136" t="s">
        <v>348</v>
      </c>
      <c r="C32" s="137" t="s">
        <v>325</v>
      </c>
      <c r="D32" s="137">
        <v>16</v>
      </c>
      <c r="E32" s="138">
        <f t="shared" si="0"/>
        <v>192</v>
      </c>
      <c r="F32" s="151">
        <f ca="1">IFERROR(__xludf.DUMMYFUNCTION("IMPORTRANGE(""https://docs.google.com/spreadsheets/d/1Z7EsCb9bEP28u5Pefo-KbaroHIgD-ThKAEQaO0csxP4/edit?gid=67479200#gid=67479200"", ""MAPA DE PREÇOS!I63"")"),4.59)</f>
        <v>4.59</v>
      </c>
      <c r="G32" s="140">
        <f t="shared" ca="1" si="1"/>
        <v>881.28</v>
      </c>
      <c r="H32" s="150"/>
      <c r="I32" s="148"/>
      <c r="J32" s="130"/>
    </row>
    <row r="33" spans="1:10" ht="36.75" customHeight="1" x14ac:dyDescent="0.3">
      <c r="A33" s="144">
        <v>25</v>
      </c>
      <c r="B33" s="136" t="s">
        <v>349</v>
      </c>
      <c r="C33" s="137" t="s">
        <v>325</v>
      </c>
      <c r="D33" s="137">
        <v>8</v>
      </c>
      <c r="E33" s="138">
        <f t="shared" si="0"/>
        <v>96</v>
      </c>
      <c r="F33" s="151">
        <f ca="1">IFERROR(__xludf.DUMMYFUNCTION("IMPORTRANGE(""https://docs.google.com/spreadsheets/d/1Z7EsCb9bEP28u5Pefo-KbaroHIgD-ThKAEQaO0csxP4/edit?gid=67479200#gid=67479200"", ""MAPA DE PREÇOS!I65"")"),3.45)</f>
        <v>3.45</v>
      </c>
      <c r="G33" s="140">
        <f t="shared" ca="1" si="1"/>
        <v>331.2</v>
      </c>
      <c r="H33" s="150"/>
      <c r="I33" s="148"/>
      <c r="J33" s="130"/>
    </row>
    <row r="34" spans="1:10" ht="12.75" customHeight="1" x14ac:dyDescent="0.3">
      <c r="A34" s="210" t="s">
        <v>350</v>
      </c>
      <c r="B34" s="201"/>
      <c r="C34" s="201"/>
      <c r="D34" s="201"/>
      <c r="E34" s="201"/>
      <c r="F34" s="202"/>
      <c r="G34" s="152">
        <f ca="1">SUM(G9:G26)</f>
        <v>44808.24</v>
      </c>
      <c r="H34" s="153"/>
      <c r="I34" s="148"/>
      <c r="J34" s="130"/>
    </row>
    <row r="35" spans="1:10" ht="12.75" customHeight="1" x14ac:dyDescent="0.3">
      <c r="A35" s="210" t="s">
        <v>351</v>
      </c>
      <c r="B35" s="201"/>
      <c r="C35" s="201"/>
      <c r="D35" s="201"/>
      <c r="E35" s="201"/>
      <c r="F35" s="202"/>
      <c r="G35" s="152">
        <f ca="1">G34/12</f>
        <v>3734.02</v>
      </c>
      <c r="H35" s="153"/>
      <c r="I35" s="148"/>
      <c r="J35" s="130"/>
    </row>
    <row r="36" spans="1:10" ht="34.5" customHeight="1" x14ac:dyDescent="0.3">
      <c r="A36" s="154"/>
      <c r="B36" s="155"/>
      <c r="C36" s="156"/>
      <c r="D36" s="156"/>
      <c r="E36" s="157"/>
      <c r="F36" s="157"/>
      <c r="G36" s="157"/>
      <c r="H36" s="141"/>
      <c r="I36" s="148"/>
      <c r="J36" s="130"/>
    </row>
    <row r="37" spans="1:10" ht="45" customHeight="1" x14ac:dyDescent="0.25">
      <c r="A37" s="132" t="s">
        <v>317</v>
      </c>
      <c r="B37" s="132" t="s">
        <v>352</v>
      </c>
      <c r="C37" s="132" t="s">
        <v>319</v>
      </c>
      <c r="D37" s="132" t="s">
        <v>353</v>
      </c>
      <c r="E37" s="132" t="s">
        <v>354</v>
      </c>
      <c r="F37" s="132" t="s">
        <v>321</v>
      </c>
      <c r="G37" s="132" t="s">
        <v>322</v>
      </c>
      <c r="H37" s="158" t="s">
        <v>323</v>
      </c>
      <c r="I37" s="159"/>
      <c r="J37" s="135"/>
    </row>
    <row r="38" spans="1:10" ht="12.75" customHeight="1" x14ac:dyDescent="0.25">
      <c r="A38" s="144">
        <v>1</v>
      </c>
      <c r="B38" s="136" t="s">
        <v>355</v>
      </c>
      <c r="C38" s="137" t="s">
        <v>325</v>
      </c>
      <c r="D38" s="98">
        <v>12</v>
      </c>
      <c r="E38" s="137">
        <v>35</v>
      </c>
      <c r="F38" s="137">
        <f t="shared" ref="F38:F51" si="2">E38/(D38/12)</f>
        <v>35</v>
      </c>
      <c r="G38" s="139">
        <f ca="1">IFERROR(__xludf.DUMMYFUNCTION("IMPORTRANGE(""https://docs.google.com/spreadsheets/d/1Z7EsCb9bEP28u5Pefo-KbaroHIgD-ThKAEQaO0csxP4/edit?gid=67479200#gid=67479200"", ""MAPA DE PREÇOS!I68"")"),7.28)</f>
        <v>7.28</v>
      </c>
      <c r="H38" s="140">
        <f t="shared" ref="H38:H51" ca="1" si="3">ROUND(F38*G38,2)</f>
        <v>254.8</v>
      </c>
      <c r="I38" s="160"/>
      <c r="J38" s="143"/>
    </row>
    <row r="39" spans="1:10" ht="12.75" customHeight="1" x14ac:dyDescent="0.25">
      <c r="A39" s="144">
        <v>2</v>
      </c>
      <c r="B39" s="136" t="s">
        <v>356</v>
      </c>
      <c r="C39" s="137" t="s">
        <v>325</v>
      </c>
      <c r="D39" s="98">
        <v>12</v>
      </c>
      <c r="E39" s="137">
        <v>16</v>
      </c>
      <c r="F39" s="137">
        <f t="shared" si="2"/>
        <v>16</v>
      </c>
      <c r="G39" s="145">
        <f ca="1">IFERROR(__xludf.DUMMYFUNCTION("IMPORTRANGE(""https://docs.google.com/spreadsheets/d/1Z7EsCb9bEP28u5Pefo-KbaroHIgD-ThKAEQaO0csxP4/edit?gid=67479200#gid=67479200"", ""MAPA DE PREÇOS!I70"")"),16.48)</f>
        <v>16.48</v>
      </c>
      <c r="H39" s="140">
        <f t="shared" ca="1" si="3"/>
        <v>263.68</v>
      </c>
      <c r="I39" s="160"/>
      <c r="J39" s="143"/>
    </row>
    <row r="40" spans="1:10" ht="27.75" customHeight="1" x14ac:dyDescent="0.25">
      <c r="A40" s="144">
        <v>3</v>
      </c>
      <c r="B40" s="136" t="s">
        <v>357</v>
      </c>
      <c r="C40" s="137" t="s">
        <v>325</v>
      </c>
      <c r="D40" s="98">
        <v>24</v>
      </c>
      <c r="E40" s="137">
        <v>3</v>
      </c>
      <c r="F40" s="137">
        <f t="shared" si="2"/>
        <v>1.5</v>
      </c>
      <c r="G40" s="145">
        <f ca="1">IFERROR(__xludf.DUMMYFUNCTION("IMPORTRANGE(""https://docs.google.com/spreadsheets/d/1Z7EsCb9bEP28u5Pefo-KbaroHIgD-ThKAEQaO0csxP4/edit?gid=67479200#gid=67479200"", ""MAPA DE PREÇOS!I72"")"),88.35)</f>
        <v>88.35</v>
      </c>
      <c r="H40" s="140">
        <f t="shared" ca="1" si="3"/>
        <v>132.53</v>
      </c>
      <c r="I40" s="123"/>
      <c r="J40" s="146"/>
    </row>
    <row r="41" spans="1:10" ht="33.75" customHeight="1" x14ac:dyDescent="0.25">
      <c r="A41" s="144">
        <v>4</v>
      </c>
      <c r="B41" s="136" t="s">
        <v>358</v>
      </c>
      <c r="C41" s="137" t="s">
        <v>325</v>
      </c>
      <c r="D41" s="161">
        <v>12</v>
      </c>
      <c r="E41" s="137">
        <v>8</v>
      </c>
      <c r="F41" s="137">
        <f t="shared" si="2"/>
        <v>8</v>
      </c>
      <c r="G41" s="145">
        <f ca="1">IFERROR(__xludf.DUMMYFUNCTION("IMPORTRANGE(""https://docs.google.com/spreadsheets/d/1Z7EsCb9bEP28u5Pefo-KbaroHIgD-ThKAEQaO0csxP4/edit?gid=67479200#gid=67479200"", ""MAPA DE PREÇOS!I74"")"),24.76)</f>
        <v>24.76</v>
      </c>
      <c r="H41" s="140">
        <f t="shared" ca="1" si="3"/>
        <v>198.08</v>
      </c>
      <c r="I41" s="124"/>
      <c r="J41" s="146"/>
    </row>
    <row r="42" spans="1:10" ht="22.5" customHeight="1" x14ac:dyDescent="0.25">
      <c r="A42" s="144">
        <v>5</v>
      </c>
      <c r="B42" s="136" t="s">
        <v>359</v>
      </c>
      <c r="C42" s="137" t="s">
        <v>325</v>
      </c>
      <c r="D42" s="161">
        <v>24</v>
      </c>
      <c r="E42" s="137">
        <v>1</v>
      </c>
      <c r="F42" s="137">
        <f t="shared" si="2"/>
        <v>0.5</v>
      </c>
      <c r="G42" s="145">
        <f ca="1">IFERROR(__xludf.DUMMYFUNCTION("IMPORTRANGE(""https://docs.google.com/spreadsheets/d/1Z7EsCb9bEP28u5Pefo-KbaroHIgD-ThKAEQaO0csxP4/edit?gid=67479200#gid=67479200"", ""MAPA DE PREÇOS!I76"")"),6.94)</f>
        <v>6.94</v>
      </c>
      <c r="H42" s="140">
        <f t="shared" ca="1" si="3"/>
        <v>3.47</v>
      </c>
      <c r="I42" s="160"/>
      <c r="J42" s="143"/>
    </row>
    <row r="43" spans="1:10" ht="21.75" customHeight="1" x14ac:dyDescent="0.25">
      <c r="A43" s="144">
        <v>6</v>
      </c>
      <c r="B43" s="136" t="s">
        <v>360</v>
      </c>
      <c r="C43" s="137" t="s">
        <v>325</v>
      </c>
      <c r="D43" s="98">
        <v>12</v>
      </c>
      <c r="E43" s="137">
        <v>3</v>
      </c>
      <c r="F43" s="137">
        <f t="shared" si="2"/>
        <v>3</v>
      </c>
      <c r="G43" s="145">
        <f ca="1">IFERROR(__xludf.DUMMYFUNCTION("IMPORTRANGE(""https://docs.google.com/spreadsheets/d/1Z7EsCb9bEP28u5Pefo-KbaroHIgD-ThKAEQaO0csxP4/edit?gid=67479200#gid=67479200"", ""MAPA DE PREÇOS!I78"")"),84.4)</f>
        <v>84.4</v>
      </c>
      <c r="H43" s="140">
        <f t="shared" ca="1" si="3"/>
        <v>253.2</v>
      </c>
      <c r="I43" s="124"/>
      <c r="J43" s="146"/>
    </row>
    <row r="44" spans="1:10" ht="23.25" customHeight="1" x14ac:dyDescent="0.25">
      <c r="A44" s="144">
        <v>7</v>
      </c>
      <c r="B44" s="136" t="s">
        <v>361</v>
      </c>
      <c r="C44" s="137" t="s">
        <v>325</v>
      </c>
      <c r="D44" s="98">
        <v>12</v>
      </c>
      <c r="E44" s="137">
        <v>16</v>
      </c>
      <c r="F44" s="137">
        <f t="shared" si="2"/>
        <v>16</v>
      </c>
      <c r="G44" s="145">
        <f ca="1">IFERROR(__xludf.DUMMYFUNCTION("IMPORTRANGE(""https://docs.google.com/spreadsheets/d/1Z7EsCb9bEP28u5Pefo-KbaroHIgD-ThKAEQaO0csxP4/edit?gid=67479200#gid=67479200"", ""MAPA DE PREÇOS!I80"")"),20.74)</f>
        <v>20.74</v>
      </c>
      <c r="H44" s="140">
        <f t="shared" ca="1" si="3"/>
        <v>331.84</v>
      </c>
      <c r="I44" s="124"/>
      <c r="J44" s="146"/>
    </row>
    <row r="45" spans="1:10" ht="24.75" customHeight="1" x14ac:dyDescent="0.25">
      <c r="A45" s="144">
        <v>8</v>
      </c>
      <c r="B45" s="136" t="s">
        <v>362</v>
      </c>
      <c r="C45" s="137" t="s">
        <v>325</v>
      </c>
      <c r="D45" s="98">
        <v>12</v>
      </c>
      <c r="E45" s="137">
        <v>8</v>
      </c>
      <c r="F45" s="137">
        <f t="shared" si="2"/>
        <v>8</v>
      </c>
      <c r="G45" s="145">
        <f ca="1">IFERROR(__xludf.DUMMYFUNCTION("IMPORTRANGE(""https://docs.google.com/spreadsheets/d/1Z7EsCb9bEP28u5Pefo-KbaroHIgD-ThKAEQaO0csxP4/edit?gid=67479200#gid=67479200"", ""MAPA DE PREÇOS!I82"")"),14.05)</f>
        <v>14.05</v>
      </c>
      <c r="H45" s="140">
        <f t="shared" ca="1" si="3"/>
        <v>112.4</v>
      </c>
      <c r="I45" s="123"/>
      <c r="J45" s="146"/>
    </row>
    <row r="46" spans="1:10" ht="22.5" customHeight="1" x14ac:dyDescent="0.25">
      <c r="A46" s="144">
        <v>9</v>
      </c>
      <c r="B46" s="136" t="s">
        <v>363</v>
      </c>
      <c r="C46" s="137" t="s">
        <v>325</v>
      </c>
      <c r="D46" s="98">
        <v>12</v>
      </c>
      <c r="E46" s="137">
        <v>8</v>
      </c>
      <c r="F46" s="137">
        <f t="shared" si="2"/>
        <v>8</v>
      </c>
      <c r="G46" s="145">
        <f ca="1">IFERROR(__xludf.DUMMYFUNCTION("IMPORTRANGE(""https://docs.google.com/spreadsheets/d/1Z7EsCb9bEP28u5Pefo-KbaroHIgD-ThKAEQaO0csxP4/edit?gid=67479200#gid=67479200"", ""MAPA DE PREÇOS!I84"")"),61.14)</f>
        <v>61.14</v>
      </c>
      <c r="H46" s="140">
        <f t="shared" ca="1" si="3"/>
        <v>489.12</v>
      </c>
      <c r="I46" s="123"/>
      <c r="J46" s="146"/>
    </row>
    <row r="47" spans="1:10" ht="12.75" customHeight="1" x14ac:dyDescent="0.25">
      <c r="A47" s="144">
        <v>10</v>
      </c>
      <c r="B47" s="136" t="s">
        <v>364</v>
      </c>
      <c r="C47" s="137" t="s">
        <v>325</v>
      </c>
      <c r="D47" s="98">
        <v>12</v>
      </c>
      <c r="E47" s="137">
        <v>8</v>
      </c>
      <c r="F47" s="137">
        <f t="shared" si="2"/>
        <v>8</v>
      </c>
      <c r="G47" s="145">
        <f ca="1">IFERROR(__xludf.DUMMYFUNCTION("IMPORTRANGE(""https://docs.google.com/spreadsheets/d/1Z7EsCb9bEP28u5Pefo-KbaroHIgD-ThKAEQaO0csxP4/edit?gid=67479200#gid=67479200"", ""MAPA DE PREÇOS!I86"")"),35.29)</f>
        <v>35.29</v>
      </c>
      <c r="H47" s="140">
        <f t="shared" ca="1" si="3"/>
        <v>282.32</v>
      </c>
      <c r="I47" s="123"/>
      <c r="J47" s="146"/>
    </row>
    <row r="48" spans="1:10" ht="25.5" customHeight="1" x14ac:dyDescent="0.25">
      <c r="A48" s="144">
        <v>11</v>
      </c>
      <c r="B48" s="136" t="s">
        <v>365</v>
      </c>
      <c r="C48" s="137" t="s">
        <v>325</v>
      </c>
      <c r="D48" s="98">
        <v>12</v>
      </c>
      <c r="E48" s="137">
        <v>16</v>
      </c>
      <c r="F48" s="137">
        <f t="shared" si="2"/>
        <v>16</v>
      </c>
      <c r="G48" s="145">
        <f ca="1">IFERROR(__xludf.DUMMYFUNCTION("IMPORTRANGE(""https://docs.google.com/spreadsheets/d/1Z7EsCb9bEP28u5Pefo-KbaroHIgD-ThKAEQaO0csxP4/edit?gid=67479200#gid=67479200"", ""MAPA DE PREÇOS!I88"")"),14.65)</f>
        <v>14.65</v>
      </c>
      <c r="H48" s="140">
        <f t="shared" ca="1" si="3"/>
        <v>234.4</v>
      </c>
      <c r="I48" s="162"/>
      <c r="J48" s="146"/>
    </row>
    <row r="49" spans="1:10" ht="12.75" customHeight="1" x14ac:dyDescent="0.25">
      <c r="A49" s="144">
        <v>12</v>
      </c>
      <c r="B49" s="136" t="s">
        <v>366</v>
      </c>
      <c r="C49" s="137" t="s">
        <v>325</v>
      </c>
      <c r="D49" s="98">
        <v>24</v>
      </c>
      <c r="E49" s="137">
        <v>10</v>
      </c>
      <c r="F49" s="137">
        <f t="shared" si="2"/>
        <v>5</v>
      </c>
      <c r="G49" s="145">
        <f ca="1">IFERROR(__xludf.DUMMYFUNCTION("IMPORTRANGE(""https://docs.google.com/spreadsheets/d/1Z7EsCb9bEP28u5Pefo-KbaroHIgD-ThKAEQaO0csxP4/edit?gid=67479200#gid=67479200"", ""MAPA DE PREÇOS!I90"")"),80.98)</f>
        <v>80.98</v>
      </c>
      <c r="H49" s="140">
        <f t="shared" ca="1" si="3"/>
        <v>404.9</v>
      </c>
      <c r="I49" s="162"/>
      <c r="J49" s="146"/>
    </row>
    <row r="50" spans="1:10" ht="35.25" customHeight="1" x14ac:dyDescent="0.3">
      <c r="A50" s="144">
        <v>13</v>
      </c>
      <c r="B50" s="136" t="s">
        <v>367</v>
      </c>
      <c r="C50" s="137" t="s">
        <v>325</v>
      </c>
      <c r="D50" s="98">
        <v>12</v>
      </c>
      <c r="E50" s="137">
        <v>5</v>
      </c>
      <c r="F50" s="137">
        <f t="shared" si="2"/>
        <v>5</v>
      </c>
      <c r="G50" s="145">
        <f ca="1">IFERROR(__xludf.DUMMYFUNCTION("IMPORTRANGE(""https://docs.google.com/spreadsheets/d/1Z7EsCb9bEP28u5Pefo-KbaroHIgD-ThKAEQaO0csxP4/edit?gid=67479200#gid=67479200"", ""MAPA DE PREÇOS!I92"")"),10.62)</f>
        <v>10.62</v>
      </c>
      <c r="H50" s="140">
        <f t="shared" ca="1" si="3"/>
        <v>53.1</v>
      </c>
      <c r="I50" s="148"/>
      <c r="J50" s="130"/>
    </row>
    <row r="51" spans="1:10" ht="33.75" customHeight="1" x14ac:dyDescent="0.3">
      <c r="A51" s="144">
        <v>14</v>
      </c>
      <c r="B51" s="136" t="s">
        <v>368</v>
      </c>
      <c r="C51" s="137" t="s">
        <v>325</v>
      </c>
      <c r="D51" s="98">
        <v>12</v>
      </c>
      <c r="E51" s="137">
        <v>8</v>
      </c>
      <c r="F51" s="137">
        <f t="shared" si="2"/>
        <v>8</v>
      </c>
      <c r="G51" s="145">
        <f ca="1">IFERROR(__xludf.DUMMYFUNCTION("IMPORTRANGE(""https://docs.google.com/spreadsheets/d/1Z7EsCb9bEP28u5Pefo-KbaroHIgD-ThKAEQaO0csxP4/edit?gid=67479200#gid=67479200"", ""MAPA DE PREÇOS!I94"")"),20.84)</f>
        <v>20.84</v>
      </c>
      <c r="H51" s="140">
        <f t="shared" ca="1" si="3"/>
        <v>166.72</v>
      </c>
      <c r="I51" s="148"/>
      <c r="J51" s="130"/>
    </row>
    <row r="52" spans="1:10" ht="12.75" customHeight="1" x14ac:dyDescent="0.3">
      <c r="A52" s="256" t="s">
        <v>369</v>
      </c>
      <c r="B52" s="201"/>
      <c r="C52" s="201"/>
      <c r="D52" s="201"/>
      <c r="E52" s="201"/>
      <c r="F52" s="201"/>
      <c r="G52" s="202"/>
      <c r="H52" s="163">
        <f ca="1">SUM(H38:H51)</f>
        <v>3180.56</v>
      </c>
      <c r="I52" s="148"/>
      <c r="J52" s="130"/>
    </row>
    <row r="53" spans="1:10" ht="12.75" customHeight="1" x14ac:dyDescent="0.3">
      <c r="A53" s="256" t="s">
        <v>370</v>
      </c>
      <c r="B53" s="201"/>
      <c r="C53" s="201"/>
      <c r="D53" s="201"/>
      <c r="E53" s="201"/>
      <c r="F53" s="201"/>
      <c r="G53" s="202"/>
      <c r="H53" s="163">
        <f ca="1">H52/12</f>
        <v>265.04666666666668</v>
      </c>
      <c r="I53" s="148"/>
      <c r="J53" s="130"/>
    </row>
    <row r="54" spans="1:10" ht="43.5" customHeight="1" x14ac:dyDescent="0.3">
      <c r="A54" s="115"/>
      <c r="B54" s="33"/>
      <c r="C54" s="164"/>
      <c r="D54" s="164"/>
      <c r="E54" s="164"/>
      <c r="F54" s="164"/>
      <c r="G54" s="164"/>
      <c r="H54" s="164"/>
      <c r="I54" s="148"/>
      <c r="J54" s="130"/>
    </row>
    <row r="55" spans="1:10" ht="42.75" customHeight="1" x14ac:dyDescent="0.25">
      <c r="A55" s="132" t="s">
        <v>317</v>
      </c>
      <c r="B55" s="132" t="s">
        <v>371</v>
      </c>
      <c r="C55" s="132" t="s">
        <v>319</v>
      </c>
      <c r="D55" s="132" t="s">
        <v>372</v>
      </c>
      <c r="E55" s="132" t="s">
        <v>354</v>
      </c>
      <c r="F55" s="132" t="s">
        <v>321</v>
      </c>
      <c r="G55" s="132" t="s">
        <v>322</v>
      </c>
      <c r="H55" s="132" t="s">
        <v>323</v>
      </c>
      <c r="I55" s="134"/>
      <c r="J55" s="135"/>
    </row>
    <row r="56" spans="1:10" ht="22.5" customHeight="1" x14ac:dyDescent="0.25">
      <c r="A56" s="144">
        <v>1</v>
      </c>
      <c r="B56" s="136" t="s">
        <v>373</v>
      </c>
      <c r="C56" s="137" t="s">
        <v>325</v>
      </c>
      <c r="D56" s="161">
        <v>60</v>
      </c>
      <c r="E56" s="137">
        <v>2</v>
      </c>
      <c r="F56" s="165">
        <f t="shared" ref="F56:F62" si="4">E56/(D56/12)</f>
        <v>0.4</v>
      </c>
      <c r="G56" s="139">
        <f ca="1">IFERROR(__xludf.DUMMYFUNCTION("IMPORTRANGE(""https://docs.google.com/spreadsheets/d/1Z7EsCb9bEP28u5Pefo-KbaroHIgD-ThKAEQaO0csxP4/edit?gid=67479200#gid=67479200"", ""MAPA DE PREÇOS!I97"")"),277.1)</f>
        <v>277.10000000000002</v>
      </c>
      <c r="H56" s="140">
        <f t="shared" ref="H56:H62" ca="1" si="5">ROUND(F56*G56,2)</f>
        <v>110.84</v>
      </c>
      <c r="I56" s="110"/>
      <c r="J56" s="131"/>
    </row>
    <row r="57" spans="1:10" ht="22.5" customHeight="1" x14ac:dyDescent="0.25">
      <c r="A57" s="144">
        <v>2</v>
      </c>
      <c r="B57" s="136" t="s">
        <v>374</v>
      </c>
      <c r="C57" s="137" t="s">
        <v>325</v>
      </c>
      <c r="D57" s="161">
        <v>60</v>
      </c>
      <c r="E57" s="137">
        <v>2</v>
      </c>
      <c r="F57" s="165">
        <f t="shared" si="4"/>
        <v>0.4</v>
      </c>
      <c r="G57" s="139">
        <f ca="1">IFERROR(__xludf.DUMMYFUNCTION("IMPORTRANGE(""https://docs.google.com/spreadsheets/d/1Z7EsCb9bEP28u5Pefo-KbaroHIgD-ThKAEQaO0csxP4/edit?gid=67479200#gid=67479200"", ""MAPA DE PREÇOS!I99"")"),397.24)</f>
        <v>397.24</v>
      </c>
      <c r="H57" s="140">
        <f t="shared" ca="1" si="5"/>
        <v>158.9</v>
      </c>
      <c r="I57" s="110"/>
      <c r="J57" s="131"/>
    </row>
    <row r="58" spans="1:10" ht="43.5" customHeight="1" x14ac:dyDescent="0.25">
      <c r="A58" s="144">
        <v>3</v>
      </c>
      <c r="B58" s="136" t="s">
        <v>375</v>
      </c>
      <c r="C58" s="137" t="s">
        <v>325</v>
      </c>
      <c r="D58" s="161">
        <v>60</v>
      </c>
      <c r="E58" s="137">
        <v>3</v>
      </c>
      <c r="F58" s="165">
        <f t="shared" si="4"/>
        <v>0.6</v>
      </c>
      <c r="G58" s="139">
        <f ca="1">IFERROR(__xludf.DUMMYFUNCTION("IMPORTRANGE(""https://docs.google.com/spreadsheets/d/1Z7EsCb9bEP28u5Pefo-KbaroHIgD-ThKAEQaO0csxP4/edit?gid=67479200#gid=67479200"", ""MAPA DE PREÇOS!I101"")"),1506.97)</f>
        <v>1506.97</v>
      </c>
      <c r="H58" s="140">
        <f t="shared" ca="1" si="5"/>
        <v>904.18</v>
      </c>
      <c r="I58" s="110"/>
      <c r="J58" s="131"/>
    </row>
    <row r="59" spans="1:10" ht="45.75" customHeight="1" x14ac:dyDescent="0.3">
      <c r="A59" s="144">
        <v>4</v>
      </c>
      <c r="B59" s="136" t="s">
        <v>376</v>
      </c>
      <c r="C59" s="137" t="s">
        <v>325</v>
      </c>
      <c r="D59" s="161">
        <v>60</v>
      </c>
      <c r="E59" s="137">
        <v>1</v>
      </c>
      <c r="F59" s="165">
        <f t="shared" si="4"/>
        <v>0.2</v>
      </c>
      <c r="G59" s="139">
        <f ca="1">IFERROR(__xludf.DUMMYFUNCTION("IMPORTRANGE(""https://docs.google.com/spreadsheets/d/1Z7EsCb9bEP28u5Pefo-KbaroHIgD-ThKAEQaO0csxP4/edit?gid=67479200#gid=67479200"", ""MAPA DE PREÇOS!I103"")"),528.46)</f>
        <v>528.46</v>
      </c>
      <c r="H59" s="140">
        <f t="shared" ca="1" si="5"/>
        <v>105.69</v>
      </c>
      <c r="I59" s="148"/>
      <c r="J59" s="130"/>
    </row>
    <row r="60" spans="1:10" ht="45.75" customHeight="1" x14ac:dyDescent="0.3">
      <c r="A60" s="144">
        <v>5</v>
      </c>
      <c r="B60" s="136" t="s">
        <v>377</v>
      </c>
      <c r="C60" s="137" t="s">
        <v>325</v>
      </c>
      <c r="D60" s="161">
        <v>60</v>
      </c>
      <c r="E60" s="137">
        <v>3</v>
      </c>
      <c r="F60" s="165">
        <f t="shared" si="4"/>
        <v>0.6</v>
      </c>
      <c r="G60" s="139">
        <f ca="1">IFERROR(__xludf.DUMMYFUNCTION("IMPORTRANGE(""https://docs.google.com/spreadsheets/d/1Z7EsCb9bEP28u5Pefo-KbaroHIgD-ThKAEQaO0csxP4/edit?gid=67479200#gid=67479200"", ""MAPA DE PREÇOS!I105"")"),114.9)</f>
        <v>114.9</v>
      </c>
      <c r="H60" s="140">
        <f t="shared" ca="1" si="5"/>
        <v>68.94</v>
      </c>
      <c r="I60" s="148"/>
      <c r="J60" s="130"/>
    </row>
    <row r="61" spans="1:10" ht="45.75" customHeight="1" x14ac:dyDescent="0.3">
      <c r="A61" s="144">
        <v>6</v>
      </c>
      <c r="B61" s="136" t="s">
        <v>378</v>
      </c>
      <c r="C61" s="137" t="s">
        <v>325</v>
      </c>
      <c r="D61" s="161">
        <v>60</v>
      </c>
      <c r="E61" s="137">
        <v>1</v>
      </c>
      <c r="F61" s="165">
        <f t="shared" si="4"/>
        <v>0.2</v>
      </c>
      <c r="G61" s="139">
        <f ca="1">IFERROR(__xludf.DUMMYFUNCTION("IMPORTRANGE(""https://docs.google.com/spreadsheets/d/1Z7EsCb9bEP28u5Pefo-KbaroHIgD-ThKAEQaO0csxP4/edit?gid=67479200#gid=67479200"", ""MAPA DE PREÇOS!I107"")"),123.91)</f>
        <v>123.91</v>
      </c>
      <c r="H61" s="140">
        <f t="shared" ca="1" si="5"/>
        <v>24.78</v>
      </c>
      <c r="I61" s="148"/>
      <c r="J61" s="130"/>
    </row>
    <row r="62" spans="1:10" ht="45.75" customHeight="1" x14ac:dyDescent="0.3">
      <c r="A62" s="144">
        <v>7</v>
      </c>
      <c r="B62" s="136" t="s">
        <v>379</v>
      </c>
      <c r="C62" s="137" t="s">
        <v>325</v>
      </c>
      <c r="D62" s="161">
        <v>60</v>
      </c>
      <c r="E62" s="137">
        <v>3</v>
      </c>
      <c r="F62" s="165">
        <f t="shared" si="4"/>
        <v>0.6</v>
      </c>
      <c r="G62" s="139">
        <f ca="1">IFERROR(__xludf.DUMMYFUNCTION("IMPORTRANGE(""https://docs.google.com/spreadsheets/d/1Z7EsCb9bEP28u5Pefo-KbaroHIgD-ThKAEQaO0csxP4/edit?gid=67479200#gid=67479200"", ""MAPA DE PREÇOS!I109"")"),174.07)</f>
        <v>174.07</v>
      </c>
      <c r="H62" s="140">
        <f t="shared" ca="1" si="5"/>
        <v>104.44</v>
      </c>
      <c r="I62" s="148"/>
      <c r="J62" s="130"/>
    </row>
    <row r="63" spans="1:10" ht="12.75" customHeight="1" x14ac:dyDescent="0.3">
      <c r="A63" s="348" t="s">
        <v>380</v>
      </c>
      <c r="B63" s="201"/>
      <c r="C63" s="201"/>
      <c r="D63" s="201"/>
      <c r="E63" s="201"/>
      <c r="F63" s="201"/>
      <c r="G63" s="202"/>
      <c r="H63" s="166">
        <f ca="1">SUM(H56:H61)</f>
        <v>1373.3300000000002</v>
      </c>
      <c r="I63" s="148"/>
      <c r="J63" s="130"/>
    </row>
    <row r="64" spans="1:10" ht="12.75" customHeight="1" x14ac:dyDescent="0.3">
      <c r="A64" s="348" t="s">
        <v>381</v>
      </c>
      <c r="B64" s="201"/>
      <c r="C64" s="201"/>
      <c r="D64" s="201"/>
      <c r="E64" s="201"/>
      <c r="F64" s="201"/>
      <c r="G64" s="202"/>
      <c r="H64" s="166">
        <f ca="1">H63/12</f>
        <v>114.44416666666667</v>
      </c>
      <c r="I64" s="148"/>
      <c r="J64" s="130"/>
    </row>
    <row r="65" spans="1:10" ht="31.5" customHeight="1" x14ac:dyDescent="0.3">
      <c r="A65" s="220"/>
      <c r="B65" s="201"/>
      <c r="C65" s="201"/>
      <c r="D65" s="201"/>
      <c r="E65" s="201"/>
      <c r="F65" s="201"/>
      <c r="G65" s="201"/>
      <c r="H65" s="201"/>
      <c r="I65" s="148"/>
      <c r="J65" s="130"/>
    </row>
    <row r="66" spans="1:10" ht="33.75" customHeight="1" x14ac:dyDescent="0.25">
      <c r="A66" s="132" t="s">
        <v>317</v>
      </c>
      <c r="B66" s="132" t="s">
        <v>382</v>
      </c>
      <c r="C66" s="132" t="s">
        <v>319</v>
      </c>
      <c r="D66" s="132" t="s">
        <v>321</v>
      </c>
      <c r="E66" s="132" t="s">
        <v>322</v>
      </c>
      <c r="F66" s="132" t="s">
        <v>383</v>
      </c>
      <c r="G66" s="75"/>
      <c r="H66" s="75"/>
      <c r="I66" s="134"/>
      <c r="J66" s="135"/>
    </row>
    <row r="67" spans="1:10" ht="45" customHeight="1" x14ac:dyDescent="0.25">
      <c r="A67" s="99">
        <v>1</v>
      </c>
      <c r="B67" s="136" t="s">
        <v>384</v>
      </c>
      <c r="C67" s="137" t="s">
        <v>385</v>
      </c>
      <c r="D67" s="137">
        <v>4</v>
      </c>
      <c r="E67" s="139">
        <f ca="1">IFERROR(__xludf.DUMMYFUNCTION("IMPORTRANGE(""https://docs.google.com/spreadsheets/d/1Z7EsCb9bEP28u5Pefo-KbaroHIgD-ThKAEQaO0csxP4/edit?gid=67479200#gid=67479200"", ""MAPA DE PREÇOS!I114"")"),63.45)</f>
        <v>63.45</v>
      </c>
      <c r="F67" s="140">
        <f t="shared" ref="F67:F71" ca="1" si="6">ROUND(D67*E67,2)</f>
        <v>253.8</v>
      </c>
      <c r="G67" s="167"/>
      <c r="H67" s="168"/>
      <c r="I67" s="117"/>
      <c r="J67" s="169"/>
    </row>
    <row r="68" spans="1:10" ht="12.75" customHeight="1" x14ac:dyDescent="0.25">
      <c r="A68" s="99">
        <v>2</v>
      </c>
      <c r="B68" s="136" t="s">
        <v>386</v>
      </c>
      <c r="C68" s="137" t="s">
        <v>385</v>
      </c>
      <c r="D68" s="137">
        <v>4</v>
      </c>
      <c r="E68" s="139">
        <f ca="1">IFERROR(__xludf.DUMMYFUNCTION("IMPORTRANGE(""https://docs.google.com/spreadsheets/d/1Z7EsCb9bEP28u5Pefo-KbaroHIgD-ThKAEQaO0csxP4/edit?gid=67479200#gid=67479200"", ""MAPA DE PREÇOS!I116"")"),27.71)</f>
        <v>27.71</v>
      </c>
      <c r="F68" s="140">
        <f t="shared" ca="1" si="6"/>
        <v>110.84</v>
      </c>
      <c r="G68" s="167"/>
      <c r="H68" s="168"/>
      <c r="I68" s="117"/>
      <c r="J68" s="169"/>
    </row>
    <row r="69" spans="1:10" ht="34.5" customHeight="1" x14ac:dyDescent="0.25">
      <c r="A69" s="99">
        <v>3</v>
      </c>
      <c r="B69" s="136" t="s">
        <v>387</v>
      </c>
      <c r="C69" s="137" t="s">
        <v>388</v>
      </c>
      <c r="D69" s="137">
        <v>4</v>
      </c>
      <c r="E69" s="139">
        <f ca="1">IFERROR(__xludf.DUMMYFUNCTION("IMPORTRANGE(""https://docs.google.com/spreadsheets/d/1Z7EsCb9bEP28u5Pefo-KbaroHIgD-ThKAEQaO0csxP4/edit?gid=67479200#gid=67479200"", ""MAPA DE PREÇOS!I118"")"),63.88)</f>
        <v>63.88</v>
      </c>
      <c r="F69" s="140">
        <f t="shared" ca="1" si="6"/>
        <v>255.52</v>
      </c>
      <c r="G69" s="167"/>
      <c r="H69" s="168"/>
      <c r="I69" s="117"/>
      <c r="J69" s="169"/>
    </row>
    <row r="70" spans="1:10" ht="56.25" customHeight="1" x14ac:dyDescent="0.25">
      <c r="A70" s="99">
        <v>4</v>
      </c>
      <c r="B70" s="136" t="s">
        <v>389</v>
      </c>
      <c r="C70" s="137" t="s">
        <v>385</v>
      </c>
      <c r="D70" s="137">
        <v>1</v>
      </c>
      <c r="E70" s="139">
        <f ca="1">IFERROR(__xludf.DUMMYFUNCTION("IMPORTRANGE(""https://docs.google.com/spreadsheets/d/1Z7EsCb9bEP28u5Pefo-KbaroHIgD-ThKAEQaO0csxP4/edit?gid=67479200#gid=67479200"", ""MAPA DE PREÇOS!I120"")"),63.66)</f>
        <v>63.66</v>
      </c>
      <c r="F70" s="140">
        <f t="shared" ca="1" si="6"/>
        <v>63.66</v>
      </c>
      <c r="G70" s="167"/>
      <c r="H70" s="168"/>
      <c r="I70" s="117"/>
      <c r="J70" s="169"/>
    </row>
    <row r="71" spans="1:10" ht="40.5" customHeight="1" x14ac:dyDescent="0.25">
      <c r="A71" s="99">
        <v>5</v>
      </c>
      <c r="B71" s="136" t="s">
        <v>390</v>
      </c>
      <c r="C71" s="137" t="s">
        <v>388</v>
      </c>
      <c r="D71" s="137">
        <v>1</v>
      </c>
      <c r="E71" s="139">
        <f ca="1">IFERROR(__xludf.DUMMYFUNCTION("IMPORTRANGE(""https://docs.google.com/spreadsheets/d/1Z7EsCb9bEP28u5Pefo-KbaroHIgD-ThKAEQaO0csxP4/edit?gid=67479200#gid=67479200"", ""MAPA DE PREÇOS!I122"")"),52.45)</f>
        <v>52.45</v>
      </c>
      <c r="F71" s="140">
        <f t="shared" ca="1" si="6"/>
        <v>52.45</v>
      </c>
      <c r="G71" s="167"/>
      <c r="H71" s="168"/>
      <c r="I71" s="117"/>
      <c r="J71" s="169"/>
    </row>
    <row r="72" spans="1:10" ht="12.75" customHeight="1" x14ac:dyDescent="0.25">
      <c r="A72" s="348" t="s">
        <v>391</v>
      </c>
      <c r="B72" s="201"/>
      <c r="C72" s="201"/>
      <c r="D72" s="201"/>
      <c r="E72" s="202"/>
      <c r="F72" s="170">
        <f ca="1">SUM(F67:F71)</f>
        <v>736.27</v>
      </c>
      <c r="G72" s="167"/>
      <c r="H72" s="171"/>
      <c r="I72" s="124"/>
      <c r="J72" s="131"/>
    </row>
    <row r="73" spans="1:10" ht="12.75" customHeight="1" x14ac:dyDescent="0.3">
      <c r="A73" s="349" t="s">
        <v>392</v>
      </c>
      <c r="B73" s="201"/>
      <c r="C73" s="201"/>
      <c r="D73" s="201"/>
      <c r="E73" s="202"/>
      <c r="F73" s="170">
        <f ca="1">F72/12</f>
        <v>61.355833333333329</v>
      </c>
      <c r="G73" s="172"/>
      <c r="H73" s="172"/>
      <c r="I73" s="148"/>
      <c r="J73" s="130"/>
    </row>
    <row r="74" spans="1:10" ht="12.75" customHeight="1" x14ac:dyDescent="0.3">
      <c r="A74" s="173"/>
      <c r="B74" s="174"/>
      <c r="C74" s="174"/>
      <c r="D74" s="174"/>
      <c r="E74" s="174"/>
      <c r="F74" s="175"/>
      <c r="G74" s="172"/>
      <c r="H74" s="172"/>
      <c r="I74" s="148"/>
      <c r="J74" s="130"/>
    </row>
    <row r="75" spans="1:10" ht="12.75" customHeight="1" x14ac:dyDescent="0.3">
      <c r="A75" s="176"/>
      <c r="B75" s="177"/>
      <c r="C75" s="177"/>
      <c r="D75" s="177"/>
      <c r="E75" s="177"/>
      <c r="F75" s="177"/>
      <c r="G75" s="177"/>
      <c r="H75" s="177"/>
      <c r="I75" s="148"/>
      <c r="J75" s="130"/>
    </row>
    <row r="76" spans="1:10" ht="12.75" customHeight="1" x14ac:dyDescent="0.3">
      <c r="A76" s="115"/>
      <c r="B76" s="33"/>
      <c r="C76" s="164"/>
      <c r="D76" s="164"/>
      <c r="E76" s="164"/>
      <c r="F76" s="164"/>
      <c r="G76" s="164"/>
      <c r="H76" s="164"/>
      <c r="I76" s="95"/>
      <c r="J76" s="130"/>
    </row>
    <row r="77" spans="1:10" ht="39" customHeight="1" x14ac:dyDescent="0.3">
      <c r="A77" s="115"/>
      <c r="B77" s="178" t="s">
        <v>393</v>
      </c>
      <c r="C77" s="350" t="s">
        <v>394</v>
      </c>
      <c r="D77" s="202"/>
      <c r="E77" s="350" t="s">
        <v>395</v>
      </c>
      <c r="F77" s="202"/>
      <c r="G77" s="351" t="s">
        <v>396</v>
      </c>
      <c r="H77" s="201"/>
      <c r="I77" s="202"/>
      <c r="J77" s="130"/>
    </row>
    <row r="78" spans="1:10" ht="12.75" customHeight="1" x14ac:dyDescent="0.3">
      <c r="A78" s="115"/>
      <c r="B78" s="179" t="s">
        <v>397</v>
      </c>
      <c r="C78" s="352">
        <f ca="1">G34</f>
        <v>44808.24</v>
      </c>
      <c r="D78" s="202"/>
      <c r="E78" s="352">
        <f t="shared" ref="E78:E81" ca="1" si="7">C78/12</f>
        <v>3734.02</v>
      </c>
      <c r="F78" s="202"/>
      <c r="G78" s="353">
        <f ca="1">E78/'CÁLCULO DO Nº DE SERVENTES'!L23</f>
        <v>532.32415149634573</v>
      </c>
      <c r="H78" s="201"/>
      <c r="I78" s="202"/>
      <c r="J78" s="130"/>
    </row>
    <row r="79" spans="1:10" ht="12.75" customHeight="1" x14ac:dyDescent="0.3">
      <c r="A79" s="115"/>
      <c r="B79" s="179" t="s">
        <v>398</v>
      </c>
      <c r="C79" s="352">
        <f ca="1">H52</f>
        <v>3180.56</v>
      </c>
      <c r="D79" s="202"/>
      <c r="E79" s="352">
        <f t="shared" ca="1" si="7"/>
        <v>265.04666666666668</v>
      </c>
      <c r="F79" s="202"/>
      <c r="G79" s="353">
        <f ca="1">E79/'CÁLCULO DO Nº DE SERVENTES'!L23</f>
        <v>37.785213239422426</v>
      </c>
      <c r="H79" s="201"/>
      <c r="I79" s="202"/>
      <c r="J79" s="130"/>
    </row>
    <row r="80" spans="1:10" ht="12.75" customHeight="1" x14ac:dyDescent="0.3">
      <c r="A80" s="115"/>
      <c r="B80" s="179" t="s">
        <v>399</v>
      </c>
      <c r="C80" s="352">
        <f ca="1">H63</f>
        <v>1373.3300000000002</v>
      </c>
      <c r="D80" s="202"/>
      <c r="E80" s="352">
        <f t="shared" ca="1" si="7"/>
        <v>114.44416666666667</v>
      </c>
      <c r="F80" s="202"/>
      <c r="G80" s="353">
        <f ca="1">E80/'CÁLCULO DO Nº DE SERVENTES'!L23</f>
        <v>16.315229675936315</v>
      </c>
      <c r="H80" s="201"/>
      <c r="I80" s="202"/>
      <c r="J80" s="130"/>
    </row>
    <row r="81" spans="1:10" ht="12.75" customHeight="1" x14ac:dyDescent="0.3">
      <c r="A81" s="115"/>
      <c r="B81" s="179" t="s">
        <v>400</v>
      </c>
      <c r="C81" s="352">
        <f ca="1">F72</f>
        <v>736.27</v>
      </c>
      <c r="D81" s="202"/>
      <c r="E81" s="352">
        <f t="shared" ca="1" si="7"/>
        <v>61.355833333333329</v>
      </c>
      <c r="F81" s="202"/>
      <c r="G81" s="353">
        <f ca="1">E81/'CÁLCULO DO Nº DE SERVENTES'!L23</f>
        <v>8.7469247402311368</v>
      </c>
      <c r="H81" s="201"/>
      <c r="I81" s="202"/>
      <c r="J81" s="130"/>
    </row>
    <row r="82" spans="1:10" ht="12.75" customHeight="1" x14ac:dyDescent="0.3">
      <c r="A82" s="115"/>
      <c r="B82" s="180"/>
      <c r="C82" s="181"/>
      <c r="D82" s="181"/>
      <c r="E82" s="181"/>
      <c r="F82" s="181"/>
      <c r="G82" s="182"/>
      <c r="H82" s="117"/>
      <c r="I82" s="117"/>
      <c r="J82" s="130"/>
    </row>
    <row r="83" spans="1:10" ht="33" customHeight="1" x14ac:dyDescent="0.3">
      <c r="A83" s="115"/>
      <c r="B83" s="355" t="s">
        <v>401</v>
      </c>
      <c r="C83" s="336"/>
      <c r="D83" s="336"/>
      <c r="E83" s="336"/>
      <c r="F83" s="336"/>
      <c r="G83" s="336"/>
      <c r="H83" s="334"/>
      <c r="I83" s="183">
        <f>'CÁLCULO DO Nº DE SERVENTES'!L23</f>
        <v>7.0145605633405737</v>
      </c>
      <c r="J83" s="130"/>
    </row>
    <row r="84" spans="1:10" ht="12.75" customHeight="1" x14ac:dyDescent="0.3">
      <c r="A84" s="115"/>
      <c r="B84" s="33"/>
      <c r="C84" s="164"/>
      <c r="D84" s="164"/>
      <c r="E84" s="164"/>
      <c r="F84" s="164"/>
      <c r="G84" s="164"/>
      <c r="H84" s="164"/>
      <c r="I84" s="95"/>
      <c r="J84" s="130"/>
    </row>
    <row r="85" spans="1:10" ht="12.75" customHeight="1" x14ac:dyDescent="0.3">
      <c r="A85" s="184"/>
      <c r="B85" s="185"/>
      <c r="C85" s="186"/>
      <c r="D85" s="186"/>
      <c r="E85" s="186"/>
      <c r="F85" s="186"/>
      <c r="G85" s="186"/>
      <c r="H85" s="186"/>
      <c r="I85" s="148"/>
      <c r="J85" s="130"/>
    </row>
    <row r="86" spans="1:10" ht="12.75" customHeight="1" x14ac:dyDescent="0.3">
      <c r="A86" s="184"/>
      <c r="B86" s="185"/>
      <c r="C86" s="186"/>
      <c r="D86" s="186"/>
      <c r="E86" s="186"/>
      <c r="F86" s="186"/>
      <c r="G86" s="186"/>
      <c r="H86" s="186"/>
      <c r="I86" s="148"/>
      <c r="J86" s="130"/>
    </row>
    <row r="87" spans="1:10" ht="12.75" customHeight="1" x14ac:dyDescent="0.3">
      <c r="A87" s="184"/>
      <c r="B87" s="185"/>
      <c r="C87" s="186"/>
      <c r="D87" s="186"/>
      <c r="E87" s="186"/>
      <c r="F87" s="186"/>
      <c r="G87" s="186"/>
      <c r="H87" s="186"/>
      <c r="I87" s="148"/>
      <c r="J87" s="130"/>
    </row>
    <row r="88" spans="1:10" ht="12.75" customHeight="1" x14ac:dyDescent="0.3">
      <c r="A88" s="184"/>
      <c r="B88" s="185"/>
      <c r="C88" s="186"/>
      <c r="D88" s="186"/>
      <c r="E88" s="186"/>
      <c r="F88" s="186"/>
      <c r="G88" s="186"/>
      <c r="H88" s="186"/>
      <c r="I88" s="148"/>
      <c r="J88" s="130"/>
    </row>
    <row r="89" spans="1:10" ht="33.75" customHeight="1" x14ac:dyDescent="0.25">
      <c r="A89" s="354" t="s">
        <v>402</v>
      </c>
      <c r="B89" s="354" t="s">
        <v>403</v>
      </c>
      <c r="C89" s="354" t="s">
        <v>404</v>
      </c>
      <c r="D89" s="354" t="s">
        <v>405</v>
      </c>
      <c r="E89" s="354" t="s">
        <v>406</v>
      </c>
      <c r="F89" s="356" t="s">
        <v>407</v>
      </c>
      <c r="G89" s="187" t="s">
        <v>408</v>
      </c>
      <c r="H89" s="187" t="s">
        <v>409</v>
      </c>
      <c r="I89" s="188" t="s">
        <v>410</v>
      </c>
      <c r="J89" s="189" t="s">
        <v>411</v>
      </c>
    </row>
    <row r="90" spans="1:10" ht="12.75" customHeight="1" x14ac:dyDescent="0.25">
      <c r="A90" s="331"/>
      <c r="B90" s="331"/>
      <c r="C90" s="331"/>
      <c r="D90" s="331"/>
      <c r="E90" s="331"/>
      <c r="F90" s="357"/>
      <c r="G90" s="190" t="s">
        <v>412</v>
      </c>
      <c r="H90" s="190" t="s">
        <v>413</v>
      </c>
      <c r="I90" s="191" t="s">
        <v>414</v>
      </c>
      <c r="J90" s="192"/>
    </row>
    <row r="91" spans="1:10" ht="66" customHeight="1" x14ac:dyDescent="0.25">
      <c r="A91" s="144">
        <v>1</v>
      </c>
      <c r="B91" s="193" t="s">
        <v>415</v>
      </c>
      <c r="C91" s="194" t="s">
        <v>416</v>
      </c>
      <c r="D91" s="195">
        <v>1</v>
      </c>
      <c r="E91" s="196">
        <f ca="1">IFERROR(__xludf.DUMMYFUNCTION("IMPORTRANGE(""https://docs.google.com/spreadsheets/d/1Z7EsCb9bEP28u5Pefo-KbaroHIgD-ThKAEQaO0csxP4/edit?gid=67479200#gid=67479200"", ""MAPA DE PREÇOS!I111"")"),1579.3)</f>
        <v>1579.3</v>
      </c>
      <c r="F91" s="194">
        <v>5</v>
      </c>
      <c r="G91" s="197">
        <f ca="1">E91*(90)%</f>
        <v>1421.37</v>
      </c>
      <c r="H91" s="197">
        <f ca="1">G91/F91</f>
        <v>284.274</v>
      </c>
      <c r="I91" s="198">
        <f ca="1">H91/12*D91</f>
        <v>23.689499999999999</v>
      </c>
      <c r="J91" s="199">
        <f ca="1">I91/I83</f>
        <v>3.37718945985096</v>
      </c>
    </row>
    <row r="92" spans="1:10" ht="12.75" customHeight="1" x14ac:dyDescent="0.25">
      <c r="A92" s="148"/>
      <c r="B92" s="148"/>
      <c r="C92" s="148"/>
      <c r="D92" s="148"/>
      <c r="E92" s="148"/>
      <c r="F92" s="148"/>
      <c r="G92" s="148"/>
      <c r="H92" s="148"/>
      <c r="I92" s="148"/>
    </row>
  </sheetData>
  <mergeCells count="38">
    <mergeCell ref="A89:A90"/>
    <mergeCell ref="B89:B90"/>
    <mergeCell ref="C89:C90"/>
    <mergeCell ref="F89:F90"/>
    <mergeCell ref="D89:D90"/>
    <mergeCell ref="E89:E90"/>
    <mergeCell ref="C81:D81"/>
    <mergeCell ref="E81:F81"/>
    <mergeCell ref="G81:I81"/>
    <mergeCell ref="B83:H83"/>
    <mergeCell ref="C79:D79"/>
    <mergeCell ref="E79:F79"/>
    <mergeCell ref="G79:I79"/>
    <mergeCell ref="C80:D80"/>
    <mergeCell ref="E80:F80"/>
    <mergeCell ref="G80:I80"/>
    <mergeCell ref="A73:E73"/>
    <mergeCell ref="C77:D77"/>
    <mergeCell ref="E77:F77"/>
    <mergeCell ref="G77:I77"/>
    <mergeCell ref="E78:F78"/>
    <mergeCell ref="G78:I78"/>
    <mergeCell ref="C78:D78"/>
    <mergeCell ref="A53:G53"/>
    <mergeCell ref="A63:G63"/>
    <mergeCell ref="A64:G64"/>
    <mergeCell ref="A65:H65"/>
    <mergeCell ref="A72:E72"/>
    <mergeCell ref="A6:H6"/>
    <mergeCell ref="A7:H7"/>
    <mergeCell ref="A34:F34"/>
    <mergeCell ref="A35:F35"/>
    <mergeCell ref="A52:G52"/>
    <mergeCell ref="D1:E1"/>
    <mergeCell ref="A2:H2"/>
    <mergeCell ref="A3:H3"/>
    <mergeCell ref="A4:H4"/>
    <mergeCell ref="A5:H5"/>
  </mergeCells>
  <pageMargins left="0.7" right="0.7" top="0.75" bottom="0.75" header="0" footer="0"/>
  <pageSetup fitToHeight="0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SERVENTE LIMPEZA</vt:lpstr>
      <vt:lpstr>CÁLCULO DO Nº DE SERVENTES</vt:lpstr>
      <vt:lpstr>INSUMOS IFRS</vt:lpstr>
      <vt:lpstr>'SERVENTE LIMPEZA'!Print_Area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2024-03-21T21:21:12Z</dcterms:created>
  <dcterms:modified xsi:type="dcterms:W3CDTF">2025-10-13T18:21:19Z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1D8B2DC80E244B71BE5E5DF3F9FBF2FF_13</vt:lpwstr>
  </property>
  <property fmtid="{D5CDD505-2E9C-101B-9397-08002B2CF9AE}" pid="3" name="KSOProductBuildVer">
    <vt:lpwstr>1046-12.2.0.16731</vt:lpwstr>
  </property>
</Properties>
</file>