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607" activeTab="1"/>
  </bookViews>
  <sheets>
    <sheet name="Planilha Diurna" sheetId="1" r:id="rId1"/>
    <sheet name="Planilha Noturna" sheetId="2" r:id="rId2"/>
    <sheet name="Uniformes_Pesquisa de Preço" sheetId="3" r:id="rId3"/>
    <sheet name="Equipamentos_Pesquisa de Preços" sheetId="4" r:id="rId4"/>
  </sheets>
  <definedNames>
    <definedName name="_xlnm.Print_Area" localSheetId="1">'Planilha Noturna'!$A$1:$I$196</definedName>
    <definedName name="Excel_BuiltIn_Print_Area" localSheetId="1">#REF!</definedName>
  </definedNames>
  <calcPr fullCalcOnLoad="1"/>
</workbook>
</file>

<file path=xl/sharedStrings.xml><?xml version="1.0" encoding="utf-8"?>
<sst xmlns="http://schemas.openxmlformats.org/spreadsheetml/2006/main" count="628" uniqueCount="264">
  <si>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</si>
  <si>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</si>
  <si>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</si>
  <si>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</si>
  <si>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</si>
  <si>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</si>
  <si>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</si>
  <si>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</si>
  <si>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</si>
  <si>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</si>
  <si>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</si>
  <si>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</si>
  <si>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</si>
  <si>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posto</t>
  </si>
  <si>
    <t>-</t>
  </si>
  <si>
    <t>12  x 36 horas diurnas - de segunda-feira a domingo</t>
  </si>
  <si>
    <t>12 x 36 horas noturnas - de segunda-feira a domingo</t>
  </si>
  <si>
    <t>TOTAL DE POSTOS</t>
  </si>
  <si>
    <r>
      <rPr>
        <b/>
        <sz val="15"/>
        <rFont val="Arial"/>
        <family val="2"/>
      </rP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</si>
  <si>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</si>
  <si>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</si>
  <si>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Vigilância e Segurança Armada </t>
  </si>
  <si>
    <t>Classificação Brasileira de Ocupações (CBO)</t>
  </si>
  <si>
    <t>5173-30</t>
  </si>
  <si>
    <t>Salário Normativo da Categoria Profissional</t>
  </si>
  <si>
    <t xml:space="preserve">Categoria Profissional (vinculada à execução contratual) </t>
  </si>
  <si>
    <t>vigilante</t>
  </si>
  <si>
    <t xml:space="preserve">Data-Base da Categoria (dia/mês/ano) </t>
  </si>
  <si>
    <t>Quantidade de vigilantes por posto de serviço</t>
  </si>
  <si>
    <t>Módulo 1: Composição da Remuneração (por Posto)</t>
  </si>
  <si>
    <t>Composição da Remuneração (por Posto)</t>
  </si>
  <si>
    <t>Percentual (%)</t>
  </si>
  <si>
    <t xml:space="preserve">Valor 
(R$) </t>
  </si>
  <si>
    <t>E</t>
  </si>
  <si>
    <t>F</t>
  </si>
  <si>
    <t>G</t>
  </si>
  <si>
    <t>H</t>
  </si>
  <si>
    <t>Nota1:  O Módulo 1 refere-se ao valor mensal devido ao empregado pela prestação do serviço no período de 12 meses.</t>
  </si>
  <si>
    <t>Módulo 2 : Encargos e Benefícios Anuais, Mensais e Diários</t>
  </si>
  <si>
    <t>2.1</t>
  </si>
  <si>
    <t>Valor (R$)</t>
  </si>
  <si>
    <t>Total</t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</si>
  <si>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</si>
  <si>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</si>
  <si>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</si>
  <si>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</si>
  <si>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</si>
  <si>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</si>
  <si>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</si>
  <si>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</si>
  <si>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</si>
  <si>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 xml:space="preserve">SEBRAE               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</si>
  <si>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</si>
  <si>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FGTS                                                                                                                 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</si>
  <si>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</si>
  <si>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</si>
  <si>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</si>
  <si>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</si>
  <si>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t xml:space="preserve">     A.3) Quantidade de dias do mês de recebimento de passagens</t>
  </si>
  <si>
    <t xml:space="preserve">     B.3) Participação do empregado em percentual sobre o auxílio-alimentação</t>
  </si>
  <si>
    <t>Assistência Médica e Familiar</t>
  </si>
  <si>
    <t>Outros (especificar)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</si>
  <si>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</si>
  <si>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</si>
  <si>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</si>
  <si>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</si>
  <si>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</si>
  <si>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Incidência do FGTS sobre o Aviso Prévio Indenizado</t>
  </si>
  <si>
    <t>Incidência de GPS, FGTS e outras contribuições sobre o Aviso Prévio Trabalhado</t>
  </si>
  <si>
    <t>TOTAL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</si>
  <si>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</si>
  <si>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</si>
  <si>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t>MÓD 1                 (= a Rem1)=</t>
  </si>
  <si>
    <t>MÓD 3 =</t>
  </si>
  <si>
    <t>4.1</t>
  </si>
  <si>
    <t>Substituto nas Ausências Legais</t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</si>
  <si>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</si>
  <si>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</si>
  <si>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</si>
  <si>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</si>
  <si>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</si>
  <si>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</si>
  <si>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</si>
  <si>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</si>
  <si>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</si>
  <si>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>0.00</t>
  </si>
  <si>
    <t xml:space="preserve">Total </t>
  </si>
  <si>
    <t>Nota: Valores mensais por empregado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</si>
  <si>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</si>
  <si>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</si>
  <si>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</si>
  <si>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</si>
  <si>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</si>
  <si>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</si>
  <si>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</si>
  <si>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</si>
  <si>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</si>
  <si>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</si>
  <si>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</si>
  <si>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</si>
  <si>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</si>
  <si>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</si>
  <si>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</si>
  <si>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</si>
  <si>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</si>
  <si>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</si>
  <si>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</si>
  <si>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</si>
  <si>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</si>
  <si>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</si>
  <si>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</si>
  <si>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</si>
  <si>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</si>
  <si>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 xml:space="preserve">O complemento abaixo é uma planilha auxiliar que consolida as várias planilhas com os diferentes tipos de postos 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</si>
  <si>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</si>
  <si>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</si>
  <si>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</si>
  <si>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</si>
  <si>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</si>
  <si>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 xml:space="preserve">12 horas diurnas, de segunda-feira a domingo, envolvendo 2 (dois) vigilantes em turnos de  12 (doze) por 36 (trinta e seis) horas </t>
  </si>
  <si>
    <t xml:space="preserve">12 horas noturnas, de segunda-feira a domingo, envolvendo 2 (dois) vigilantes em turnos de  12 (doze) por 36 (trinta e seis) horas </t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</si>
  <si>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</si>
  <si>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</si>
  <si>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</si>
  <si>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</si>
  <si>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</si>
  <si>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6.5.4.e do edital</t>
    </r>
    <r>
      <rPr>
        <b/>
        <sz val="10"/>
        <color indexed="8"/>
        <rFont val="Arial"/>
        <family val="2"/>
      </rPr>
      <t>)</t>
    </r>
  </si>
  <si>
    <t>Tipo de Mão de Obra</t>
  </si>
  <si>
    <t>Quantidade de Pessoal</t>
  </si>
  <si>
    <t>Vigilante</t>
  </si>
  <si>
    <t>Especificação dos Materiais/Máquinas/Equipamentos</t>
  </si>
  <si>
    <t xml:space="preserve">Quantidade 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</si>
  <si>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2. QUADRO-RESUMO DO CUSTO POR POSTO DE TRABALHO
</t>
    </r>
  </si>
  <si>
    <r>
      <rPr>
        <b/>
        <sz val="10"/>
        <rFont val="Arial"/>
        <family val="2"/>
      </rPr>
      <t xml:space="preserve">MATERIAIS, MÁQUINAS E EQUIPAMENTOS ALOCADOS NA EXECUÇÃO CONTRATUAL (item 6.2.f do Anexo VII da IN nº 5/2017  e </t>
    </r>
    <r>
      <rPr>
        <b/>
        <sz val="10"/>
        <color indexed="10"/>
        <rFont val="Arial"/>
        <family val="2"/>
      </rPr>
      <t>item 6.5.4.f do edital</t>
    </r>
    <r>
      <rPr>
        <b/>
        <sz val="10"/>
        <color indexed="8"/>
        <rFont val="Arial"/>
        <family val="2"/>
      </rPr>
      <t>)</t>
    </r>
  </si>
  <si>
    <t xml:space="preserve">Remuneração 1 = Total da Remuneração de verbas de natureza salarial nas quais incidem INSS + FGTS + Férias + 13º, etc.   </t>
  </si>
  <si>
    <t>Submódulo 4.1 – Substituto nas Ausências Legais</t>
  </si>
  <si>
    <t xml:space="preserve">Dia: </t>
  </si>
  <si>
    <t>Vacaria</t>
  </si>
  <si>
    <t>1º de abril de 2020</t>
  </si>
  <si>
    <r>
      <t xml:space="preserve">ANEXO ----  </t>
    </r>
    <r>
      <rPr>
        <b/>
        <sz val="18"/>
        <color indexed="10"/>
        <rFont val="Arial"/>
        <family val="2"/>
      </rPr>
      <t xml:space="preserve">do Pregão nº 46/2020 - </t>
    </r>
    <r>
      <rPr>
        <b/>
        <sz val="18"/>
        <color indexed="12"/>
        <rFont val="Arial"/>
        <family val="2"/>
      </rPr>
      <t xml:space="preserve">COM PERI NO FIM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</si>
  <si>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Nº do processo: 23741.000124/2020-79</t>
  </si>
  <si>
    <t>Licitação nº: 46/2020</t>
  </si>
  <si>
    <t>Valor do salárioxhora sem periculosidade - 
VSH (s/peri) = (Valor do salário normativo / 220 h)</t>
  </si>
  <si>
    <t>Valor da hora extra sem periculosidade com 50% 
HE (s/peri) = valor da hora + 50%</t>
  </si>
  <si>
    <t>Valor da hora do adicional noturno sem periculosidade
AN (s/peri) = valor da hora x 20%</t>
  </si>
  <si>
    <t xml:space="preserve">Salário-Base             (valor para 2 vigilantes = 1 posto) </t>
  </si>
  <si>
    <t>Adicional Noturno  sobre: 1) 7h de 60min p/dia + 2) 1,0 h reduzida noturna p/dia para o RS  Cálculo do valor: AN (s/peri) x 8h x15dx2vig. Das 22h às 5h</t>
  </si>
  <si>
    <r>
      <t xml:space="preserve">Adicional de Hora Noturna Reduzida (Hora Reduzida Noturna como Extra) (HRN que excedeu de 190,67h) Cálculo do valor: HE (s/peri) x 4,33 h x 2 vig.)  ---   [195h (=180h + 15h) - 190,67 = 4,33h como horas extras, sendo  15 = 15x(7hx1,1428571 – 7h) </t>
    </r>
    <r>
      <rPr>
        <b/>
        <sz val="9"/>
        <color indexed="8"/>
        <rFont val="Arial"/>
        <family val="2"/>
      </rPr>
      <t>Das 22h às 5h</t>
    </r>
  </si>
  <si>
    <t xml:space="preserve">Adicional de Periculosidade (Lei nº 12.740/2012)    (30% das rubricas pertinentes) </t>
  </si>
  <si>
    <t>Total da Remuneração de verbas de natureza indenizatória nas quais não incidem INSS, FGTS, Férias, 13º, etc.  - Empregado só recebe se estiver trabalhando.</t>
  </si>
  <si>
    <r>
      <t xml:space="preserve">Remuneração 2 = Total da Remuneração que o empregado irá receber- </t>
    </r>
    <r>
      <rPr>
        <b/>
        <sz val="11"/>
        <color indexed="8"/>
        <rFont val="Arial"/>
        <family val="2"/>
      </rPr>
      <t>Valor entra nos seguintes cálculos: Item 2, "A" - Quadro-Resumo do Custo por Posto de Trabalho, Custos Indiretos, Lucro e Tributos.</t>
    </r>
  </si>
  <si>
    <t>Submódulo 2.1 – 13º (décimo terceiro) Salário e Adicional de Férias</t>
  </si>
  <si>
    <r>
      <t xml:space="preserve">13º (décimo terceiro) Salário </t>
    </r>
    <r>
      <rPr>
        <b/>
        <sz val="11"/>
        <color indexed="8"/>
        <rFont val="Arial"/>
        <family val="2"/>
      </rPr>
      <t>e Adicional de Férias</t>
    </r>
  </si>
  <si>
    <r>
      <t>Nota 1:  Como a planilha de custos e formação de preços é calculada mensalmente, provisiona-se proporcionalmente 1/12 (um doze avos) dos valores referentes à gratificação natalina</t>
    </r>
    <r>
      <rPr>
        <sz val="9"/>
        <color indexed="8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</si>
  <si>
    <r>
      <t>Submódulo 2.1 – 13º (décimo terceiro) Salário</t>
    </r>
    <r>
      <rPr>
        <b/>
        <sz val="11"/>
        <color indexed="19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</si>
  <si>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t xml:space="preserve"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
</t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</si>
  <si>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Obrigatória a cotação de 8,33% sobre o valor do Módulo 1 – Composição da Remuneração1, conforme Anexo XII da IN 5/17</t>
    </r>
  </si>
  <si>
    <r>
      <t xml:space="preserve">Adicional de Férias </t>
    </r>
    <r>
      <rPr>
        <b/>
        <sz val="8"/>
        <color indexed="8"/>
        <rFont val="Arial"/>
        <family val="2"/>
      </rPr>
      <t>Obrigatória a cotação de 2,78% sobre o valor do Módulo 1 – Composição da Remuneração1.</t>
    </r>
  </si>
  <si>
    <r>
      <rPr>
        <b/>
        <sz val="11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Adicional de Férias </t>
    </r>
    <r>
      <rPr>
        <b/>
        <sz val="8"/>
        <color indexed="8"/>
        <rFont val="Arial"/>
        <family val="2"/>
      </rPr>
      <t>Obrigatória a cotação de 2,78% sobre o valor do Módulo 1 – Composição da Remuneração1.</t>
    </r>
  </si>
  <si>
    <t>Submódulo 2.2 - Encargos Previdenciários (GPS), Fundo de Garantia por Tempo de Serviço (FGTS) e outras contribuições  (Base de Cálculo = Módulo 1 (Rem1) + Submódulo 2.1)</t>
  </si>
  <si>
    <r>
      <t xml:space="preserve">RAT x FAP 
</t>
    </r>
    <r>
      <rPr>
        <b/>
        <sz val="8"/>
        <color indexed="8"/>
        <rFont val="Arial"/>
        <family val="2"/>
      </rPr>
      <t>Cálculo do valor: % do RAT x FAP (Fator Acidentário de Prevenção de cada empresa)</t>
    </r>
  </si>
  <si>
    <t>Transporte                                                          Cálculo do valor: [(2xVTx30) – (6%xSB)]</t>
  </si>
  <si>
    <t xml:space="preserve">     A.1)  Valor da passagem do transporte coletivo no município de
                prestação dos serviços</t>
  </si>
  <si>
    <t xml:space="preserve">     A.2) Quantidade de passagens por dia por empregado</t>
  </si>
  <si>
    <t>Auxílio-Refeição/Alimentação  Cálculo do valor = [(30xVA)x(1-0,20)]</t>
  </si>
  <si>
    <t xml:space="preserve">     B.2) Quantidade de dias do mês de recebimento de auxílio-alimentação</t>
  </si>
  <si>
    <r>
      <t>13º (décimo terceiro) Salário</t>
    </r>
    <r>
      <rPr>
        <b/>
        <sz val="10"/>
        <color indexed="3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 Adicional de Férias</t>
    </r>
  </si>
  <si>
    <r>
      <t xml:space="preserve">13º (décimo terceiro) Salário </t>
    </r>
    <r>
      <rPr>
        <b/>
        <sz val="10"/>
        <color indexed="8"/>
        <rFont val="Arial"/>
        <family val="2"/>
      </rPr>
      <t>e Adicional de Férias</t>
    </r>
  </si>
  <si>
    <r>
      <t xml:space="preserve">Aviso Prévio Indenizado     </t>
    </r>
    <r>
      <rPr>
        <b/>
        <sz val="8"/>
        <color indexed="8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</si>
  <si>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>Aviso Prévio Trabalhado       (</t>
    </r>
    <r>
      <rPr>
        <b/>
        <sz val="9"/>
        <color indexed="8"/>
        <rFont val="Arial"/>
        <family val="2"/>
      </rPr>
      <t>negociar extinção/redução na 1ª prorrogação)  Cálculo do valor= [(Rem1/30)x7]/</t>
    </r>
    <r>
      <rPr>
        <b/>
        <sz val="11"/>
        <color indexed="8"/>
        <rFont val="Arial"/>
        <family val="2"/>
      </rPr>
      <t>12</t>
    </r>
    <r>
      <rPr>
        <b/>
        <sz val="9"/>
        <color indexed="8"/>
        <rFont val="Arial"/>
        <family val="2"/>
      </rPr>
      <t xml:space="preserve"> meses do contratox100% dos empregados - ao final do contrato  </t>
    </r>
  </si>
  <si>
    <r>
      <t>Multa do FGTS e contribuição social sobre o Aviso PrévioTrabalhado e Aviso Prévio Indenizado</t>
    </r>
    <r>
      <rPr>
        <b/>
        <sz val="8"/>
        <color indexed="8"/>
        <rFont val="Arial"/>
        <family val="2"/>
      </rPr>
      <t>Obrigatória a cotação de 4% sobre o valor do Módulo 1 – Composição da Remuneração1, conforme Anexo XII da IN Seges nº 5/2017 E lei 13.932/2019</t>
    </r>
  </si>
  <si>
    <t>Base de cálculo para o Custo de Reposição do Profissional Ausente (substituto): BCCPA = MÓDULO 1 (= a Rem2) + MÓDULO 2 + MÓDULO 3  - exceto o Afastamento Maternidade, pois que a Rem e o 13º são compensados pelo INSS</t>
  </si>
  <si>
    <r>
      <t xml:space="preserve">MÓD 2 </t>
    </r>
    <r>
      <rPr>
        <b/>
        <sz val="10"/>
        <color indexed="8"/>
        <rFont val="Arial"/>
        <family val="2"/>
      </rPr>
      <t>(sem VA e os VT)</t>
    </r>
    <r>
      <rPr>
        <b/>
        <sz val="11"/>
        <color indexed="8"/>
        <rFont val="Arial"/>
        <family val="2"/>
      </rPr>
      <t xml:space="preserve"> =</t>
    </r>
  </si>
  <si>
    <t>Substituto na cobertura de Férias  Cálculo do Valor = BCCPA/12</t>
  </si>
  <si>
    <t>Substituto na cobertura de Ausências Legais Cálculo do valor = [(BCCPA/30)x1dia]/12</t>
  </si>
  <si>
    <t>Substituto na cobertura de Licença-Paternidade
Cálculo do valor = (BCCPA/30)x5dias]/12}x1,5%</t>
  </si>
  <si>
    <t>Substituto na cobertura de Ausência por acidente de trabalho
Cálculo do valor  = {[(BCCPA/30)x15dias]/12}x0,78%</t>
  </si>
  <si>
    <r>
      <t xml:space="preserve">Substituto na cobertura de Afastamento Maternidade 
</t>
    </r>
    <r>
      <rPr>
        <b/>
        <sz val="8.5"/>
        <color indexed="8"/>
        <rFont val="Arial"/>
        <family val="2"/>
      </rPr>
      <t>Cálculo do valor = {[(Rem1 + Rem1 / 3)/12 + (SUB2.2 + SUB2.3 -VA - VT + MÓD3)]  x (4/12)} x 2%</t>
    </r>
  </si>
  <si>
    <t xml:space="preserve">Substituto na cobertura de Ausência por doença
Cálculo do valor = [(BCCPA)/30)x3dias]/12 </t>
  </si>
  <si>
    <r>
      <t xml:space="preserve">  </t>
    </r>
    <r>
      <rPr>
        <b/>
        <sz val="10"/>
        <color indexed="8"/>
        <rFont val="Arial"/>
        <family val="2"/>
      </rPr>
      <t xml:space="preserve">a) Cofins </t>
    </r>
    <r>
      <rPr>
        <sz val="8.5"/>
        <color indexed="8"/>
        <rFont val="Arial"/>
        <family val="2"/>
      </rPr>
      <t>(depende do regime de tributação - utilizada a hipótese de Lucro Real ou Presumido)</t>
    </r>
  </si>
  <si>
    <r>
      <t xml:space="preserve">  </t>
    </r>
    <r>
      <rPr>
        <b/>
        <sz val="10"/>
        <color indexed="8"/>
        <rFont val="Arial"/>
        <family val="2"/>
      </rPr>
      <t xml:space="preserve">b) PIS       </t>
    </r>
    <r>
      <rPr>
        <sz val="9"/>
        <color indexed="8"/>
        <rFont val="Arial"/>
        <family val="2"/>
      </rPr>
      <t>(depende do regime de tributação - utilizada a hipótese de Lucro Real ou Presumido)</t>
    </r>
  </si>
  <si>
    <r>
      <t xml:space="preserve"> c) IRPJ -</t>
    </r>
    <r>
      <rPr>
        <b/>
        <sz val="9"/>
        <color indexed="8"/>
        <rFont val="Arial"/>
        <family val="2"/>
      </rPr>
      <t xml:space="preserve">  Em face dos Acórdãos TCU nºs 950/2007-P e 205/2018-P, o licitante não pode cotar expressamente este tributo.</t>
    </r>
  </si>
  <si>
    <r>
      <t xml:space="preserve"> d) CSLL - </t>
    </r>
    <r>
      <rPr>
        <b/>
        <sz val="9"/>
        <color indexed="8"/>
        <rFont val="Arial"/>
        <family val="2"/>
      </rPr>
      <t xml:space="preserve"> Em face dos Acórdãos TCU nºs 950/2007-P e 205/2018-P, o licitante não pode cotar expressamente este tributo.</t>
    </r>
  </si>
  <si>
    <r>
      <t xml:space="preserve">
</t>
    </r>
    <r>
      <rPr>
        <b/>
        <sz val="11"/>
        <color indexed="8"/>
        <rFont val="Arial"/>
        <family val="2"/>
      </rPr>
      <t xml:space="preserve">2. QUADRO-RESUMO DO CUSTO POR POSTO DE TRABALHO
</t>
    </r>
  </si>
  <si>
    <t xml:space="preserve">DESCRIÇÃO </t>
  </si>
  <si>
    <t>UNIDADE</t>
  </si>
  <si>
    <t>Unidade</t>
  </si>
  <si>
    <t>SAFE SYDE</t>
  </si>
  <si>
    <t>Capa de chuva</t>
  </si>
  <si>
    <t>Cassetete</t>
  </si>
  <si>
    <t>GILOPLASTIC</t>
  </si>
  <si>
    <t>Porta Cassetete</t>
  </si>
  <si>
    <t>SAFE SIDE</t>
  </si>
  <si>
    <t>Apito + Cordão</t>
  </si>
  <si>
    <t>ROCKET</t>
  </si>
  <si>
    <t>TAURUS</t>
  </si>
  <si>
    <t>Cinto com coldre e baleiro</t>
  </si>
  <si>
    <t>Cartuchos de Munição calibre 38*</t>
  </si>
  <si>
    <t>CBC SPL 38</t>
  </si>
  <si>
    <t>Lanterna Recarregável</t>
  </si>
  <si>
    <t>DP LANTERNAS</t>
  </si>
  <si>
    <t>https://www.falconarmasdefogo.com.br/revolver-taurus-rt-85s-cal-38-spl-5-tiros-cano-2-inox-fosco-31322-p47295</t>
  </si>
  <si>
    <t>https://www.lojawwart.com.br/kit-coldre-tatico-de-cintura-universal-cinto-na?sku=KW09P</t>
  </si>
  <si>
    <t>https://www.toparms.com.br/arma-fogo/municao-fogo-calibre/municao-cbc-ogival-38spl-chog</t>
  </si>
  <si>
    <t>https://safestore.com.br/produto/colete-balistico-nivel-ii-a-colete-a-prova-de-balas-curitiba/</t>
  </si>
  <si>
    <t>https://www.giloplastic.com.br/BPP13---CASSETETE-EXTRUSADO-DE-50CM~4~11~48~TONFAS-E-CASSETETES~Cassetetes</t>
  </si>
  <si>
    <t>https://www.giloplastic.com.br/Porta-Cassetete~185~11~48~TONFAS-E-CASSETETES~Cassetetes</t>
  </si>
  <si>
    <t>https://www.americanas.com.br/produto/1668661669?opn=YSMESP&amp;WT.srch=1&amp;sellerid=17110134000168&amp;epar=%7Bifpla:%7B_epar%7D%7D%7Bifdyn:%7B_epar%7D%7D%7Bifdbm:ds_at_ov_db_acom$%7BCAMPAIGN_ID%7D%7D</t>
  </si>
  <si>
    <t>https://www.americanas.com.br/produto/1440186857</t>
  </si>
  <si>
    <t>TECNOPONTO</t>
  </si>
  <si>
    <t>https://loja.tecnoponto.com/kit-vigia-bastao-blue-10-i-buttons</t>
  </si>
  <si>
    <t>https://www.usemilitar.com.br/colete-tatico-comandos?utm_source=GoogleMerchant&amp;utm_medium=Shopping</t>
  </si>
  <si>
    <t>https://www.americanas.com.br/produto/134407201</t>
  </si>
  <si>
    <t>https://lojazeusdobrasil.com.br/produtos/detalhes/bota-pvc-calfor-preta-sem-forro-cano-longo/?gclid=Cj0KCQjwreT8BRDTARIsAJLI0KKalAxXFRI45lTUKF6PHzEhtuf7KWjTdeUb9S_7Mui5rcldgQAgFaMaAhIqEALw_wcB</t>
  </si>
  <si>
    <t>https://lojazeusdobrasil.com.br/produtos/detalhes/blusao-pvc-forrado-com-capuz/?gclid=Cj0KCQjwreT8BRDTARIsAJLI0KJNIYVl50o2_LSrdTQDWrqP4oQzw0649Rla5ekLEQ7PxmQJw1O0enkaAlBMEALw_wcB</t>
  </si>
  <si>
    <t xml:space="preserve">Uniformes  São 2 conjuntos de uniformes (para os 2 vigilantes titulares  Cálculo do valor: </t>
  </si>
  <si>
    <t>Materiais / Equipamentos (por posto e não por vigilante)</t>
  </si>
  <si>
    <t>Materiais / Equipamentos (Por posto e não por vigilante)</t>
  </si>
  <si>
    <t>Uniformes  São 2 conjuntos de uniformes (para os 2 vigilantes titulares  Cálculo do valor)</t>
  </si>
  <si>
    <t xml:space="preserve">QUANTIDADE DE PESSOAL ALOCADO NA EXECUÇÃO CONTRATUAL (item 6.2.e do Anexo VII da IN nº 5/2017 </t>
  </si>
  <si>
    <r>
      <t xml:space="preserve">Valor global da proposta </t>
    </r>
    <r>
      <rPr>
        <b/>
        <sz val="10"/>
        <color indexed="8"/>
        <rFont val="Arial"/>
        <family val="2"/>
      </rPr>
      <t>(valor mensal do serviço x nº de meses do contrato)</t>
    </r>
  </si>
  <si>
    <t>MATERIAIS, MÁQUINAS E EQUIPAMENTOS ALOCADOS NA EXECUÇÃO CONTRATUAL (item 6.2.f do Anexo VII da IN nº 5/2017  e item 6.5.4.f do edital)</t>
  </si>
  <si>
    <t>CCT 2020: S DAS E E E DE SEG E VIG DA R N E N DO E DO R G DO SUL, CNPJ n. 94.728.441/0001-58, e SINDICATO PROFISSIONAL DOS VIGILANTES EMPREGADOS DE EMPRE. DE SEG. VIGILANCIA, E
DOS TRAB. EM SERV. DE SEG.VIG. ORG, CNPJ n. 92.861.384/0001-55
Nº registro M.T.E RS002497/2020</t>
  </si>
  <si>
    <t>zero, pois aqui só trata da diurna (ocultar esta linha)</t>
  </si>
  <si>
    <t xml:space="preserve">     B.1) Valor do Auxílio-Alimentação  (cláusula 26 da CCT 2020/2021)</t>
  </si>
  <si>
    <t xml:space="preserve">     A.4) Participação do empregado em percentual do salário-base (cláusula 28 da CCT 2020/2021)</t>
  </si>
  <si>
    <r>
      <t>Seguro de Vida (cláusula 30 da CCT 2020/2021)</t>
    </r>
    <r>
      <rPr>
        <b/>
        <sz val="9"/>
        <color indexed="8"/>
        <rFont val="Arial"/>
        <family val="2"/>
      </rPr>
      <t xml:space="preserve"> Cálculo do valor: 60 x Rem 1 x 0,023%</t>
    </r>
  </si>
  <si>
    <r>
      <t xml:space="preserve">Auxílio-Funeral   (cláusula 29 da CCT 2020/2021) </t>
    </r>
    <r>
      <rPr>
        <b/>
        <sz val="9"/>
        <color indexed="8"/>
        <rFont val="Arial"/>
        <family val="2"/>
      </rPr>
      <t>Cálculo do valor: (4975,00 x 0,52066%)/12</t>
    </r>
  </si>
  <si>
    <r>
      <t xml:space="preserve">VIGILÂNCIA ARMADA 12 x 36 DIURNA - </t>
    </r>
    <r>
      <rPr>
        <b/>
        <sz val="14"/>
        <color indexed="48"/>
        <rFont val="Arial"/>
        <family val="2"/>
      </rPr>
      <t xml:space="preserve">Lucro Real e Presumido </t>
    </r>
    <r>
      <rPr>
        <b/>
        <sz val="14"/>
        <color indexed="12"/>
        <rFont val="Arial"/>
        <family val="2"/>
      </rPr>
      <t xml:space="preserve">- </t>
    </r>
    <r>
      <rPr>
        <b/>
        <sz val="16"/>
        <color indexed="10"/>
        <rFont val="Arial"/>
        <family val="2"/>
      </rPr>
      <t>CONTA VINCULADA</t>
    </r>
  </si>
  <si>
    <r>
      <t xml:space="preserve">VIGILÂNCIA ARMADA 12 x 36 NOTURNA - </t>
    </r>
    <r>
      <rPr>
        <b/>
        <sz val="14"/>
        <color indexed="48"/>
        <rFont val="Arial"/>
        <family val="2"/>
      </rPr>
      <t xml:space="preserve">Lucro Real e Presumido </t>
    </r>
    <r>
      <rPr>
        <b/>
        <sz val="14"/>
        <color indexed="12"/>
        <rFont val="Arial"/>
        <family val="2"/>
      </rPr>
      <t xml:space="preserve">- </t>
    </r>
    <r>
      <rPr>
        <b/>
        <sz val="16"/>
        <color indexed="10"/>
        <rFont val="Arial"/>
        <family val="2"/>
      </rPr>
      <t>CONTA VINCULADA</t>
    </r>
  </si>
  <si>
    <t>Intervalo Intrajornada (Adicional de Intervalo)  Cálculo do valor: HE (s/peri) x 15d x2vigx0,5h) - cláusula 63 da CCT 2020/2021</t>
  </si>
  <si>
    <t xml:space="preserve">  a) ISS             (Decreto Municipal Vacaria nº 2.134/2003 - art. 96, § 1º, inc. II)</t>
  </si>
  <si>
    <t>https://loja.tecnoponto.com/controle-de-acesso-biometrico-henry-primme-acesso</t>
  </si>
  <si>
    <t>https://www.tilibraexpress.com.br/livro-atas-sem-margem-capa-dura-100-folhas?utm_camp=gshop&amp;idgrade=5396&amp;gclid=CjwKCAiA-_L9BRBQEiwA-bm5fqZm45lBc6Kt5J40LzMR2_h_0DTiIuKiA9Ah_4Bi6jcv7FUrtyOgVRoCw-AQAvD_BwE</t>
  </si>
  <si>
    <t>TILIBRA</t>
  </si>
  <si>
    <t>Relógio Ponto Eletrônico Digital</t>
  </si>
  <si>
    <t>MULTILASER</t>
  </si>
  <si>
    <t>https://www.americanas.com.br/produto/1734813764?opn=YSMESP&amp;WT.srch=1&amp;sellerid=59717553000302&amp;epar=bp_pl_00_go_mv_todas_geral_gmv&amp;acc=e789ea56094489dffd798f86ff51c7a9&amp;i=577ee9e7eec3dfb1f84c41d5&amp;o=5ecd1f95f8e95eac3de8d696&amp;gclid=CjwKCAiA-_L9BRBQEiwA-bm5fqdMRblkhtvl7AZ3Z490JRcaGrv_kKwSWuArVpRujIpuHMlTQKml7RoCmp0QAvD_BwE</t>
  </si>
  <si>
    <t>ELITE COMANDOS</t>
  </si>
  <si>
    <t>MONDIAL</t>
  </si>
  <si>
    <t>ZEUS</t>
  </si>
  <si>
    <t>PE 35/2018 UASG 158261</t>
  </si>
  <si>
    <t>PE 104/2015 UASG 158141</t>
  </si>
  <si>
    <t>PE 57/2018 UASG 158326</t>
  </si>
  <si>
    <t>Aparelho de som c/ CD player</t>
  </si>
  <si>
    <t>A - Média pesquisada no Painel de Preços (Governo Federal)</t>
  </si>
  <si>
    <t>B - Preço para modelo de referência</t>
  </si>
  <si>
    <t>Média Final (média A e B)</t>
  </si>
  <si>
    <t>Marca de Referência</t>
  </si>
  <si>
    <t>Fonte do preço  para Modelo de referência</t>
  </si>
  <si>
    <t>Quantidade Total (posto diurno + noturno)</t>
  </si>
  <si>
    <t xml:space="preserve">Cofre </t>
  </si>
  <si>
    <t>Bastao controle de rondas e software</t>
  </si>
  <si>
    <t>Bota de borracha</t>
  </si>
  <si>
    <t>Capa de colete</t>
  </si>
  <si>
    <t>Colete balístico Nível II-A</t>
  </si>
  <si>
    <t>Livro de Ocorrências</t>
  </si>
  <si>
    <t>Revólver calibre 38</t>
  </si>
  <si>
    <t>Amortização (meses)</t>
  </si>
  <si>
    <t>VALOR TOTAL</t>
  </si>
  <si>
    <t>Custo Médio Mensal</t>
  </si>
  <si>
    <t>Uniforme Unitário</t>
  </si>
  <si>
    <t>Uniforme Total por posto</t>
  </si>
  <si>
    <t>VALOR DIVIDIDO EM 2 (POR POSTO)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</si>
</sst>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_(&quot;R$ &quot;* #,##0.00_);_(&quot;R$ &quot;* \(#,##0.00\);_(&quot;R$ &quot;* \-??_);_(@_)"/>
    <numFmt numFmtId="172" formatCode="&quot;R$ &quot;#,##0.00"/>
    <numFmt numFmtId="173" formatCode="0.0000"/>
    <numFmt numFmtId="174" formatCode="0.0000%"/>
    <numFmt numFmtId="175" formatCode="&quot; R$ &quot;* #,##0.00\ ;&quot; R$ &quot;* \(#,##0.00\);&quot; R$ &quot;* \-#\ ;@\ 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5"/>
      <color indexed="2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19"/>
      <name val="Arial"/>
      <family val="2"/>
    </font>
    <font>
      <sz val="9"/>
      <color indexed="19"/>
      <name val="Arial"/>
      <family val="2"/>
    </font>
    <font>
      <b/>
      <sz val="10"/>
      <color indexed="38"/>
      <name val="Arial"/>
      <family val="2"/>
    </font>
    <font>
      <b/>
      <sz val="10"/>
      <color indexed="19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sz val="14"/>
      <color indexed="48"/>
      <name val="Arial"/>
      <family val="2"/>
    </font>
    <font>
      <b/>
      <sz val="16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trike/>
      <sz val="10"/>
      <color indexed="8"/>
      <name val="Arial"/>
      <family val="2"/>
    </font>
    <font>
      <b/>
      <sz val="9.5"/>
      <color indexed="8"/>
      <name val="Arial"/>
      <family val="2"/>
    </font>
    <font>
      <u val="single"/>
      <sz val="10"/>
      <color indexed="6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b/>
      <sz val="9.5"/>
      <color theme="1"/>
      <name val="Arial"/>
      <family val="2"/>
    </font>
    <font>
      <b/>
      <strike/>
      <sz val="10"/>
      <color theme="1"/>
      <name val="Arial"/>
      <family val="2"/>
    </font>
    <font>
      <b/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3" borderId="0" applyNumberFormat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0" fontId="0" fillId="0" borderId="0" applyFill="0" applyBorder="0" applyAlignment="0" applyProtection="0"/>
  </cellStyleXfs>
  <cellXfs count="3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5" fillId="22" borderId="10" xfId="0" applyFont="1" applyFill="1" applyBorder="1" applyAlignment="1">
      <alignment horizontal="center" vertical="center" wrapText="1"/>
    </xf>
    <xf numFmtId="10" fontId="18" fillId="0" borderId="0" xfId="63" applyNumberFormat="1" applyFont="1" applyFill="1" applyBorder="1" applyAlignment="1" applyProtection="1">
      <alignment horizontal="center" vertical="center"/>
      <protection/>
    </xf>
    <xf numFmtId="171" fontId="18" fillId="0" borderId="0" xfId="47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25" fillId="0" borderId="10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/>
    </xf>
    <xf numFmtId="4" fontId="27" fillId="22" borderId="10" xfId="0" applyNumberFormat="1" applyFont="1" applyFill="1" applyBorder="1" applyAlignment="1">
      <alignment vertical="center"/>
    </xf>
    <xf numFmtId="4" fontId="35" fillId="22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" fontId="31" fillId="22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30" fillId="22" borderId="12" xfId="0" applyFont="1" applyFill="1" applyBorder="1" applyAlignment="1">
      <alignment horizontal="center" vertical="center"/>
    </xf>
    <xf numFmtId="0" fontId="30" fillId="22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10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10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 wrapText="1"/>
    </xf>
    <xf numFmtId="9" fontId="25" fillId="0" borderId="10" xfId="0" applyNumberFormat="1" applyFont="1" applyBorder="1" applyAlignment="1">
      <alignment horizontal="left" vertical="center" wrapText="1"/>
    </xf>
    <xf numFmtId="173" fontId="25" fillId="0" borderId="10" xfId="0" applyNumberFormat="1" applyFont="1" applyBorder="1" applyAlignment="1">
      <alignment horizontal="left" vertical="center" wrapText="1"/>
    </xf>
    <xf numFmtId="174" fontId="25" fillId="0" borderId="10" xfId="0" applyNumberFormat="1" applyFont="1" applyBorder="1" applyAlignment="1">
      <alignment horizontal="right" vertical="center"/>
    </xf>
    <xf numFmtId="174" fontId="25" fillId="22" borderId="10" xfId="0" applyNumberFormat="1" applyFont="1" applyFill="1" applyBorder="1" applyAlignment="1">
      <alignment horizontal="right" vertical="center"/>
    </xf>
    <xf numFmtId="4" fontId="25" fillId="22" borderId="10" xfId="0" applyNumberFormat="1" applyFont="1" applyFill="1" applyBorder="1" applyAlignment="1">
      <alignment horizontal="right" vertical="center"/>
    </xf>
    <xf numFmtId="0" fontId="25" fillId="25" borderId="12" xfId="0" applyFont="1" applyFill="1" applyBorder="1" applyAlignment="1">
      <alignment horizontal="right" vertical="center"/>
    </xf>
    <xf numFmtId="0" fontId="0" fillId="25" borderId="13" xfId="0" applyFill="1" applyBorder="1" applyAlignment="1">
      <alignment horizontal="right" vertical="center"/>
    </xf>
    <xf numFmtId="10" fontId="25" fillId="25" borderId="13" xfId="0" applyNumberFormat="1" applyFont="1" applyFill="1" applyBorder="1" applyAlignment="1">
      <alignment horizontal="right" vertical="center"/>
    </xf>
    <xf numFmtId="4" fontId="25" fillId="25" borderId="14" xfId="0" applyNumberFormat="1" applyFont="1" applyFill="1" applyBorder="1" applyAlignment="1">
      <alignment horizontal="right" vertical="center"/>
    </xf>
    <xf numFmtId="0" fontId="27" fillId="22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 wrapText="1"/>
    </xf>
    <xf numFmtId="0" fontId="25" fillId="22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22" borderId="10" xfId="0" applyNumberFormat="1" applyFont="1" applyFill="1" applyBorder="1" applyAlignment="1">
      <alignment horizontal="right" vertical="center" wrapText="1"/>
    </xf>
    <xf numFmtId="0" fontId="27" fillId="22" borderId="10" xfId="0" applyFont="1" applyFill="1" applyBorder="1" applyAlignment="1">
      <alignment horizontal="center"/>
    </xf>
    <xf numFmtId="0" fontId="30" fillId="22" borderId="10" xfId="0" applyFont="1" applyFill="1" applyBorder="1" applyAlignment="1">
      <alignment horizontal="center" vertical="center"/>
    </xf>
    <xf numFmtId="4" fontId="30" fillId="22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4" fontId="25" fillId="22" borderId="10" xfId="0" applyNumberFormat="1" applyFont="1" applyFill="1" applyBorder="1" applyAlignment="1">
      <alignment horizontal="right" vertical="center" wrapText="1"/>
    </xf>
    <xf numFmtId="0" fontId="35" fillId="25" borderId="12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4" fontId="27" fillId="22" borderId="10" xfId="0" applyNumberFormat="1" applyFont="1" applyFill="1" applyBorder="1" applyAlignment="1">
      <alignment horizontal="center" vertical="center" wrapText="1"/>
    </xf>
    <xf numFmtId="0" fontId="18" fillId="22" borderId="0" xfId="0" applyFont="1" applyFill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70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70" fontId="18" fillId="0" borderId="0" xfId="0" applyNumberFormat="1" applyFont="1" applyAlignment="1">
      <alignment vertical="center"/>
    </xf>
    <xf numFmtId="3" fontId="25" fillId="0" borderId="10" xfId="0" applyNumberFormat="1" applyFont="1" applyBorder="1" applyAlignment="1">
      <alignment horizontal="center" vertical="center" wrapText="1"/>
    </xf>
    <xf numFmtId="3" fontId="25" fillId="22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70" fontId="26" fillId="0" borderId="0" xfId="0" applyNumberFormat="1" applyFont="1" applyBorder="1" applyAlignment="1">
      <alignment horizontal="left"/>
    </xf>
    <xf numFmtId="170" fontId="26" fillId="24" borderId="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/>
    </xf>
    <xf numFmtId="10" fontId="30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right" vertical="center" wrapText="1"/>
    </xf>
    <xf numFmtId="0" fontId="18" fillId="26" borderId="0" xfId="0" applyFont="1" applyFill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25" fillId="27" borderId="10" xfId="0" applyFont="1" applyFill="1" applyBorder="1" applyAlignment="1">
      <alignment horizontal="center" vertical="center"/>
    </xf>
    <xf numFmtId="4" fontId="25" fillId="27" borderId="10" xfId="0" applyNumberFormat="1" applyFont="1" applyFill="1" applyBorder="1" applyAlignment="1">
      <alignment horizontal="right" vertical="center"/>
    </xf>
    <xf numFmtId="4" fontId="66" fillId="0" borderId="10" xfId="0" applyNumberFormat="1" applyFont="1" applyFill="1" applyBorder="1" applyAlignment="1">
      <alignment vertical="center"/>
    </xf>
    <xf numFmtId="10" fontId="66" fillId="0" borderId="10" xfId="0" applyNumberFormat="1" applyFont="1" applyFill="1" applyBorder="1" applyAlignment="1">
      <alignment horizontal="center" vertical="center"/>
    </xf>
    <xf numFmtId="4" fontId="67" fillId="22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4" fontId="66" fillId="0" borderId="10" xfId="0" applyNumberFormat="1" applyFont="1" applyBorder="1" applyAlignment="1">
      <alignment horizontal="right" vertical="center"/>
    </xf>
    <xf numFmtId="172" fontId="66" fillId="0" borderId="10" xfId="0" applyNumberFormat="1" applyFont="1" applyBorder="1" applyAlignment="1">
      <alignment vertical="center"/>
    </xf>
    <xf numFmtId="4" fontId="66" fillId="0" borderId="10" xfId="0" applyNumberFormat="1" applyFont="1" applyBorder="1" applyAlignment="1">
      <alignment horizontal="center" vertical="center"/>
    </xf>
    <xf numFmtId="4" fontId="66" fillId="0" borderId="10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0" fontId="66" fillId="0" borderId="12" xfId="0" applyNumberFormat="1" applyFont="1" applyBorder="1" applyAlignment="1">
      <alignment vertical="center"/>
    </xf>
    <xf numFmtId="4" fontId="66" fillId="0" borderId="10" xfId="0" applyNumberFormat="1" applyFont="1" applyBorder="1" applyAlignment="1" applyProtection="1">
      <alignment horizontal="right" vertical="center"/>
      <protection locked="0"/>
    </xf>
    <xf numFmtId="4" fontId="66" fillId="27" borderId="10" xfId="0" applyNumberFormat="1" applyFont="1" applyFill="1" applyBorder="1" applyAlignment="1">
      <alignment horizontal="right" vertical="center"/>
    </xf>
    <xf numFmtId="4" fontId="66" fillId="0" borderId="10" xfId="0" applyNumberFormat="1" applyFont="1" applyBorder="1" applyAlignment="1">
      <alignment horizontal="right" vertical="center" wrapText="1"/>
    </xf>
    <xf numFmtId="0" fontId="66" fillId="27" borderId="10" xfId="0" applyFont="1" applyFill="1" applyBorder="1" applyAlignment="1">
      <alignment horizontal="center" vertical="center"/>
    </xf>
    <xf numFmtId="172" fontId="66" fillId="27" borderId="10" xfId="0" applyNumberFormat="1" applyFont="1" applyFill="1" applyBorder="1" applyAlignment="1">
      <alignment vertical="center"/>
    </xf>
    <xf numFmtId="4" fontId="66" fillId="27" borderId="10" xfId="0" applyNumberFormat="1" applyFont="1" applyFill="1" applyBorder="1" applyAlignment="1">
      <alignment horizontal="center" vertical="center"/>
    </xf>
    <xf numFmtId="4" fontId="66" fillId="27" borderId="10" xfId="0" applyNumberFormat="1" applyFont="1" applyFill="1" applyBorder="1" applyAlignment="1">
      <alignment vertical="center"/>
    </xf>
    <xf numFmtId="3" fontId="66" fillId="27" borderId="10" xfId="0" applyNumberFormat="1" applyFont="1" applyFill="1" applyBorder="1" applyAlignment="1">
      <alignment vertical="center"/>
    </xf>
    <xf numFmtId="10" fontId="66" fillId="27" borderId="12" xfId="0" applyNumberFormat="1" applyFont="1" applyFill="1" applyBorder="1" applyAlignment="1">
      <alignment vertical="center"/>
    </xf>
    <xf numFmtId="4" fontId="66" fillId="27" borderId="10" xfId="0" applyNumberFormat="1" applyFont="1" applyFill="1" applyBorder="1" applyAlignment="1" applyProtection="1">
      <alignment horizontal="right" vertical="center"/>
      <protection locked="0"/>
    </xf>
    <xf numFmtId="4" fontId="66" fillId="27" borderId="10" xfId="0" applyNumberFormat="1" applyFont="1" applyFill="1" applyBorder="1" applyAlignment="1">
      <alignment horizontal="right" vertical="center" wrapText="1"/>
    </xf>
    <xf numFmtId="0" fontId="66" fillId="22" borderId="10" xfId="0" applyFont="1" applyFill="1" applyBorder="1" applyAlignment="1">
      <alignment horizontal="center" vertical="center"/>
    </xf>
    <xf numFmtId="4" fontId="66" fillId="22" borderId="10" xfId="0" applyNumberFormat="1" applyFont="1" applyFill="1" applyBorder="1" applyAlignment="1">
      <alignment horizontal="right" vertical="center"/>
    </xf>
    <xf numFmtId="10" fontId="66" fillId="0" borderId="10" xfId="0" applyNumberFormat="1" applyFont="1" applyFill="1" applyBorder="1" applyAlignment="1">
      <alignment horizontal="right" vertical="center"/>
    </xf>
    <xf numFmtId="4" fontId="66" fillId="0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left" vertical="center" wrapText="1"/>
    </xf>
    <xf numFmtId="0" fontId="67" fillId="25" borderId="10" xfId="0" applyFont="1" applyFill="1" applyBorder="1" applyAlignment="1">
      <alignment vertical="center" wrapText="1"/>
    </xf>
    <xf numFmtId="0" fontId="67" fillId="25" borderId="10" xfId="0" applyFont="1" applyFill="1" applyBorder="1" applyAlignment="1">
      <alignment horizontal="justify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10" fontId="66" fillId="0" borderId="10" xfId="0" applyNumberFormat="1" applyFont="1" applyBorder="1" applyAlignment="1">
      <alignment horizontal="right" vertical="center"/>
    </xf>
    <xf numFmtId="10" fontId="66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 vertical="center"/>
    </xf>
    <xf numFmtId="10" fontId="66" fillId="0" borderId="10" xfId="0" applyNumberFormat="1" applyFont="1" applyBorder="1" applyAlignment="1">
      <alignment horizontal="right" vertical="center" wrapText="1"/>
    </xf>
    <xf numFmtId="4" fontId="66" fillId="0" borderId="10" xfId="0" applyNumberFormat="1" applyFont="1" applyFill="1" applyBorder="1" applyAlignment="1">
      <alignment/>
    </xf>
    <xf numFmtId="10" fontId="66" fillId="0" borderId="10" xfId="0" applyNumberFormat="1" applyFont="1" applyBorder="1" applyAlignment="1">
      <alignment horizontal="center" vertical="center" wrapText="1"/>
    </xf>
    <xf numFmtId="10" fontId="66" fillId="0" borderId="10" xfId="0" applyNumberFormat="1" applyFont="1" applyBorder="1" applyAlignment="1">
      <alignment horizontal="center" wrapText="1"/>
    </xf>
    <xf numFmtId="4" fontId="66" fillId="0" borderId="10" xfId="0" applyNumberFormat="1" applyFont="1" applyFill="1" applyBorder="1" applyAlignment="1">
      <alignment horizontal="center"/>
    </xf>
    <xf numFmtId="0" fontId="66" fillId="22" borderId="10" xfId="0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4" fontId="66" fillId="22" borderId="10" xfId="0" applyNumberFormat="1" applyFont="1" applyFill="1" applyBorder="1" applyAlignment="1">
      <alignment horizontal="right" vertical="center" wrapText="1"/>
    </xf>
    <xf numFmtId="0" fontId="67" fillId="22" borderId="10" xfId="0" applyFont="1" applyFill="1" applyBorder="1" applyAlignment="1">
      <alignment horizontal="center" vertical="center"/>
    </xf>
    <xf numFmtId="0" fontId="69" fillId="25" borderId="12" xfId="0" applyFont="1" applyFill="1" applyBorder="1" applyAlignment="1">
      <alignment horizontal="center" vertical="center"/>
    </xf>
    <xf numFmtId="0" fontId="70" fillId="25" borderId="13" xfId="0" applyFont="1" applyFill="1" applyBorder="1" applyAlignment="1">
      <alignment horizontal="center" vertical="center"/>
    </xf>
    <xf numFmtId="0" fontId="70" fillId="25" borderId="14" xfId="0" applyFont="1" applyFill="1" applyBorder="1" applyAlignment="1">
      <alignment horizontal="center" vertical="center"/>
    </xf>
    <xf numFmtId="4" fontId="67" fillId="22" borderId="10" xfId="0" applyNumberFormat="1" applyFont="1" applyFill="1" applyBorder="1" applyAlignment="1">
      <alignment horizontal="center" vertical="center" wrapText="1"/>
    </xf>
    <xf numFmtId="0" fontId="18" fillId="27" borderId="0" xfId="0" applyFont="1" applyFill="1" applyAlignment="1">
      <alignment/>
    </xf>
    <xf numFmtId="0" fontId="18" fillId="28" borderId="0" xfId="0" applyFont="1" applyFill="1" applyAlignment="1">
      <alignment/>
    </xf>
    <xf numFmtId="4" fontId="25" fillId="27" borderId="10" xfId="0" applyNumberFormat="1" applyFont="1" applyFill="1" applyBorder="1" applyAlignment="1">
      <alignment horizontal="right" vertical="center" wrapText="1"/>
    </xf>
    <xf numFmtId="3" fontId="68" fillId="22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Fill="1" applyAlignment="1">
      <alignment/>
    </xf>
    <xf numFmtId="0" fontId="71" fillId="27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0" fontId="71" fillId="27" borderId="0" xfId="0" applyFont="1" applyFill="1" applyAlignment="1">
      <alignment wrapText="1"/>
    </xf>
    <xf numFmtId="0" fontId="50" fillId="0" borderId="0" xfId="0" applyFont="1" applyAlignment="1">
      <alignment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vertical="center"/>
    </xf>
    <xf numFmtId="1" fontId="50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75" fontId="50" fillId="0" borderId="15" xfId="0" applyNumberFormat="1" applyFont="1" applyBorder="1" applyAlignment="1">
      <alignment horizontal="center" vertical="center"/>
    </xf>
    <xf numFmtId="0" fontId="74" fillId="0" borderId="15" xfId="0" applyFont="1" applyFill="1" applyBorder="1" applyAlignment="1">
      <alignment vertical="center" wrapText="1"/>
    </xf>
    <xf numFmtId="43" fontId="50" fillId="0" borderId="15" xfId="0" applyNumberFormat="1" applyFont="1" applyBorder="1" applyAlignment="1">
      <alignment/>
    </xf>
    <xf numFmtId="0" fontId="75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175" fontId="50" fillId="0" borderId="15" xfId="0" applyNumberFormat="1" applyFont="1" applyFill="1" applyBorder="1" applyAlignment="1">
      <alignment vertical="center"/>
    </xf>
    <xf numFmtId="175" fontId="76" fillId="0" borderId="15" xfId="44" applyNumberFormat="1" applyFont="1" applyFill="1" applyBorder="1" applyAlignment="1">
      <alignment vertical="center"/>
    </xf>
    <xf numFmtId="175" fontId="50" fillId="0" borderId="15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 readingOrder="1"/>
    </xf>
    <xf numFmtId="0" fontId="50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74" fillId="0" borderId="15" xfId="0" applyFont="1" applyFill="1" applyBorder="1" applyAlignment="1">
      <alignment vertical="center"/>
    </xf>
    <xf numFmtId="175" fontId="76" fillId="0" borderId="15" xfId="44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/>
    </xf>
    <xf numFmtId="0" fontId="73" fillId="0" borderId="15" xfId="0" applyFont="1" applyBorder="1" applyAlignment="1">
      <alignment vertical="center" wrapText="1"/>
    </xf>
    <xf numFmtId="0" fontId="75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vertical="center"/>
    </xf>
    <xf numFmtId="0" fontId="73" fillId="0" borderId="15" xfId="0" applyFont="1" applyFill="1" applyBorder="1" applyAlignment="1">
      <alignment vertical="center" wrapText="1"/>
    </xf>
    <xf numFmtId="0" fontId="73" fillId="29" borderId="15" xfId="0" applyFont="1" applyFill="1" applyBorder="1" applyAlignment="1">
      <alignment vertical="center"/>
    </xf>
    <xf numFmtId="0" fontId="73" fillId="0" borderId="15" xfId="0" applyFont="1" applyBorder="1" applyAlignment="1">
      <alignment horizontal="left" vertical="center" wrapText="1" readingOrder="1"/>
    </xf>
    <xf numFmtId="0" fontId="51" fillId="0" borderId="15" xfId="0" applyFont="1" applyBorder="1" applyAlignment="1">
      <alignment/>
    </xf>
    <xf numFmtId="171" fontId="51" fillId="0" borderId="15" xfId="47" applyFont="1" applyFill="1" applyBorder="1" applyAlignment="1">
      <alignment horizontal="center" vertical="center" wrapText="1"/>
    </xf>
    <xf numFmtId="171" fontId="51" fillId="0" borderId="15" xfId="47" applyFont="1" applyFill="1" applyBorder="1" applyAlignment="1">
      <alignment/>
    </xf>
    <xf numFmtId="175" fontId="51" fillId="0" borderId="15" xfId="0" applyNumberFormat="1" applyFont="1" applyBorder="1" applyAlignment="1">
      <alignment horizontal="center" vertical="center"/>
    </xf>
    <xf numFmtId="171" fontId="50" fillId="0" borderId="15" xfId="47" applyFont="1" applyFill="1" applyBorder="1" applyAlignment="1">
      <alignment vertical="center"/>
    </xf>
    <xf numFmtId="171" fontId="50" fillId="0" borderId="15" xfId="47" applyFont="1" applyFill="1" applyBorder="1" applyAlignment="1">
      <alignment horizontal="center" vertical="center"/>
    </xf>
    <xf numFmtId="171" fontId="50" fillId="0" borderId="15" xfId="47" applyFont="1" applyFill="1" applyBorder="1" applyAlignment="1">
      <alignment/>
    </xf>
    <xf numFmtId="0" fontId="50" fillId="0" borderId="15" xfId="0" applyFont="1" applyBorder="1" applyAlignment="1">
      <alignment horizontal="center"/>
    </xf>
    <xf numFmtId="171" fontId="51" fillId="0" borderId="15" xfId="47" applyFont="1" applyBorder="1" applyAlignment="1">
      <alignment/>
    </xf>
    <xf numFmtId="0" fontId="51" fillId="0" borderId="0" xfId="0" applyFont="1" applyAlignment="1">
      <alignment/>
    </xf>
    <xf numFmtId="171" fontId="50" fillId="0" borderId="15" xfId="47" applyFont="1" applyBorder="1" applyAlignment="1">
      <alignment/>
    </xf>
    <xf numFmtId="171" fontId="75" fillId="0" borderId="15" xfId="47" applyFont="1" applyBorder="1" applyAlignment="1">
      <alignment/>
    </xf>
    <xf numFmtId="0" fontId="71" fillId="0" borderId="0" xfId="0" applyFont="1" applyFill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wrapText="1"/>
    </xf>
    <xf numFmtId="0" fontId="79" fillId="0" borderId="14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25" fillId="22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170" fontId="0" fillId="22" borderId="10" xfId="63" applyFill="1" applyBorder="1" applyAlignment="1">
      <alignment horizontal="center" vertical="center" wrapText="1"/>
    </xf>
    <xf numFmtId="0" fontId="66" fillId="22" borderId="10" xfId="0" applyFont="1" applyFill="1" applyBorder="1" applyAlignment="1">
      <alignment horizontal="right" vertical="center" wrapText="1"/>
    </xf>
    <xf numFmtId="1" fontId="66" fillId="22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72" fontId="66" fillId="0" borderId="10" xfId="0" applyNumberFormat="1" applyFont="1" applyFill="1" applyBorder="1" applyAlignment="1">
      <alignment horizontal="right" vertical="center" wrapText="1"/>
    </xf>
    <xf numFmtId="172" fontId="66" fillId="0" borderId="10" xfId="0" applyNumberFormat="1" applyFont="1" applyFill="1" applyBorder="1" applyAlignment="1" applyProtection="1">
      <alignment horizontal="right" vertical="center"/>
      <protection locked="0"/>
    </xf>
    <xf numFmtId="14" fontId="67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center"/>
    </xf>
    <xf numFmtId="4" fontId="66" fillId="0" borderId="10" xfId="0" applyNumberFormat="1" applyFont="1" applyFill="1" applyBorder="1" applyAlignment="1">
      <alignment horizontal="right" vertical="center" wrapText="1"/>
    </xf>
    <xf numFmtId="14" fontId="80" fillId="0" borderId="10" xfId="0" applyNumberFormat="1" applyFont="1" applyFill="1" applyBorder="1" applyAlignment="1">
      <alignment horizontal="right" vertical="center" wrapText="1"/>
    </xf>
    <xf numFmtId="4" fontId="66" fillId="0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justify" vertical="center" wrapText="1"/>
    </xf>
    <xf numFmtId="0" fontId="67" fillId="22" borderId="10" xfId="0" applyFont="1" applyFill="1" applyBorder="1" applyAlignment="1">
      <alignment horizontal="justify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69" fillId="22" borderId="10" xfId="0" applyFont="1" applyFill="1" applyBorder="1" applyAlignment="1">
      <alignment horizontal="justify" vertical="center" wrapText="1"/>
    </xf>
    <xf numFmtId="0" fontId="25" fillId="25" borderId="10" xfId="0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31" fillId="25" borderId="10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/>
    </xf>
    <xf numFmtId="0" fontId="30" fillId="22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justify" vertical="center" wrapText="1"/>
    </xf>
    <xf numFmtId="10" fontId="66" fillId="0" borderId="10" xfId="0" applyNumberFormat="1" applyFont="1" applyFill="1" applyBorder="1" applyAlignment="1">
      <alignment horizontal="justify" vertical="center" wrapText="1"/>
    </xf>
    <xf numFmtId="10" fontId="81" fillId="0" borderId="10" xfId="0" applyNumberFormat="1" applyFont="1" applyFill="1" applyBorder="1" applyAlignment="1">
      <alignment horizontal="justify" vertical="center" wrapText="1"/>
    </xf>
    <xf numFmtId="0" fontId="31" fillId="22" borderId="10" xfId="0" applyFont="1" applyFill="1" applyBorder="1" applyAlignment="1">
      <alignment horizontal="right" vertical="center"/>
    </xf>
    <xf numFmtId="0" fontId="43" fillId="25" borderId="10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justify"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justify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66" fillId="27" borderId="12" xfId="0" applyFont="1" applyFill="1" applyBorder="1" applyAlignment="1">
      <alignment horizontal="left" vertical="center" wrapText="1"/>
    </xf>
    <xf numFmtId="0" fontId="66" fillId="27" borderId="10" xfId="0" applyFont="1" applyFill="1" applyBorder="1" applyAlignment="1">
      <alignment horizontal="left" vertical="center" wrapText="1"/>
    </xf>
    <xf numFmtId="0" fontId="66" fillId="27" borderId="12" xfId="0" applyFont="1" applyFill="1" applyBorder="1" applyAlignment="1">
      <alignment horizontal="left" vertical="center"/>
    </xf>
    <xf numFmtId="0" fontId="25" fillId="22" borderId="12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right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0" fontId="27" fillId="22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 wrapText="1"/>
    </xf>
    <xf numFmtId="0" fontId="67" fillId="25" borderId="10" xfId="0" applyFont="1" applyFill="1" applyBorder="1" applyAlignment="1">
      <alignment horizontal="justify" vertical="center" wrapText="1"/>
    </xf>
    <xf numFmtId="0" fontId="38" fillId="25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right" vertical="center"/>
    </xf>
    <xf numFmtId="0" fontId="30" fillId="22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right" vertical="center"/>
    </xf>
    <xf numFmtId="0" fontId="40" fillId="25" borderId="10" xfId="0" applyFont="1" applyFill="1" applyBorder="1" applyAlignment="1">
      <alignment horizontal="right" vertical="center"/>
    </xf>
    <xf numFmtId="0" fontId="31" fillId="22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7" fillId="22" borderId="10" xfId="0" applyFont="1" applyFill="1" applyBorder="1" applyAlignment="1">
      <alignment horizontal="center" vertical="center" wrapText="1"/>
    </xf>
    <xf numFmtId="0" fontId="66" fillId="22" borderId="10" xfId="0" applyFont="1" applyFill="1" applyBorder="1" applyAlignment="1">
      <alignment horizontal="right" vertical="center"/>
    </xf>
    <xf numFmtId="0" fontId="69" fillId="25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67" fillId="22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25" borderId="10" xfId="0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left" vertical="center"/>
    </xf>
    <xf numFmtId="0" fontId="42" fillId="25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justify" vertical="center" wrapText="1"/>
    </xf>
    <xf numFmtId="0" fontId="34" fillId="0" borderId="10" xfId="0" applyFont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9" fontId="25" fillId="22" borderId="12" xfId="0" applyNumberFormat="1" applyFont="1" applyFill="1" applyBorder="1" applyAlignment="1">
      <alignment horizontal="right" vertical="center" wrapText="1"/>
    </xf>
    <xf numFmtId="0" fontId="68" fillId="22" borderId="10" xfId="0" applyFont="1" applyFill="1" applyBorder="1" applyAlignment="1">
      <alignment horizontal="right" vertical="center"/>
    </xf>
    <xf numFmtId="4" fontId="68" fillId="22" borderId="10" xfId="0" applyNumberFormat="1" applyFont="1" applyFill="1" applyBorder="1" applyAlignment="1">
      <alignment horizontal="center" vertical="center"/>
    </xf>
    <xf numFmtId="0" fontId="66" fillId="25" borderId="18" xfId="0" applyFont="1" applyFill="1" applyBorder="1" applyAlignment="1">
      <alignment horizontal="right" vertical="center"/>
    </xf>
    <xf numFmtId="0" fontId="25" fillId="0" borderId="10" xfId="0" applyFont="1" applyBorder="1" applyAlignment="1">
      <alignment horizontal="justify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justify" vertical="center" wrapText="1"/>
    </xf>
    <xf numFmtId="4" fontId="25" fillId="22" borderId="14" xfId="0" applyNumberFormat="1" applyFont="1" applyFill="1" applyBorder="1" applyAlignment="1">
      <alignment horizontal="center" vertical="center" wrapText="1"/>
    </xf>
    <xf numFmtId="4" fontId="25" fillId="22" borderId="10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justify" vertical="center" wrapText="1"/>
    </xf>
    <xf numFmtId="0" fontId="66" fillId="25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 horizontal="left" vertical="center" wrapText="1"/>
    </xf>
    <xf numFmtId="172" fontId="69" fillId="0" borderId="10" xfId="0" applyNumberFormat="1" applyFont="1" applyFill="1" applyBorder="1" applyAlignment="1">
      <alignment horizontal="center" vertical="center" wrapText="1"/>
    </xf>
    <xf numFmtId="0" fontId="69" fillId="25" borderId="19" xfId="0" applyFont="1" applyFill="1" applyBorder="1" applyAlignment="1">
      <alignment horizontal="center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69" fillId="25" borderId="13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172" fontId="69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top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justify" wrapText="1"/>
    </xf>
    <xf numFmtId="0" fontId="25" fillId="25" borderId="10" xfId="0" applyFont="1" applyFill="1" applyBorder="1" applyAlignment="1">
      <alignment horizontal="center"/>
    </xf>
    <xf numFmtId="0" fontId="66" fillId="0" borderId="12" xfId="0" applyFont="1" applyBorder="1" applyAlignment="1">
      <alignment horizontal="justify" vertical="top"/>
    </xf>
    <xf numFmtId="0" fontId="25" fillId="0" borderId="12" xfId="0" applyFont="1" applyBorder="1" applyAlignment="1">
      <alignment horizontal="justify" vertical="top"/>
    </xf>
    <xf numFmtId="0" fontId="25" fillId="0" borderId="10" xfId="0" applyFont="1" applyBorder="1" applyAlignment="1">
      <alignment horizontal="center"/>
    </xf>
    <xf numFmtId="0" fontId="35" fillId="25" borderId="13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 wrapText="1"/>
    </xf>
    <xf numFmtId="49" fontId="66" fillId="22" borderId="12" xfId="0" applyNumberFormat="1" applyFont="1" applyFill="1" applyBorder="1" applyAlignment="1">
      <alignment horizontal="right" vertical="center" wrapText="1"/>
    </xf>
    <xf numFmtId="0" fontId="66" fillId="0" borderId="13" xfId="0" applyFont="1" applyBorder="1" applyAlignment="1">
      <alignment horizontal="left" vertical="center" wrapText="1"/>
    </xf>
    <xf numFmtId="0" fontId="70" fillId="25" borderId="12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7" fillId="22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35" fillId="25" borderId="10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6" fillId="22" borderId="12" xfId="0" applyFont="1" applyFill="1" applyBorder="1" applyAlignment="1">
      <alignment horizontal="right" vertical="center"/>
    </xf>
    <xf numFmtId="0" fontId="66" fillId="0" borderId="12" xfId="0" applyFont="1" applyBorder="1" applyAlignment="1">
      <alignment horizontal="left" vertical="center" wrapText="1"/>
    </xf>
    <xf numFmtId="0" fontId="27" fillId="22" borderId="10" xfId="0" applyFont="1" applyFill="1" applyBorder="1" applyAlignment="1">
      <alignment horizontal="justify" vertical="center" wrapText="1"/>
    </xf>
    <xf numFmtId="1" fontId="25" fillId="22" borderId="10" xfId="0" applyNumberFormat="1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300DC"/>
      <rgbColor rgb="00009900"/>
      <rgbColor rgb="00800080"/>
      <rgbColor rgb="00006B6B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ericanas.com.br/produto/1440186857" TargetMode="External" /><Relationship Id="rId2" Type="http://schemas.openxmlformats.org/officeDocument/2006/relationships/hyperlink" Target="https://www.americanas.com.br/produto/134407201" TargetMode="External" /><Relationship Id="rId3" Type="http://schemas.openxmlformats.org/officeDocument/2006/relationships/hyperlink" Target="https://www.usemilitar.com.br/colete-tatico-comandos?utm_source=GoogleMerchant&amp;utm_medium=Shopping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21">
      <selection activeCell="I127" sqref="I127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1.28125" style="1" customWidth="1"/>
    <col min="9" max="9" width="14.57421875" style="2" customWidth="1"/>
    <col min="10" max="10" width="45.00390625" style="128" customWidth="1"/>
    <col min="11" max="11" width="11.140625" style="1" customWidth="1"/>
    <col min="12" max="12" width="9.8515625" style="1" bestFit="1" customWidth="1"/>
    <col min="13" max="13" width="6.57421875" style="1" customWidth="1"/>
    <col min="14" max="15" width="9.28125" style="1" customWidth="1"/>
    <col min="16" max="16384" width="9.140625" style="1" customWidth="1"/>
  </cols>
  <sheetData>
    <row r="1" spans="1:9" ht="32.25" customHeight="1">
      <c r="A1" s="177" t="s">
        <v>228</v>
      </c>
      <c r="B1" s="177"/>
      <c r="C1" s="177"/>
      <c r="D1" s="177"/>
      <c r="E1" s="177"/>
      <c r="F1" s="177"/>
      <c r="G1" s="177"/>
      <c r="H1" s="177"/>
      <c r="I1" s="177"/>
    </row>
    <row r="2" spans="1:9" ht="72" customHeight="1">
      <c r="A2" s="178" t="s">
        <v>139</v>
      </c>
      <c r="B2" s="178"/>
      <c r="C2" s="178"/>
      <c r="D2" s="178"/>
      <c r="E2" s="178"/>
      <c r="F2" s="178"/>
      <c r="G2" s="178"/>
      <c r="H2" s="178"/>
      <c r="I2" s="178"/>
    </row>
    <row r="3" spans="1:9" ht="15.75" customHeight="1">
      <c r="A3" s="179" t="s">
        <v>140</v>
      </c>
      <c r="B3" s="180"/>
      <c r="C3" s="180"/>
      <c r="D3" s="180"/>
      <c r="E3" s="180"/>
      <c r="F3" s="180"/>
      <c r="G3" s="180"/>
      <c r="H3" s="180"/>
      <c r="I3" s="181"/>
    </row>
    <row r="4" spans="1:9" ht="15.75" customHeight="1">
      <c r="A4" s="179" t="s">
        <v>141</v>
      </c>
      <c r="B4" s="180"/>
      <c r="C4" s="180"/>
      <c r="D4" s="180"/>
      <c r="E4" s="180"/>
      <c r="F4" s="180"/>
      <c r="G4" s="180"/>
      <c r="H4" s="180"/>
      <c r="I4" s="181"/>
    </row>
    <row r="5" spans="1:9" ht="14.25" customHeight="1">
      <c r="A5" s="179" t="s">
        <v>136</v>
      </c>
      <c r="B5" s="180"/>
      <c r="C5" s="180"/>
      <c r="D5" s="180"/>
      <c r="E5" s="180"/>
      <c r="F5" s="180"/>
      <c r="G5" s="180"/>
      <c r="H5" s="180"/>
      <c r="I5" s="181"/>
    </row>
    <row r="6" spans="1:9" ht="20.25" customHeight="1">
      <c r="A6" s="182" t="s">
        <v>0</v>
      </c>
      <c r="B6" s="182"/>
      <c r="C6" s="182"/>
      <c r="D6" s="182"/>
      <c r="E6" s="182"/>
      <c r="F6" s="182"/>
      <c r="G6" s="182"/>
      <c r="H6" s="182"/>
      <c r="I6" s="182"/>
    </row>
    <row r="7" spans="1:9" ht="15.75" customHeight="1">
      <c r="A7" s="3" t="s">
        <v>1</v>
      </c>
      <c r="B7" s="183" t="s">
        <v>2</v>
      </c>
      <c r="C7" s="183"/>
      <c r="D7" s="183"/>
      <c r="E7" s="183"/>
      <c r="F7" s="183"/>
      <c r="G7" s="183"/>
      <c r="H7" s="184"/>
      <c r="I7" s="184"/>
    </row>
    <row r="8" spans="1:9" ht="15.75" customHeight="1">
      <c r="A8" s="3" t="s">
        <v>3</v>
      </c>
      <c r="B8" s="183" t="s">
        <v>4</v>
      </c>
      <c r="C8" s="183"/>
      <c r="D8" s="183"/>
      <c r="E8" s="183"/>
      <c r="F8" s="183"/>
      <c r="G8" s="183"/>
      <c r="H8" s="185" t="s">
        <v>137</v>
      </c>
      <c r="I8" s="185"/>
    </row>
    <row r="9" spans="1:9" ht="170.25" customHeight="1">
      <c r="A9" s="3" t="s">
        <v>5</v>
      </c>
      <c r="B9" s="183" t="s">
        <v>6</v>
      </c>
      <c r="C9" s="183"/>
      <c r="D9" s="183"/>
      <c r="E9" s="183"/>
      <c r="F9" s="183"/>
      <c r="G9" s="183"/>
      <c r="H9" s="186" t="s">
        <v>222</v>
      </c>
      <c r="I9" s="187"/>
    </row>
    <row r="10" spans="1:11" ht="15.75" customHeight="1">
      <c r="A10" s="3" t="s">
        <v>7</v>
      </c>
      <c r="B10" s="183" t="s">
        <v>8</v>
      </c>
      <c r="C10" s="183"/>
      <c r="D10" s="183"/>
      <c r="E10" s="183"/>
      <c r="F10" s="183"/>
      <c r="G10" s="183"/>
      <c r="H10" s="185">
        <v>12</v>
      </c>
      <c r="I10" s="185"/>
      <c r="K10" s="4"/>
    </row>
    <row r="11" spans="1:9" ht="21" customHeight="1">
      <c r="A11" s="188" t="s">
        <v>9</v>
      </c>
      <c r="B11" s="188"/>
      <c r="C11" s="188"/>
      <c r="D11" s="188"/>
      <c r="E11" s="188"/>
      <c r="F11" s="188"/>
      <c r="G11" s="188"/>
      <c r="H11" s="188"/>
      <c r="I11" s="188"/>
    </row>
    <row r="12" spans="1:9" ht="50.25" customHeight="1">
      <c r="A12" s="189" t="s">
        <v>10</v>
      </c>
      <c r="B12" s="189"/>
      <c r="C12" s="189"/>
      <c r="D12" s="189"/>
      <c r="E12" s="189"/>
      <c r="F12" s="190" t="s">
        <v>11</v>
      </c>
      <c r="G12" s="190"/>
      <c r="H12" s="191" t="s">
        <v>12</v>
      </c>
      <c r="I12" s="191"/>
    </row>
    <row r="13" spans="1:9" ht="12.75" customHeight="1">
      <c r="A13" s="183" t="s">
        <v>15</v>
      </c>
      <c r="B13" s="183"/>
      <c r="C13" s="183"/>
      <c r="D13" s="183"/>
      <c r="E13" s="183"/>
      <c r="F13" s="192" t="s">
        <v>13</v>
      </c>
      <c r="G13" s="192"/>
      <c r="H13" s="193">
        <v>1</v>
      </c>
      <c r="I13" s="193"/>
    </row>
    <row r="14" spans="1:10" ht="12.75" customHeight="1">
      <c r="A14" s="194" t="s">
        <v>16</v>
      </c>
      <c r="B14" s="194"/>
      <c r="C14" s="194"/>
      <c r="D14" s="194"/>
      <c r="E14" s="194"/>
      <c r="F14" s="190" t="s">
        <v>13</v>
      </c>
      <c r="G14" s="190"/>
      <c r="H14" s="195">
        <v>0</v>
      </c>
      <c r="I14" s="195"/>
      <c r="J14" s="128" t="s">
        <v>223</v>
      </c>
    </row>
    <row r="15" spans="1:9" ht="12.75" customHeight="1">
      <c r="A15" s="196" t="s">
        <v>17</v>
      </c>
      <c r="B15" s="196"/>
      <c r="C15" s="196"/>
      <c r="D15" s="196"/>
      <c r="E15" s="196"/>
      <c r="F15" s="196"/>
      <c r="G15" s="196"/>
      <c r="H15" s="197">
        <f>SUM(H13:H14)</f>
        <v>1</v>
      </c>
      <c r="I15" s="197"/>
    </row>
    <row r="16" spans="1:12" ht="51.75" customHeight="1">
      <c r="A16" s="198" t="s">
        <v>18</v>
      </c>
      <c r="B16" s="198"/>
      <c r="C16" s="198"/>
      <c r="D16" s="198"/>
      <c r="E16" s="198"/>
      <c r="F16" s="198"/>
      <c r="G16" s="198"/>
      <c r="H16" s="198"/>
      <c r="I16" s="198"/>
      <c r="J16" s="129"/>
      <c r="K16" s="6"/>
      <c r="L16" s="7"/>
    </row>
    <row r="17" spans="1:256" s="8" customFormat="1" ht="21.75" customHeight="1">
      <c r="A17" s="182" t="s">
        <v>19</v>
      </c>
      <c r="B17" s="182"/>
      <c r="C17" s="182"/>
      <c r="D17" s="182"/>
      <c r="E17" s="182"/>
      <c r="F17" s="182"/>
      <c r="G17" s="182"/>
      <c r="H17" s="182"/>
      <c r="I17" s="182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  <c r="IV17" s="199"/>
    </row>
    <row r="18" spans="1:9" ht="27" customHeight="1">
      <c r="A18" s="3">
        <v>1</v>
      </c>
      <c r="B18" s="183" t="s">
        <v>20</v>
      </c>
      <c r="C18" s="183"/>
      <c r="D18" s="183"/>
      <c r="E18" s="183"/>
      <c r="F18" s="183"/>
      <c r="G18" s="183"/>
      <c r="H18" s="200" t="s">
        <v>21</v>
      </c>
      <c r="I18" s="200"/>
    </row>
    <row r="19" spans="1:9" ht="19.5" customHeight="1">
      <c r="A19" s="72">
        <v>2</v>
      </c>
      <c r="B19" s="201" t="s">
        <v>22</v>
      </c>
      <c r="C19" s="201"/>
      <c r="D19" s="201"/>
      <c r="E19" s="201"/>
      <c r="F19" s="201"/>
      <c r="G19" s="201"/>
      <c r="H19" s="202" t="s">
        <v>23</v>
      </c>
      <c r="I19" s="202"/>
    </row>
    <row r="20" spans="1:9" ht="15.75" customHeight="1">
      <c r="A20" s="72">
        <v>3</v>
      </c>
      <c r="B20" s="201" t="s">
        <v>24</v>
      </c>
      <c r="C20" s="201"/>
      <c r="D20" s="201"/>
      <c r="E20" s="201"/>
      <c r="F20" s="201"/>
      <c r="G20" s="201"/>
      <c r="H20" s="203">
        <v>1500.4</v>
      </c>
      <c r="I20" s="203"/>
    </row>
    <row r="21" spans="1:9" ht="15.75" customHeight="1">
      <c r="A21" s="72">
        <v>4</v>
      </c>
      <c r="B21" s="201" t="s">
        <v>25</v>
      </c>
      <c r="C21" s="201"/>
      <c r="D21" s="201"/>
      <c r="E21" s="201"/>
      <c r="F21" s="201"/>
      <c r="G21" s="201"/>
      <c r="H21" s="204" t="s">
        <v>26</v>
      </c>
      <c r="I21" s="204"/>
    </row>
    <row r="22" spans="1:9" ht="15.75" customHeight="1">
      <c r="A22" s="72">
        <v>5</v>
      </c>
      <c r="B22" s="201" t="s">
        <v>27</v>
      </c>
      <c r="C22" s="201"/>
      <c r="D22" s="201"/>
      <c r="E22" s="201"/>
      <c r="F22" s="201"/>
      <c r="G22" s="201"/>
      <c r="H22" s="207" t="s">
        <v>138</v>
      </c>
      <c r="I22" s="207"/>
    </row>
    <row r="23" spans="1:256" ht="27" customHeight="1">
      <c r="A23" s="73">
        <v>6</v>
      </c>
      <c r="B23" s="201" t="s">
        <v>142</v>
      </c>
      <c r="C23" s="201"/>
      <c r="D23" s="201"/>
      <c r="E23" s="201"/>
      <c r="F23" s="201"/>
      <c r="G23" s="201"/>
      <c r="H23" s="206">
        <f>ROUND((H20/220),2)</f>
        <v>6.82</v>
      </c>
      <c r="I23" s="206"/>
      <c r="J23" s="13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 s="73">
        <v>7</v>
      </c>
      <c r="B24" s="201" t="s">
        <v>143</v>
      </c>
      <c r="C24" s="201"/>
      <c r="D24" s="201"/>
      <c r="E24" s="201"/>
      <c r="F24" s="201"/>
      <c r="G24" s="201"/>
      <c r="H24" s="208">
        <f>ROUND(H23*1.5,2)</f>
        <v>10.23</v>
      </c>
      <c r="I24" s="208"/>
      <c r="J24" s="13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73">
        <v>8</v>
      </c>
      <c r="B25" s="205" t="s">
        <v>28</v>
      </c>
      <c r="C25" s="205"/>
      <c r="D25" s="205"/>
      <c r="E25" s="205"/>
      <c r="F25" s="205"/>
      <c r="G25" s="205"/>
      <c r="H25" s="206">
        <v>2</v>
      </c>
      <c r="I25" s="206"/>
      <c r="J25" s="13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ht="20.25" customHeight="1">
      <c r="A26" s="212" t="s">
        <v>29</v>
      </c>
      <c r="B26" s="212"/>
      <c r="C26" s="212"/>
      <c r="D26" s="212"/>
      <c r="E26" s="212"/>
      <c r="F26" s="212"/>
      <c r="G26" s="212"/>
      <c r="H26" s="212"/>
      <c r="I26" s="212"/>
    </row>
    <row r="27" spans="1:10" s="14" customFormat="1" ht="30" customHeight="1">
      <c r="A27" s="11">
        <v>1</v>
      </c>
      <c r="B27" s="213" t="s">
        <v>30</v>
      </c>
      <c r="C27" s="213"/>
      <c r="D27" s="213"/>
      <c r="E27" s="213"/>
      <c r="F27" s="213"/>
      <c r="G27" s="213"/>
      <c r="H27" s="13" t="s">
        <v>31</v>
      </c>
      <c r="I27" s="11" t="s">
        <v>32</v>
      </c>
      <c r="J27" s="131"/>
    </row>
    <row r="28" spans="1:9" ht="19.5" customHeight="1">
      <c r="A28" s="72" t="s">
        <v>1</v>
      </c>
      <c r="B28" s="201" t="s">
        <v>145</v>
      </c>
      <c r="C28" s="201"/>
      <c r="D28" s="201"/>
      <c r="E28" s="201"/>
      <c r="F28" s="201"/>
      <c r="G28" s="201"/>
      <c r="H28" s="201"/>
      <c r="I28" s="76">
        <f>H20*2</f>
        <v>3000.8</v>
      </c>
    </row>
    <row r="29" spans="1:9" ht="28.5" customHeight="1">
      <c r="A29" s="72" t="s">
        <v>3</v>
      </c>
      <c r="B29" s="209" t="s">
        <v>148</v>
      </c>
      <c r="C29" s="209"/>
      <c r="D29" s="209"/>
      <c r="E29" s="209"/>
      <c r="F29" s="209"/>
      <c r="G29" s="209"/>
      <c r="H29" s="77">
        <v>0.3</v>
      </c>
      <c r="I29" s="76">
        <f>ROUND(H29*SUM(I28:I28),2)</f>
        <v>900.24</v>
      </c>
    </row>
    <row r="30" spans="1:9" ht="35.25" customHeight="1">
      <c r="A30" s="210" t="s">
        <v>134</v>
      </c>
      <c r="B30" s="210"/>
      <c r="C30" s="210"/>
      <c r="D30" s="210"/>
      <c r="E30" s="210"/>
      <c r="F30" s="210"/>
      <c r="G30" s="210"/>
      <c r="H30" s="210"/>
      <c r="I30" s="78">
        <f>SUM(I28:I29)</f>
        <v>3901.04</v>
      </c>
    </row>
    <row r="31" spans="1:12" ht="29.25" customHeight="1">
      <c r="A31" s="72" t="s">
        <v>5</v>
      </c>
      <c r="B31" s="201" t="s">
        <v>230</v>
      </c>
      <c r="C31" s="201"/>
      <c r="D31" s="201"/>
      <c r="E31" s="201"/>
      <c r="F31" s="201"/>
      <c r="G31" s="201"/>
      <c r="H31" s="201"/>
      <c r="I31" s="15">
        <f>ROUND(H24*15*H25*0.5,2)</f>
        <v>153.45</v>
      </c>
      <c r="J31" s="130"/>
      <c r="L31" s="16"/>
    </row>
    <row r="32" spans="1:9" ht="32.25" customHeight="1">
      <c r="A32" s="210" t="s">
        <v>149</v>
      </c>
      <c r="B32" s="210"/>
      <c r="C32" s="210"/>
      <c r="D32" s="210"/>
      <c r="E32" s="210"/>
      <c r="F32" s="210"/>
      <c r="G32" s="210"/>
      <c r="H32" s="210"/>
      <c r="I32" s="17">
        <f>I31</f>
        <v>153.45</v>
      </c>
    </row>
    <row r="33" spans="1:9" ht="15.75" customHeight="1">
      <c r="A33" s="211"/>
      <c r="B33" s="211"/>
      <c r="C33" s="211"/>
      <c r="D33" s="211"/>
      <c r="E33" s="211"/>
      <c r="F33" s="211"/>
      <c r="G33" s="211"/>
      <c r="H33" s="211"/>
      <c r="I33" s="211"/>
    </row>
    <row r="34" spans="1:9" ht="58.5" customHeight="1">
      <c r="A34" s="214" t="s">
        <v>150</v>
      </c>
      <c r="B34" s="214"/>
      <c r="C34" s="214"/>
      <c r="D34" s="214"/>
      <c r="E34" s="214"/>
      <c r="F34" s="214"/>
      <c r="G34" s="214"/>
      <c r="H34" s="214"/>
      <c r="I34" s="18">
        <f>I30+I32</f>
        <v>4054.49</v>
      </c>
    </row>
    <row r="35" spans="1:9" ht="9" customHeight="1">
      <c r="A35" s="215"/>
      <c r="B35" s="215"/>
      <c r="C35" s="215"/>
      <c r="D35" s="215"/>
      <c r="E35" s="215"/>
      <c r="F35" s="215"/>
      <c r="G35" s="215"/>
      <c r="H35" s="215"/>
      <c r="I35" s="215"/>
    </row>
    <row r="36" spans="1:9" ht="26.25" customHeight="1">
      <c r="A36" s="216" t="s">
        <v>37</v>
      </c>
      <c r="B36" s="216"/>
      <c r="C36" s="216"/>
      <c r="D36" s="216"/>
      <c r="E36" s="216"/>
      <c r="F36" s="216"/>
      <c r="G36" s="216"/>
      <c r="H36" s="216"/>
      <c r="I36" s="216"/>
    </row>
    <row r="37" spans="1:9" ht="8.25" customHeight="1">
      <c r="A37" s="217"/>
      <c r="B37" s="217"/>
      <c r="C37" s="217"/>
      <c r="D37" s="217"/>
      <c r="E37" s="217"/>
      <c r="F37" s="217"/>
      <c r="G37" s="217"/>
      <c r="H37" s="217"/>
      <c r="I37" s="217"/>
    </row>
    <row r="38" spans="1:9" ht="27" customHeight="1">
      <c r="A38" s="218" t="s">
        <v>38</v>
      </c>
      <c r="B38" s="218"/>
      <c r="C38" s="218"/>
      <c r="D38" s="218"/>
      <c r="E38" s="218"/>
      <c r="F38" s="218"/>
      <c r="G38" s="218"/>
      <c r="H38" s="218"/>
      <c r="I38" s="218"/>
    </row>
    <row r="39" spans="1:9" ht="27" customHeight="1">
      <c r="A39" s="219" t="s">
        <v>151</v>
      </c>
      <c r="B39" s="219"/>
      <c r="C39" s="219"/>
      <c r="D39" s="219"/>
      <c r="E39" s="219"/>
      <c r="F39" s="219"/>
      <c r="G39" s="219"/>
      <c r="H39" s="219"/>
      <c r="I39" s="219"/>
    </row>
    <row r="40" spans="1:9" ht="22.5" customHeight="1">
      <c r="A40" s="19" t="s">
        <v>39</v>
      </c>
      <c r="B40" s="220" t="s">
        <v>152</v>
      </c>
      <c r="C40" s="220"/>
      <c r="D40" s="220"/>
      <c r="E40" s="220"/>
      <c r="F40" s="220"/>
      <c r="G40" s="220"/>
      <c r="H40" s="220"/>
      <c r="I40" s="20" t="s">
        <v>40</v>
      </c>
    </row>
    <row r="41" spans="1:9" ht="27" customHeight="1">
      <c r="A41" s="19" t="s">
        <v>1</v>
      </c>
      <c r="B41" s="221" t="s">
        <v>156</v>
      </c>
      <c r="C41" s="221"/>
      <c r="D41" s="221"/>
      <c r="E41" s="221"/>
      <c r="F41" s="221"/>
      <c r="G41" s="221"/>
      <c r="H41" s="69">
        <v>0.0833</v>
      </c>
      <c r="I41" s="70">
        <f>ROUND(I30*H41,2)</f>
        <v>324.96</v>
      </c>
    </row>
    <row r="42" spans="1:9" ht="37.5" customHeight="1">
      <c r="A42" s="19" t="s">
        <v>3</v>
      </c>
      <c r="B42" s="222" t="s">
        <v>158</v>
      </c>
      <c r="C42" s="223"/>
      <c r="D42" s="223"/>
      <c r="E42" s="223"/>
      <c r="F42" s="223"/>
      <c r="G42" s="223"/>
      <c r="H42" s="69">
        <v>0.0278</v>
      </c>
      <c r="I42" s="70">
        <f>ROUND(I30*H42,2)</f>
        <v>108.45</v>
      </c>
    </row>
    <row r="43" spans="1:9" ht="15.75" customHeight="1">
      <c r="A43" s="224" t="s">
        <v>41</v>
      </c>
      <c r="B43" s="224"/>
      <c r="C43" s="224"/>
      <c r="D43" s="224"/>
      <c r="E43" s="224"/>
      <c r="F43" s="224"/>
      <c r="G43" s="224"/>
      <c r="H43" s="224"/>
      <c r="I43" s="35">
        <f>SUM(I41+I42)</f>
        <v>433.40999999999997</v>
      </c>
    </row>
    <row r="44" spans="1:9" ht="7.5" customHeight="1">
      <c r="A44" s="225"/>
      <c r="B44" s="225"/>
      <c r="C44" s="225"/>
      <c r="D44" s="225"/>
      <c r="E44" s="225"/>
      <c r="F44" s="225"/>
      <c r="G44" s="225"/>
      <c r="H44" s="225"/>
      <c r="I44" s="225"/>
    </row>
    <row r="45" spans="1:9" ht="62.25" customHeight="1">
      <c r="A45" s="226" t="s">
        <v>153</v>
      </c>
      <c r="B45" s="226"/>
      <c r="C45" s="226"/>
      <c r="D45" s="226"/>
      <c r="E45" s="226"/>
      <c r="F45" s="226"/>
      <c r="G45" s="226"/>
      <c r="H45" s="226"/>
      <c r="I45" s="226"/>
    </row>
    <row r="46" spans="1:9" ht="7.5" customHeight="1">
      <c r="A46" s="227"/>
      <c r="B46" s="227"/>
      <c r="C46" s="227"/>
      <c r="D46" s="227"/>
      <c r="E46" s="227"/>
      <c r="F46" s="227"/>
      <c r="G46" s="227"/>
      <c r="H46" s="227"/>
      <c r="I46" s="227"/>
    </row>
    <row r="47" spans="1:10" s="23" customFormat="1" ht="32.25" customHeight="1">
      <c r="A47" s="228" t="s">
        <v>159</v>
      </c>
      <c r="B47" s="228"/>
      <c r="C47" s="228"/>
      <c r="D47" s="228"/>
      <c r="E47" s="228"/>
      <c r="F47" s="228"/>
      <c r="G47" s="228"/>
      <c r="H47" s="228"/>
      <c r="I47" s="228"/>
      <c r="J47" s="132"/>
    </row>
    <row r="48" spans="1:10" s="23" customFormat="1" ht="27" customHeight="1">
      <c r="A48" s="24" t="s">
        <v>42</v>
      </c>
      <c r="B48" s="229" t="s">
        <v>43</v>
      </c>
      <c r="C48" s="229"/>
      <c r="D48" s="229"/>
      <c r="E48" s="229"/>
      <c r="F48" s="229"/>
      <c r="G48" s="229"/>
      <c r="H48" s="5" t="s">
        <v>31</v>
      </c>
      <c r="I48" s="12" t="s">
        <v>44</v>
      </c>
      <c r="J48" s="132"/>
    </row>
    <row r="49" spans="1:10" s="23" customFormat="1" ht="18.75" customHeight="1">
      <c r="A49" s="26" t="s">
        <v>1</v>
      </c>
      <c r="B49" s="230" t="s">
        <v>45</v>
      </c>
      <c r="C49" s="230"/>
      <c r="D49" s="230"/>
      <c r="E49" s="230"/>
      <c r="F49" s="230"/>
      <c r="G49" s="230"/>
      <c r="H49" s="27">
        <v>0.2</v>
      </c>
      <c r="I49" s="28">
        <f>ROUND((I30+I43)*H49,2)</f>
        <v>866.89</v>
      </c>
      <c r="J49" s="132"/>
    </row>
    <row r="50" spans="1:10" s="23" customFormat="1" ht="18.75" customHeight="1">
      <c r="A50" s="26" t="s">
        <v>3</v>
      </c>
      <c r="B50" s="230" t="s">
        <v>46</v>
      </c>
      <c r="C50" s="230"/>
      <c r="D50" s="230"/>
      <c r="E50" s="230"/>
      <c r="F50" s="230"/>
      <c r="G50" s="230"/>
      <c r="H50" s="29">
        <v>0.025</v>
      </c>
      <c r="I50" s="28">
        <f>ROUND((I30+I43)*H50,2)</f>
        <v>108.36</v>
      </c>
      <c r="J50" s="132"/>
    </row>
    <row r="51" spans="1:10" s="23" customFormat="1" ht="50.25" customHeight="1">
      <c r="A51" s="26" t="s">
        <v>5</v>
      </c>
      <c r="B51" s="231" t="s">
        <v>160</v>
      </c>
      <c r="C51" s="231"/>
      <c r="D51" s="30" t="s">
        <v>47</v>
      </c>
      <c r="E51" s="31">
        <v>0.03</v>
      </c>
      <c r="F51" s="30" t="s">
        <v>48</v>
      </c>
      <c r="G51" s="32">
        <v>1</v>
      </c>
      <c r="H51" s="33">
        <f>ROUND((E51*G51),6)</f>
        <v>0.03</v>
      </c>
      <c r="I51" s="28">
        <f>ROUND((I30+I43)*H51,2)</f>
        <v>130.03</v>
      </c>
      <c r="J51" s="132"/>
    </row>
    <row r="52" spans="1:10" s="23" customFormat="1" ht="15.75" customHeight="1">
      <c r="A52" s="26" t="s">
        <v>7</v>
      </c>
      <c r="B52" s="230" t="s">
        <v>49</v>
      </c>
      <c r="C52" s="230"/>
      <c r="D52" s="230"/>
      <c r="E52" s="230"/>
      <c r="F52" s="230"/>
      <c r="G52" s="230"/>
      <c r="H52" s="27">
        <v>0.015</v>
      </c>
      <c r="I52" s="28">
        <f>ROUND((I30+I43)*H52,2)</f>
        <v>65.02</v>
      </c>
      <c r="J52" s="132"/>
    </row>
    <row r="53" spans="1:10" s="23" customFormat="1" ht="15.75" customHeight="1">
      <c r="A53" s="26" t="s">
        <v>33</v>
      </c>
      <c r="B53" s="230" t="s">
        <v>50</v>
      </c>
      <c r="C53" s="230"/>
      <c r="D53" s="230"/>
      <c r="E53" s="230"/>
      <c r="F53" s="230"/>
      <c r="G53" s="230"/>
      <c r="H53" s="27">
        <v>0.01</v>
      </c>
      <c r="I53" s="28">
        <f>ROUND((I30+I43)*H53,2)</f>
        <v>43.34</v>
      </c>
      <c r="J53" s="132"/>
    </row>
    <row r="54" spans="1:10" s="23" customFormat="1" ht="15.75" customHeight="1">
      <c r="A54" s="26" t="s">
        <v>34</v>
      </c>
      <c r="B54" s="183" t="s">
        <v>51</v>
      </c>
      <c r="C54" s="183"/>
      <c r="D54" s="183"/>
      <c r="E54" s="183"/>
      <c r="F54" s="183"/>
      <c r="G54" s="183"/>
      <c r="H54" s="29">
        <v>0.006</v>
      </c>
      <c r="I54" s="28">
        <f>ROUND((I30+I43)*H54,2)</f>
        <v>26.01</v>
      </c>
      <c r="J54" s="132"/>
    </row>
    <row r="55" spans="1:10" s="23" customFormat="1" ht="15.75" customHeight="1">
      <c r="A55" s="26" t="s">
        <v>35</v>
      </c>
      <c r="B55" s="230" t="s">
        <v>52</v>
      </c>
      <c r="C55" s="230"/>
      <c r="D55" s="230"/>
      <c r="E55" s="230"/>
      <c r="F55" s="230"/>
      <c r="G55" s="230"/>
      <c r="H55" s="27">
        <v>0.002</v>
      </c>
      <c r="I55" s="28">
        <f>ROUND((I30+I43)*H55,2)</f>
        <v>8.67</v>
      </c>
      <c r="J55" s="132"/>
    </row>
    <row r="56" spans="1:9" ht="15.75" customHeight="1">
      <c r="A56" s="26" t="s">
        <v>36</v>
      </c>
      <c r="B56" s="183" t="s">
        <v>53</v>
      </c>
      <c r="C56" s="183"/>
      <c r="D56" s="183"/>
      <c r="E56" s="183"/>
      <c r="F56" s="183"/>
      <c r="G56" s="183"/>
      <c r="H56" s="29">
        <v>0.08</v>
      </c>
      <c r="I56" s="28">
        <f>ROUND((I30+I43)*H56,2)</f>
        <v>346.76</v>
      </c>
    </row>
    <row r="57" spans="1:9" ht="15.75" customHeight="1">
      <c r="A57" s="232" t="s">
        <v>41</v>
      </c>
      <c r="B57" s="232"/>
      <c r="C57" s="232"/>
      <c r="D57" s="232"/>
      <c r="E57" s="232"/>
      <c r="F57" s="232"/>
      <c r="G57" s="232"/>
      <c r="H57" s="34">
        <f>SUM(H49:H56)</f>
        <v>0.36800000000000005</v>
      </c>
      <c r="I57" s="35">
        <f>SUM(I49:I56)</f>
        <v>1595.08</v>
      </c>
    </row>
    <row r="58" spans="1:9" ht="8.25" customHeight="1">
      <c r="A58" s="36"/>
      <c r="B58" s="37"/>
      <c r="C58" s="37"/>
      <c r="D58" s="37"/>
      <c r="E58" s="37"/>
      <c r="F58" s="37"/>
      <c r="G58" s="37"/>
      <c r="H58" s="38"/>
      <c r="I58" s="39"/>
    </row>
    <row r="59" spans="1:9" ht="72.75" customHeight="1">
      <c r="A59" s="233" t="s">
        <v>54</v>
      </c>
      <c r="B59" s="233"/>
      <c r="C59" s="233"/>
      <c r="D59" s="233"/>
      <c r="E59" s="233"/>
      <c r="F59" s="233"/>
      <c r="G59" s="233"/>
      <c r="H59" s="233"/>
      <c r="I59" s="233"/>
    </row>
    <row r="60" spans="1:9" ht="9.75" customHeight="1">
      <c r="A60" s="234"/>
      <c r="B60" s="234"/>
      <c r="C60" s="234"/>
      <c r="D60" s="234"/>
      <c r="E60" s="234"/>
      <c r="F60" s="234"/>
      <c r="G60" s="234"/>
      <c r="H60" s="234"/>
      <c r="I60" s="234"/>
    </row>
    <row r="61" spans="1:9" ht="20.25" customHeight="1">
      <c r="A61" s="235" t="s">
        <v>55</v>
      </c>
      <c r="B61" s="235"/>
      <c r="C61" s="235"/>
      <c r="D61" s="235"/>
      <c r="E61" s="235"/>
      <c r="F61" s="235"/>
      <c r="G61" s="235"/>
      <c r="H61" s="235"/>
      <c r="I61" s="235"/>
    </row>
    <row r="62" spans="1:9" ht="27" customHeight="1">
      <c r="A62" s="40" t="s">
        <v>56</v>
      </c>
      <c r="B62" s="213" t="s">
        <v>57</v>
      </c>
      <c r="C62" s="213"/>
      <c r="D62" s="213"/>
      <c r="E62" s="213"/>
      <c r="F62" s="213"/>
      <c r="G62" s="213"/>
      <c r="H62" s="213"/>
      <c r="I62" s="12" t="s">
        <v>40</v>
      </c>
    </row>
    <row r="63" spans="1:9" ht="23.25" customHeight="1">
      <c r="A63" s="89" t="s">
        <v>1</v>
      </c>
      <c r="B63" s="236" t="s">
        <v>161</v>
      </c>
      <c r="C63" s="236"/>
      <c r="D63" s="236"/>
      <c r="E63" s="236"/>
      <c r="F63" s="236"/>
      <c r="G63" s="236"/>
      <c r="H63" s="236"/>
      <c r="I63" s="87">
        <f>IF(ROUND((H64*H66*H65)-(I28*H67),2)&lt;0,0,ROUND((H64*H66*H65)-(I28*H67),2))</f>
        <v>50.95</v>
      </c>
    </row>
    <row r="64" spans="1:9" ht="27" customHeight="1">
      <c r="A64" s="89"/>
      <c r="B64" s="236" t="s">
        <v>162</v>
      </c>
      <c r="C64" s="236"/>
      <c r="D64" s="236"/>
      <c r="E64" s="236"/>
      <c r="F64" s="236"/>
      <c r="G64" s="236"/>
      <c r="H64" s="90">
        <v>3.85</v>
      </c>
      <c r="I64" s="91" t="s">
        <v>14</v>
      </c>
    </row>
    <row r="65" spans="1:9" ht="19.5" customHeight="1">
      <c r="A65" s="89"/>
      <c r="B65" s="237" t="s">
        <v>163</v>
      </c>
      <c r="C65" s="237"/>
      <c r="D65" s="237"/>
      <c r="E65" s="237"/>
      <c r="F65" s="237"/>
      <c r="G65" s="237"/>
      <c r="H65" s="92">
        <v>2</v>
      </c>
      <c r="I65" s="91" t="s">
        <v>14</v>
      </c>
    </row>
    <row r="66" spans="1:9" ht="19.5" customHeight="1">
      <c r="A66" s="89"/>
      <c r="B66" s="237" t="s">
        <v>58</v>
      </c>
      <c r="C66" s="237"/>
      <c r="D66" s="237"/>
      <c r="E66" s="237"/>
      <c r="F66" s="237"/>
      <c r="G66" s="237"/>
      <c r="H66" s="93">
        <v>30</v>
      </c>
      <c r="I66" s="91"/>
    </row>
    <row r="67" spans="1:10" ht="24" customHeight="1">
      <c r="A67" s="89"/>
      <c r="B67" s="237" t="s">
        <v>225</v>
      </c>
      <c r="C67" s="237"/>
      <c r="D67" s="237"/>
      <c r="E67" s="237"/>
      <c r="F67" s="237"/>
      <c r="G67" s="237"/>
      <c r="H67" s="94">
        <v>0.06</v>
      </c>
      <c r="I67" s="91"/>
      <c r="J67" s="130"/>
    </row>
    <row r="68" spans="1:9" ht="27" customHeight="1">
      <c r="A68" s="89" t="s">
        <v>3</v>
      </c>
      <c r="B68" s="236" t="s">
        <v>164</v>
      </c>
      <c r="C68" s="236"/>
      <c r="D68" s="236"/>
      <c r="E68" s="236"/>
      <c r="F68" s="236"/>
      <c r="G68" s="236"/>
      <c r="H68" s="236"/>
      <c r="I68" s="95">
        <f>ROUND(H70*H69*(1-H71),2)*1+ROUND(21.726*6*(1-H71),2)*0</f>
        <v>549.6</v>
      </c>
    </row>
    <row r="69" spans="1:10" ht="15.75" customHeight="1">
      <c r="A69" s="89"/>
      <c r="B69" s="236" t="s">
        <v>224</v>
      </c>
      <c r="C69" s="236"/>
      <c r="D69" s="236"/>
      <c r="E69" s="236"/>
      <c r="F69" s="236"/>
      <c r="G69" s="236"/>
      <c r="H69" s="90">
        <v>22.9</v>
      </c>
      <c r="I69" s="91" t="s">
        <v>14</v>
      </c>
      <c r="J69" s="130"/>
    </row>
    <row r="70" spans="1:9" ht="30" customHeight="1">
      <c r="A70" s="89"/>
      <c r="B70" s="236" t="s">
        <v>165</v>
      </c>
      <c r="C70" s="236"/>
      <c r="D70" s="236"/>
      <c r="E70" s="236"/>
      <c r="F70" s="236"/>
      <c r="G70" s="236"/>
      <c r="H70" s="93">
        <v>30</v>
      </c>
      <c r="I70" s="91"/>
    </row>
    <row r="71" spans="1:9" ht="26.25" customHeight="1">
      <c r="A71" s="89"/>
      <c r="B71" s="237" t="s">
        <v>59</v>
      </c>
      <c r="C71" s="237"/>
      <c r="D71" s="237"/>
      <c r="E71" s="237"/>
      <c r="F71" s="237"/>
      <c r="G71" s="237"/>
      <c r="H71" s="94">
        <v>0.2</v>
      </c>
      <c r="I71" s="91"/>
    </row>
    <row r="72" spans="1:9" ht="15.75" customHeight="1">
      <c r="A72" s="89" t="s">
        <v>5</v>
      </c>
      <c r="B72" s="236" t="s">
        <v>60</v>
      </c>
      <c r="C72" s="236"/>
      <c r="D72" s="236"/>
      <c r="E72" s="236"/>
      <c r="F72" s="236"/>
      <c r="G72" s="236"/>
      <c r="H72" s="236"/>
      <c r="I72" s="87">
        <v>0</v>
      </c>
    </row>
    <row r="73" spans="1:12" ht="26.25" customHeight="1">
      <c r="A73" s="89" t="s">
        <v>7</v>
      </c>
      <c r="B73" s="236" t="s">
        <v>226</v>
      </c>
      <c r="C73" s="236"/>
      <c r="D73" s="236"/>
      <c r="E73" s="236"/>
      <c r="F73" s="236"/>
      <c r="G73" s="236"/>
      <c r="H73" s="236"/>
      <c r="I73" s="87">
        <f>ROUND(I30*60*0.00023,2)</f>
        <v>53.83</v>
      </c>
      <c r="K73" s="16"/>
      <c r="L73" s="16"/>
    </row>
    <row r="74" spans="1:10" s="23" customFormat="1" ht="18.75" customHeight="1">
      <c r="A74" s="89" t="s">
        <v>33</v>
      </c>
      <c r="B74" s="237" t="s">
        <v>227</v>
      </c>
      <c r="C74" s="237"/>
      <c r="D74" s="237"/>
      <c r="E74" s="237"/>
      <c r="F74" s="237"/>
      <c r="G74" s="237"/>
      <c r="H74" s="237"/>
      <c r="I74" s="87">
        <f>ROUND((4975*0.0052066)/12,2)</f>
        <v>2.16</v>
      </c>
      <c r="J74" s="132"/>
    </row>
    <row r="75" spans="1:10" s="23" customFormat="1" ht="15.75" customHeight="1">
      <c r="A75" s="89" t="s">
        <v>34</v>
      </c>
      <c r="B75" s="238" t="s">
        <v>61</v>
      </c>
      <c r="C75" s="238"/>
      <c r="D75" s="238"/>
      <c r="E75" s="238"/>
      <c r="F75" s="238"/>
      <c r="G75" s="238"/>
      <c r="H75" s="238"/>
      <c r="I75" s="96">
        <v>0</v>
      </c>
      <c r="J75" s="132"/>
    </row>
    <row r="76" spans="1:10" s="23" customFormat="1" ht="18" customHeight="1">
      <c r="A76" s="43"/>
      <c r="B76" s="239" t="s">
        <v>41</v>
      </c>
      <c r="C76" s="239"/>
      <c r="D76" s="239"/>
      <c r="E76" s="239"/>
      <c r="F76" s="239"/>
      <c r="G76" s="239"/>
      <c r="H76" s="239"/>
      <c r="I76" s="35">
        <f>SUM(I63:I75)</f>
        <v>656.5400000000001</v>
      </c>
      <c r="J76" s="132"/>
    </row>
    <row r="77" spans="1:10" s="23" customFormat="1" ht="9" customHeight="1">
      <c r="A77" s="234"/>
      <c r="B77" s="234"/>
      <c r="C77" s="234"/>
      <c r="D77" s="234"/>
      <c r="E77" s="234"/>
      <c r="F77" s="234"/>
      <c r="G77" s="234"/>
      <c r="H77" s="234"/>
      <c r="I77" s="234"/>
      <c r="J77" s="132"/>
    </row>
    <row r="78" spans="1:10" s="23" customFormat="1" ht="32.25" customHeight="1">
      <c r="A78" s="233" t="s">
        <v>62</v>
      </c>
      <c r="B78" s="233"/>
      <c r="C78" s="233"/>
      <c r="D78" s="233"/>
      <c r="E78" s="233"/>
      <c r="F78" s="233"/>
      <c r="G78" s="233"/>
      <c r="H78" s="233"/>
      <c r="I78" s="233"/>
      <c r="J78" s="132"/>
    </row>
    <row r="79" spans="1:10" s="23" customFormat="1" ht="8.25" customHeight="1">
      <c r="A79" s="211"/>
      <c r="B79" s="211"/>
      <c r="C79" s="211"/>
      <c r="D79" s="211"/>
      <c r="E79" s="211"/>
      <c r="F79" s="211"/>
      <c r="G79" s="211"/>
      <c r="H79" s="211"/>
      <c r="I79" s="211"/>
      <c r="J79" s="132"/>
    </row>
    <row r="80" spans="1:10" s="23" customFormat="1" ht="17.25" customHeight="1">
      <c r="A80" s="240" t="s">
        <v>63</v>
      </c>
      <c r="B80" s="240"/>
      <c r="C80" s="240"/>
      <c r="D80" s="240"/>
      <c r="E80" s="240"/>
      <c r="F80" s="240"/>
      <c r="G80" s="240"/>
      <c r="H80" s="240"/>
      <c r="I80" s="240"/>
      <c r="J80" s="132"/>
    </row>
    <row r="81" spans="1:10" s="23" customFormat="1" ht="15.75" customHeight="1">
      <c r="A81" s="25">
        <v>2</v>
      </c>
      <c r="B81" s="229" t="s">
        <v>64</v>
      </c>
      <c r="C81" s="229"/>
      <c r="D81" s="229"/>
      <c r="E81" s="229"/>
      <c r="F81" s="229"/>
      <c r="G81" s="229"/>
      <c r="H81" s="229"/>
      <c r="I81" s="25" t="s">
        <v>40</v>
      </c>
      <c r="J81" s="132"/>
    </row>
    <row r="82" spans="1:10" s="23" customFormat="1" ht="14.25" customHeight="1">
      <c r="A82" s="44" t="s">
        <v>39</v>
      </c>
      <c r="B82" s="241" t="s">
        <v>167</v>
      </c>
      <c r="C82" s="241"/>
      <c r="D82" s="241"/>
      <c r="E82" s="241"/>
      <c r="F82" s="241"/>
      <c r="G82" s="241"/>
      <c r="H82" s="241"/>
      <c r="I82" s="45">
        <f>I43</f>
        <v>433.40999999999997</v>
      </c>
      <c r="J82" s="132"/>
    </row>
    <row r="83" spans="1:10" s="23" customFormat="1" ht="14.25" customHeight="1">
      <c r="A83" s="44" t="s">
        <v>42</v>
      </c>
      <c r="B83" s="241" t="s">
        <v>43</v>
      </c>
      <c r="C83" s="241"/>
      <c r="D83" s="241"/>
      <c r="E83" s="241"/>
      <c r="F83" s="241"/>
      <c r="G83" s="241"/>
      <c r="H83" s="241"/>
      <c r="I83" s="45">
        <f>I57</f>
        <v>1595.08</v>
      </c>
      <c r="J83" s="132"/>
    </row>
    <row r="84" spans="1:10" s="23" customFormat="1" ht="14.25" customHeight="1">
      <c r="A84" s="44" t="s">
        <v>56</v>
      </c>
      <c r="B84" s="241" t="s">
        <v>57</v>
      </c>
      <c r="C84" s="241"/>
      <c r="D84" s="241"/>
      <c r="E84" s="241"/>
      <c r="F84" s="241"/>
      <c r="G84" s="241"/>
      <c r="H84" s="241"/>
      <c r="I84" s="45">
        <f>I76</f>
        <v>656.5400000000001</v>
      </c>
      <c r="J84" s="132"/>
    </row>
    <row r="85" spans="1:10" s="23" customFormat="1" ht="14.25" customHeight="1">
      <c r="A85" s="242" t="s">
        <v>41</v>
      </c>
      <c r="B85" s="242"/>
      <c r="C85" s="242"/>
      <c r="D85" s="242"/>
      <c r="E85" s="242"/>
      <c r="F85" s="242"/>
      <c r="G85" s="242"/>
      <c r="H85" s="242"/>
      <c r="I85" s="46">
        <f>SUM(I82+I83+I84)</f>
        <v>2685.0299999999997</v>
      </c>
      <c r="J85" s="132"/>
    </row>
    <row r="86" spans="1:10" s="23" customFormat="1" ht="8.25" customHeight="1">
      <c r="A86" s="243"/>
      <c r="B86" s="243"/>
      <c r="C86" s="243"/>
      <c r="D86" s="243"/>
      <c r="E86" s="243"/>
      <c r="F86" s="243"/>
      <c r="G86" s="243"/>
      <c r="H86" s="243"/>
      <c r="I86" s="243"/>
      <c r="J86" s="132"/>
    </row>
    <row r="87" spans="1:10" s="23" customFormat="1" ht="20.25" customHeight="1">
      <c r="A87" s="244" t="s">
        <v>65</v>
      </c>
      <c r="B87" s="244"/>
      <c r="C87" s="244"/>
      <c r="D87" s="244"/>
      <c r="E87" s="244"/>
      <c r="F87" s="244"/>
      <c r="G87" s="244"/>
      <c r="H87" s="244"/>
      <c r="I87" s="244"/>
      <c r="J87" s="132"/>
    </row>
    <row r="88" spans="1:10" s="23" customFormat="1" ht="15">
      <c r="A88" s="40">
        <v>3</v>
      </c>
      <c r="B88" s="245" t="s">
        <v>66</v>
      </c>
      <c r="C88" s="245"/>
      <c r="D88" s="245"/>
      <c r="E88" s="245"/>
      <c r="F88" s="245"/>
      <c r="G88" s="245"/>
      <c r="H88" s="245"/>
      <c r="I88" s="40" t="s">
        <v>40</v>
      </c>
      <c r="J88" s="132"/>
    </row>
    <row r="89" spans="1:10" s="23" customFormat="1" ht="44.25" customHeight="1">
      <c r="A89" s="41" t="s">
        <v>1</v>
      </c>
      <c r="B89" s="221" t="s">
        <v>168</v>
      </c>
      <c r="C89" s="221"/>
      <c r="D89" s="221"/>
      <c r="E89" s="221"/>
      <c r="F89" s="221"/>
      <c r="G89" s="221"/>
      <c r="H89" s="221"/>
      <c r="I89" s="100">
        <f>ROUND(((I30/12)+($I$41/12)+(I30/12/12)+($I$42/12))*(30/30)*0.05,2)</f>
        <v>19.41</v>
      </c>
      <c r="J89" s="132"/>
    </row>
    <row r="90" spans="1:10" s="23" customFormat="1" ht="14.25" customHeight="1">
      <c r="A90" s="41" t="s">
        <v>3</v>
      </c>
      <c r="B90" s="246" t="s">
        <v>67</v>
      </c>
      <c r="C90" s="246"/>
      <c r="D90" s="246"/>
      <c r="E90" s="246"/>
      <c r="F90" s="246"/>
      <c r="G90" s="246"/>
      <c r="H90" s="246"/>
      <c r="I90" s="100">
        <f>ROUND($H$56*I89,2)</f>
        <v>1.55</v>
      </c>
      <c r="J90" s="132"/>
    </row>
    <row r="91" spans="1:10" s="23" customFormat="1" ht="27.75" customHeight="1">
      <c r="A91" s="41" t="s">
        <v>5</v>
      </c>
      <c r="B91" s="247" t="s">
        <v>169</v>
      </c>
      <c r="C91" s="247"/>
      <c r="D91" s="247"/>
      <c r="E91" s="247"/>
      <c r="F91" s="247"/>
      <c r="G91" s="247"/>
      <c r="H91" s="247"/>
      <c r="I91" s="100">
        <f>ROUND(((7/30)/$H$10)*I30*1,2)</f>
        <v>75.85</v>
      </c>
      <c r="J91" s="132"/>
    </row>
    <row r="92" spans="1:10" s="23" customFormat="1" ht="19.5" customHeight="1">
      <c r="A92" s="41" t="s">
        <v>7</v>
      </c>
      <c r="B92" s="246" t="s">
        <v>68</v>
      </c>
      <c r="C92" s="246"/>
      <c r="D92" s="246"/>
      <c r="E92" s="246"/>
      <c r="F92" s="246"/>
      <c r="G92" s="246"/>
      <c r="H92" s="246"/>
      <c r="I92" s="100">
        <f>ROUND($H$57*I91,2)</f>
        <v>27.91</v>
      </c>
      <c r="J92" s="132"/>
    </row>
    <row r="93" spans="1:10" s="23" customFormat="1" ht="53.25" customHeight="1">
      <c r="A93" s="41" t="s">
        <v>33</v>
      </c>
      <c r="B93" s="247" t="s">
        <v>170</v>
      </c>
      <c r="C93" s="247"/>
      <c r="D93" s="247"/>
      <c r="E93" s="247"/>
      <c r="F93" s="247"/>
      <c r="G93" s="247"/>
      <c r="H93" s="99">
        <v>0.04</v>
      </c>
      <c r="I93" s="100">
        <f>ROUND(I30*H93,2)</f>
        <v>156.04</v>
      </c>
      <c r="J93" s="132"/>
    </row>
    <row r="94" spans="1:10" s="23" customFormat="1" ht="15.75" customHeight="1">
      <c r="A94" s="232" t="s">
        <v>69</v>
      </c>
      <c r="B94" s="232"/>
      <c r="C94" s="232"/>
      <c r="D94" s="232"/>
      <c r="E94" s="232"/>
      <c r="F94" s="232"/>
      <c r="G94" s="232"/>
      <c r="H94" s="232"/>
      <c r="I94" s="35">
        <f>SUM(I89:I93)</f>
        <v>280.76</v>
      </c>
      <c r="J94" s="132"/>
    </row>
    <row r="95" spans="1:10" s="23" customFormat="1" ht="9" customHeight="1">
      <c r="A95" s="248"/>
      <c r="B95" s="248"/>
      <c r="C95" s="248"/>
      <c r="D95" s="248"/>
      <c r="E95" s="248"/>
      <c r="F95" s="248"/>
      <c r="G95" s="248"/>
      <c r="H95" s="248"/>
      <c r="I95" s="248"/>
      <c r="J95" s="132"/>
    </row>
    <row r="96" spans="1:9" ht="24" customHeight="1">
      <c r="A96" s="249" t="s">
        <v>70</v>
      </c>
      <c r="B96" s="249"/>
      <c r="C96" s="249"/>
      <c r="D96" s="249"/>
      <c r="E96" s="249"/>
      <c r="F96" s="249"/>
      <c r="G96" s="249"/>
      <c r="H96" s="249"/>
      <c r="I96" s="249"/>
    </row>
    <row r="97" spans="1:9" ht="24.75" customHeight="1">
      <c r="A97" s="226" t="s">
        <v>71</v>
      </c>
      <c r="B97" s="226"/>
      <c r="C97" s="226"/>
      <c r="D97" s="226"/>
      <c r="E97" s="226"/>
      <c r="F97" s="226"/>
      <c r="G97" s="226"/>
      <c r="H97" s="226"/>
      <c r="I97" s="226"/>
    </row>
    <row r="98" spans="1:9" ht="42.75" customHeight="1">
      <c r="A98" s="228" t="s">
        <v>171</v>
      </c>
      <c r="B98" s="228"/>
      <c r="C98" s="228"/>
      <c r="D98" s="228"/>
      <c r="E98" s="228"/>
      <c r="F98" s="228"/>
      <c r="G98" s="228"/>
      <c r="H98" s="228"/>
      <c r="I98" s="228"/>
    </row>
    <row r="99" spans="1:9" ht="7.5" customHeight="1">
      <c r="A99" s="250"/>
      <c r="B99" s="250"/>
      <c r="C99" s="250"/>
      <c r="D99" s="250"/>
      <c r="E99" s="250"/>
      <c r="F99" s="250"/>
      <c r="G99" s="250"/>
      <c r="H99" s="250"/>
      <c r="I99" s="250"/>
    </row>
    <row r="100" spans="1:9" ht="42" customHeight="1">
      <c r="A100" s="101" t="s">
        <v>72</v>
      </c>
      <c r="B100" s="102">
        <f>I30</f>
        <v>3901.04</v>
      </c>
      <c r="C100" s="103"/>
      <c r="D100" s="101" t="s">
        <v>172</v>
      </c>
      <c r="E100" s="102">
        <f>I85-I63-I68</f>
        <v>2084.48</v>
      </c>
      <c r="F100" s="104"/>
      <c r="G100" s="101" t="s">
        <v>73</v>
      </c>
      <c r="H100" s="102">
        <f>I94</f>
        <v>280.76</v>
      </c>
      <c r="I100" s="105">
        <f>B100+E100+H100</f>
        <v>6266.280000000001</v>
      </c>
    </row>
    <row r="101" spans="1:9" ht="7.5" customHeight="1">
      <c r="A101" s="251"/>
      <c r="B101" s="251"/>
      <c r="C101" s="251"/>
      <c r="D101" s="251"/>
      <c r="E101" s="251"/>
      <c r="F101" s="251"/>
      <c r="G101" s="251"/>
      <c r="H101" s="251"/>
      <c r="I101" s="251"/>
    </row>
    <row r="102" spans="1:9" ht="24" customHeight="1">
      <c r="A102" s="252" t="s">
        <v>135</v>
      </c>
      <c r="B102" s="252"/>
      <c r="C102" s="252"/>
      <c r="D102" s="252"/>
      <c r="E102" s="252"/>
      <c r="F102" s="252"/>
      <c r="G102" s="252"/>
      <c r="H102" s="252"/>
      <c r="I102" s="252"/>
    </row>
    <row r="103" spans="1:9" ht="24" customHeight="1">
      <c r="A103" s="47" t="s">
        <v>74</v>
      </c>
      <c r="B103" s="245" t="s">
        <v>75</v>
      </c>
      <c r="C103" s="245"/>
      <c r="D103" s="245"/>
      <c r="E103" s="245"/>
      <c r="F103" s="245"/>
      <c r="G103" s="245"/>
      <c r="H103" s="245"/>
      <c r="I103" s="47" t="s">
        <v>40</v>
      </c>
    </row>
    <row r="104" spans="1:9" ht="17.25" customHeight="1">
      <c r="A104" s="68" t="s">
        <v>1</v>
      </c>
      <c r="B104" s="221" t="s">
        <v>173</v>
      </c>
      <c r="C104" s="221"/>
      <c r="D104" s="221"/>
      <c r="E104" s="221"/>
      <c r="F104" s="221"/>
      <c r="G104" s="221"/>
      <c r="H104" s="221"/>
      <c r="I104" s="28">
        <f>ROUND(I100/12,2)</f>
        <v>522.19</v>
      </c>
    </row>
    <row r="105" spans="1:9" ht="15.75" customHeight="1">
      <c r="A105" s="41" t="s">
        <v>3</v>
      </c>
      <c r="B105" s="247" t="s">
        <v>174</v>
      </c>
      <c r="C105" s="247"/>
      <c r="D105" s="247"/>
      <c r="E105" s="247"/>
      <c r="F105" s="247"/>
      <c r="G105" s="247"/>
      <c r="H105" s="247"/>
      <c r="I105" s="28">
        <f>ROUND((1/30)/12*(I100),2)</f>
        <v>17.41</v>
      </c>
    </row>
    <row r="106" spans="1:9" ht="25.5" customHeight="1">
      <c r="A106" s="41" t="s">
        <v>5</v>
      </c>
      <c r="B106" s="247" t="s">
        <v>175</v>
      </c>
      <c r="C106" s="247"/>
      <c r="D106" s="247"/>
      <c r="E106" s="247"/>
      <c r="F106" s="247"/>
      <c r="G106" s="247"/>
      <c r="H106" s="247"/>
      <c r="I106" s="28">
        <f>ROUND((5/30)/12*0.015*(I100),2)</f>
        <v>1.31</v>
      </c>
    </row>
    <row r="107" spans="1:9" ht="24" customHeight="1">
      <c r="A107" s="41" t="s">
        <v>7</v>
      </c>
      <c r="B107" s="247" t="s">
        <v>176</v>
      </c>
      <c r="C107" s="247"/>
      <c r="D107" s="247"/>
      <c r="E107" s="247"/>
      <c r="F107" s="247"/>
      <c r="G107" s="247"/>
      <c r="H107" s="247"/>
      <c r="I107" s="28">
        <f>ROUND(((15/30)/12)*0.0078*(I100),2)</f>
        <v>2.04</v>
      </c>
    </row>
    <row r="108" spans="1:9" ht="24.75" customHeight="1">
      <c r="A108" s="41" t="s">
        <v>33</v>
      </c>
      <c r="B108" s="201" t="s">
        <v>177</v>
      </c>
      <c r="C108" s="201"/>
      <c r="D108" s="201"/>
      <c r="E108" s="201"/>
      <c r="F108" s="201"/>
      <c r="G108" s="201"/>
      <c r="H108" s="201"/>
      <c r="I108" s="28">
        <f>ROUND(((((I30+I30/3)/12)+(I57+I76-I63-I68+I94))*4/12)*0.02,2)</f>
        <v>15.77</v>
      </c>
    </row>
    <row r="109" spans="1:9" ht="27" customHeight="1">
      <c r="A109" s="41" t="s">
        <v>34</v>
      </c>
      <c r="B109" s="247" t="s">
        <v>178</v>
      </c>
      <c r="C109" s="247"/>
      <c r="D109" s="247"/>
      <c r="E109" s="247"/>
      <c r="F109" s="247"/>
      <c r="G109" s="247"/>
      <c r="H109" s="247"/>
      <c r="I109" s="28">
        <f>ROUND(((3/30)/12)*(I100),2)</f>
        <v>52.22</v>
      </c>
    </row>
    <row r="110" spans="1:9" ht="15.75" customHeight="1">
      <c r="A110" s="232" t="s">
        <v>41</v>
      </c>
      <c r="B110" s="232"/>
      <c r="C110" s="232"/>
      <c r="D110" s="232"/>
      <c r="E110" s="232"/>
      <c r="F110" s="232"/>
      <c r="G110" s="232"/>
      <c r="H110" s="232"/>
      <c r="I110" s="35">
        <f>SUM(I104:I109)</f>
        <v>610.9399999999999</v>
      </c>
    </row>
    <row r="111" spans="1:9" ht="9" customHeight="1">
      <c r="A111" s="253"/>
      <c r="B111" s="253"/>
      <c r="C111" s="253"/>
      <c r="D111" s="253"/>
      <c r="E111" s="253"/>
      <c r="F111" s="253"/>
      <c r="G111" s="253"/>
      <c r="H111" s="253"/>
      <c r="I111" s="253"/>
    </row>
    <row r="112" spans="1:9" ht="15.75" customHeight="1">
      <c r="A112" s="235" t="s">
        <v>76</v>
      </c>
      <c r="B112" s="235"/>
      <c r="C112" s="235"/>
      <c r="D112" s="235"/>
      <c r="E112" s="235"/>
      <c r="F112" s="235"/>
      <c r="G112" s="235"/>
      <c r="H112" s="235"/>
      <c r="I112" s="235"/>
    </row>
    <row r="113" spans="1:9" ht="15.75" customHeight="1">
      <c r="A113" s="48" t="s">
        <v>77</v>
      </c>
      <c r="B113" s="254" t="s">
        <v>78</v>
      </c>
      <c r="C113" s="254"/>
      <c r="D113" s="254"/>
      <c r="E113" s="254"/>
      <c r="F113" s="254"/>
      <c r="G113" s="254"/>
      <c r="H113" s="254"/>
      <c r="I113" s="49" t="s">
        <v>40</v>
      </c>
    </row>
    <row r="114" spans="1:9" ht="15.75" customHeight="1">
      <c r="A114" s="21" t="s">
        <v>1</v>
      </c>
      <c r="B114" s="255" t="s">
        <v>79</v>
      </c>
      <c r="C114" s="255"/>
      <c r="D114" s="255"/>
      <c r="E114" s="255"/>
      <c r="F114" s="255"/>
      <c r="G114" s="255"/>
      <c r="H114" s="255"/>
      <c r="I114" s="50">
        <v>0</v>
      </c>
    </row>
    <row r="115" spans="1:9" ht="15.75" customHeight="1">
      <c r="A115" s="256" t="s">
        <v>41</v>
      </c>
      <c r="B115" s="256"/>
      <c r="C115" s="256"/>
      <c r="D115" s="256"/>
      <c r="E115" s="256"/>
      <c r="F115" s="256"/>
      <c r="G115" s="256"/>
      <c r="H115" s="256"/>
      <c r="I115" s="50">
        <v>0</v>
      </c>
    </row>
    <row r="116" spans="1:9" ht="7.5" customHeight="1">
      <c r="A116" s="257"/>
      <c r="B116" s="257"/>
      <c r="C116" s="257"/>
      <c r="D116" s="257"/>
      <c r="E116" s="257"/>
      <c r="F116" s="257"/>
      <c r="G116" s="257"/>
      <c r="H116" s="257"/>
      <c r="I116" s="257"/>
    </row>
    <row r="117" spans="1:9" ht="23.25" customHeight="1">
      <c r="A117" s="218" t="s">
        <v>80</v>
      </c>
      <c r="B117" s="218"/>
      <c r="C117" s="218"/>
      <c r="D117" s="218"/>
      <c r="E117" s="218"/>
      <c r="F117" s="218"/>
      <c r="G117" s="218"/>
      <c r="H117" s="218"/>
      <c r="I117" s="218"/>
    </row>
    <row r="118" spans="1:9" ht="23.25" customHeight="1">
      <c r="A118" s="25">
        <v>4</v>
      </c>
      <c r="B118" s="254" t="s">
        <v>81</v>
      </c>
      <c r="C118" s="254"/>
      <c r="D118" s="254"/>
      <c r="E118" s="254"/>
      <c r="F118" s="254"/>
      <c r="G118" s="254"/>
      <c r="H118" s="254"/>
      <c r="I118" s="49" t="s">
        <v>40</v>
      </c>
    </row>
    <row r="119" spans="1:9" ht="18.75" customHeight="1">
      <c r="A119" s="51" t="s">
        <v>74</v>
      </c>
      <c r="B119" s="255" t="s">
        <v>75</v>
      </c>
      <c r="C119" s="255"/>
      <c r="D119" s="255"/>
      <c r="E119" s="255"/>
      <c r="F119" s="255"/>
      <c r="G119" s="255"/>
      <c r="H119" s="255"/>
      <c r="I119" s="50">
        <f>I110</f>
        <v>610.9399999999999</v>
      </c>
    </row>
    <row r="120" spans="1:9" ht="21.75" customHeight="1">
      <c r="A120" s="51" t="s">
        <v>82</v>
      </c>
      <c r="B120" s="255" t="s">
        <v>78</v>
      </c>
      <c r="C120" s="255"/>
      <c r="D120" s="255"/>
      <c r="E120" s="255"/>
      <c r="F120" s="255"/>
      <c r="G120" s="255"/>
      <c r="H120" s="255"/>
      <c r="I120" s="50">
        <f>I115</f>
        <v>0</v>
      </c>
    </row>
    <row r="121" spans="1:9" ht="23.25" customHeight="1">
      <c r="A121" s="258" t="s">
        <v>41</v>
      </c>
      <c r="B121" s="258"/>
      <c r="C121" s="258"/>
      <c r="D121" s="258"/>
      <c r="E121" s="258"/>
      <c r="F121" s="258"/>
      <c r="G121" s="258"/>
      <c r="H121" s="258"/>
      <c r="I121" s="22">
        <f>SUM(I119+I120)</f>
        <v>610.9399999999999</v>
      </c>
    </row>
    <row r="122" spans="1:9" ht="7.5" customHeight="1">
      <c r="A122" s="248"/>
      <c r="B122" s="248"/>
      <c r="C122" s="248"/>
      <c r="D122" s="248"/>
      <c r="E122" s="248"/>
      <c r="F122" s="248"/>
      <c r="G122" s="248"/>
      <c r="H122" s="248"/>
      <c r="I122" s="248"/>
    </row>
    <row r="123" spans="1:10" s="23" customFormat="1" ht="27.75" customHeight="1">
      <c r="A123" s="259" t="s">
        <v>83</v>
      </c>
      <c r="B123" s="259"/>
      <c r="C123" s="259"/>
      <c r="D123" s="259"/>
      <c r="E123" s="259"/>
      <c r="F123" s="259"/>
      <c r="G123" s="259"/>
      <c r="H123" s="259"/>
      <c r="I123" s="259"/>
      <c r="J123" s="132"/>
    </row>
    <row r="124" spans="1:9" ht="27" customHeight="1">
      <c r="A124" s="119">
        <v>3</v>
      </c>
      <c r="B124" s="260" t="s">
        <v>84</v>
      </c>
      <c r="C124" s="260"/>
      <c r="D124" s="260"/>
      <c r="E124" s="260"/>
      <c r="F124" s="260"/>
      <c r="G124" s="260"/>
      <c r="H124" s="260"/>
      <c r="I124" s="119" t="s">
        <v>40</v>
      </c>
    </row>
    <row r="125" spans="1:10" s="124" customFormat="1" ht="27" customHeight="1">
      <c r="A125" s="89" t="s">
        <v>1</v>
      </c>
      <c r="B125" s="237" t="s">
        <v>218</v>
      </c>
      <c r="C125" s="237"/>
      <c r="D125" s="237"/>
      <c r="E125" s="237"/>
      <c r="F125" s="237"/>
      <c r="G125" s="237"/>
      <c r="H125" s="237"/>
      <c r="I125" s="87">
        <v>123.19</v>
      </c>
      <c r="J125" s="133"/>
    </row>
    <row r="126" spans="1:10" s="124" customFormat="1" ht="12.75">
      <c r="A126" s="89" t="s">
        <v>3</v>
      </c>
      <c r="B126" s="237" t="s">
        <v>217</v>
      </c>
      <c r="C126" s="237"/>
      <c r="D126" s="237"/>
      <c r="E126" s="237"/>
      <c r="F126" s="237"/>
      <c r="G126" s="237"/>
      <c r="H126" s="237"/>
      <c r="I126" s="96">
        <v>82.03</v>
      </c>
      <c r="J126" s="135"/>
    </row>
    <row r="127" spans="1:9" ht="17.25" customHeight="1">
      <c r="A127" s="79" t="s">
        <v>5</v>
      </c>
      <c r="B127" s="201" t="s">
        <v>61</v>
      </c>
      <c r="C127" s="201"/>
      <c r="D127" s="201"/>
      <c r="E127" s="201"/>
      <c r="F127" s="201"/>
      <c r="G127" s="201"/>
      <c r="H127" s="201"/>
      <c r="I127" s="88" t="s">
        <v>85</v>
      </c>
    </row>
    <row r="128" spans="1:9" ht="15.75" customHeight="1">
      <c r="A128" s="261" t="s">
        <v>86</v>
      </c>
      <c r="B128" s="261"/>
      <c r="C128" s="261"/>
      <c r="D128" s="261"/>
      <c r="E128" s="261"/>
      <c r="F128" s="261"/>
      <c r="G128" s="261"/>
      <c r="H128" s="261"/>
      <c r="I128" s="118">
        <f>ROUND(SUM(I125:I127),2)</f>
        <v>205.22</v>
      </c>
    </row>
    <row r="129" spans="1:9" ht="7.5" customHeight="1">
      <c r="A129" s="262"/>
      <c r="B129" s="262"/>
      <c r="C129" s="262"/>
      <c r="D129" s="262"/>
      <c r="E129" s="262"/>
      <c r="F129" s="262"/>
      <c r="G129" s="262"/>
      <c r="H129" s="262"/>
      <c r="I129" s="262"/>
    </row>
    <row r="130" spans="1:9" ht="15.75" customHeight="1">
      <c r="A130" s="263" t="s">
        <v>87</v>
      </c>
      <c r="B130" s="263"/>
      <c r="C130" s="263"/>
      <c r="D130" s="263"/>
      <c r="E130" s="263"/>
      <c r="F130" s="263"/>
      <c r="G130" s="263"/>
      <c r="H130" s="263"/>
      <c r="I130" s="263"/>
    </row>
    <row r="131" spans="1:9" ht="6.75" customHeight="1">
      <c r="A131" s="120"/>
      <c r="B131" s="121"/>
      <c r="C131" s="121"/>
      <c r="D131" s="121"/>
      <c r="E131" s="121"/>
      <c r="F131" s="121"/>
      <c r="G131" s="121"/>
      <c r="H131" s="121"/>
      <c r="I131" s="122"/>
    </row>
    <row r="132" spans="1:9" ht="15.75">
      <c r="A132" s="264" t="s">
        <v>88</v>
      </c>
      <c r="B132" s="264"/>
      <c r="C132" s="264"/>
      <c r="D132" s="264"/>
      <c r="E132" s="264"/>
      <c r="F132" s="264"/>
      <c r="G132" s="264"/>
      <c r="H132" s="264"/>
      <c r="I132" s="264"/>
    </row>
    <row r="133" spans="1:9" ht="30">
      <c r="A133" s="119">
        <v>6</v>
      </c>
      <c r="B133" s="265" t="s">
        <v>89</v>
      </c>
      <c r="C133" s="265"/>
      <c r="D133" s="265"/>
      <c r="E133" s="265"/>
      <c r="F133" s="265"/>
      <c r="G133" s="265"/>
      <c r="H133" s="115" t="s">
        <v>31</v>
      </c>
      <c r="I133" s="123" t="s">
        <v>44</v>
      </c>
    </row>
    <row r="134" spans="1:9" ht="50.25" customHeight="1">
      <c r="A134" s="221" t="s">
        <v>90</v>
      </c>
      <c r="B134" s="221"/>
      <c r="C134" s="221"/>
      <c r="D134" s="221"/>
      <c r="E134" s="221"/>
      <c r="F134" s="221"/>
      <c r="G134" s="221"/>
      <c r="H134" s="79" t="s">
        <v>14</v>
      </c>
      <c r="I134" s="100">
        <f>SUM(I34+I85+I94+I121+I128)</f>
        <v>7836.44</v>
      </c>
    </row>
    <row r="135" spans="1:9" ht="15.75" customHeight="1">
      <c r="A135" s="79" t="s">
        <v>1</v>
      </c>
      <c r="B135" s="266" t="s">
        <v>91</v>
      </c>
      <c r="C135" s="266"/>
      <c r="D135" s="266"/>
      <c r="E135" s="266"/>
      <c r="F135" s="266"/>
      <c r="G135" s="266"/>
      <c r="H135" s="106">
        <v>0.06</v>
      </c>
      <c r="I135" s="100">
        <f>ROUND(H135*I134,2)</f>
        <v>470.19</v>
      </c>
    </row>
    <row r="136" spans="1:9" ht="50.25" customHeight="1">
      <c r="A136" s="221" t="s">
        <v>92</v>
      </c>
      <c r="B136" s="221"/>
      <c r="C136" s="221"/>
      <c r="D136" s="221"/>
      <c r="E136" s="221"/>
      <c r="F136" s="221"/>
      <c r="G136" s="221"/>
      <c r="H136" s="107" t="s">
        <v>14</v>
      </c>
      <c r="I136" s="100">
        <f>SUM(I34+I85+I94+I121+I128+I135)</f>
        <v>8306.63</v>
      </c>
    </row>
    <row r="137" spans="1:9" ht="15.75" customHeight="1">
      <c r="A137" s="79" t="s">
        <v>3</v>
      </c>
      <c r="B137" s="266" t="s">
        <v>93</v>
      </c>
      <c r="C137" s="266"/>
      <c r="D137" s="266"/>
      <c r="E137" s="266"/>
      <c r="F137" s="266"/>
      <c r="G137" s="266"/>
      <c r="H137" s="106">
        <v>0.0679</v>
      </c>
      <c r="I137" s="100">
        <f>ROUND(H137*I136,2)</f>
        <v>564.02</v>
      </c>
    </row>
    <row r="138" spans="1:9" ht="48.75" customHeight="1">
      <c r="A138" s="221" t="s">
        <v>94</v>
      </c>
      <c r="B138" s="221"/>
      <c r="C138" s="221"/>
      <c r="D138" s="221"/>
      <c r="E138" s="221"/>
      <c r="F138" s="221"/>
      <c r="G138" s="221"/>
      <c r="H138" s="107" t="s">
        <v>14</v>
      </c>
      <c r="I138" s="100">
        <f>SUM(I30+I85+I94+I121+I128+I135+I137)</f>
        <v>8717.199999999999</v>
      </c>
    </row>
    <row r="139" spans="1:9" ht="16.5" customHeight="1">
      <c r="A139" s="108" t="s">
        <v>5</v>
      </c>
      <c r="B139" s="267" t="s">
        <v>95</v>
      </c>
      <c r="C139" s="267"/>
      <c r="D139" s="267"/>
      <c r="E139" s="267"/>
      <c r="F139" s="267"/>
      <c r="G139" s="267"/>
      <c r="H139" s="107" t="s">
        <v>14</v>
      </c>
      <c r="I139" s="109" t="s">
        <v>14</v>
      </c>
    </row>
    <row r="140" spans="1:9" ht="12.75">
      <c r="A140" s="79"/>
      <c r="B140" s="205" t="s">
        <v>96</v>
      </c>
      <c r="C140" s="205"/>
      <c r="D140" s="205"/>
      <c r="E140" s="205"/>
      <c r="F140" s="205"/>
      <c r="G140" s="205"/>
      <c r="H140" s="107" t="s">
        <v>14</v>
      </c>
      <c r="I140" s="109" t="s">
        <v>14</v>
      </c>
    </row>
    <row r="141" spans="1:9" ht="22.5" customHeight="1">
      <c r="A141" s="79"/>
      <c r="B141" s="268" t="s">
        <v>179</v>
      </c>
      <c r="C141" s="268"/>
      <c r="D141" s="268"/>
      <c r="E141" s="268"/>
      <c r="F141" s="268"/>
      <c r="G141" s="268"/>
      <c r="H141" s="110">
        <v>0.03</v>
      </c>
      <c r="I141" s="111">
        <f>ROUND(($I$138/(1-$H$150))*H141,2)</f>
        <v>283.18</v>
      </c>
    </row>
    <row r="142" spans="1:9" ht="22.5" customHeight="1">
      <c r="A142" s="79"/>
      <c r="B142" s="268" t="s">
        <v>180</v>
      </c>
      <c r="C142" s="268"/>
      <c r="D142" s="268"/>
      <c r="E142" s="268"/>
      <c r="F142" s="268"/>
      <c r="G142" s="268"/>
      <c r="H142" s="110">
        <v>0.0065</v>
      </c>
      <c r="I142" s="111">
        <f>ROUND(($I$138/(1-$H$150))*H142,2)</f>
        <v>61.36</v>
      </c>
    </row>
    <row r="143" spans="1:9" ht="29.25" customHeight="1">
      <c r="A143" s="79"/>
      <c r="B143" s="221" t="s">
        <v>181</v>
      </c>
      <c r="C143" s="221"/>
      <c r="D143" s="221"/>
      <c r="E143" s="221"/>
      <c r="F143" s="221"/>
      <c r="G143" s="221"/>
      <c r="H143" s="112" t="s">
        <v>14</v>
      </c>
      <c r="I143" s="109" t="s">
        <v>14</v>
      </c>
    </row>
    <row r="144" spans="1:9" ht="29.25" customHeight="1">
      <c r="A144" s="79"/>
      <c r="B144" s="221" t="s">
        <v>182</v>
      </c>
      <c r="C144" s="221"/>
      <c r="D144" s="221"/>
      <c r="E144" s="221"/>
      <c r="F144" s="221"/>
      <c r="G144" s="221"/>
      <c r="H144" s="112" t="s">
        <v>14</v>
      </c>
      <c r="I144" s="109" t="s">
        <v>14</v>
      </c>
    </row>
    <row r="145" spans="1:9" ht="18" customHeight="1">
      <c r="A145" s="79"/>
      <c r="B145" s="269" t="s">
        <v>97</v>
      </c>
      <c r="C145" s="269"/>
      <c r="D145" s="269"/>
      <c r="E145" s="269"/>
      <c r="F145" s="269"/>
      <c r="G145" s="269"/>
      <c r="H145" s="113" t="s">
        <v>14</v>
      </c>
      <c r="I145" s="114" t="s">
        <v>14</v>
      </c>
    </row>
    <row r="146" spans="1:9" ht="18" customHeight="1">
      <c r="A146" s="79"/>
      <c r="B146" s="269" t="s">
        <v>98</v>
      </c>
      <c r="C146" s="269"/>
      <c r="D146" s="269"/>
      <c r="E146" s="269"/>
      <c r="F146" s="269"/>
      <c r="G146" s="269"/>
      <c r="H146" s="113" t="s">
        <v>14</v>
      </c>
      <c r="I146" s="114" t="s">
        <v>14</v>
      </c>
    </row>
    <row r="147" spans="1:9" ht="12.75">
      <c r="A147" s="79"/>
      <c r="B147" s="247" t="s">
        <v>231</v>
      </c>
      <c r="C147" s="247"/>
      <c r="D147" s="247"/>
      <c r="E147" s="247"/>
      <c r="F147" s="247"/>
      <c r="G147" s="247"/>
      <c r="H147" s="110">
        <v>0.04</v>
      </c>
      <c r="I147" s="111">
        <f>ROUND(($I$138/(1-$H$150))*H147,2)</f>
        <v>377.57</v>
      </c>
    </row>
    <row r="148" spans="1:9" ht="15.75" customHeight="1">
      <c r="A148" s="261" t="s">
        <v>69</v>
      </c>
      <c r="B148" s="261"/>
      <c r="C148" s="261"/>
      <c r="D148" s="261"/>
      <c r="E148" s="261"/>
      <c r="F148" s="261"/>
      <c r="G148" s="261"/>
      <c r="H148" s="261"/>
      <c r="I148" s="98">
        <f>SUM(I135+I137+I141+I142+I147)</f>
        <v>1756.32</v>
      </c>
    </row>
    <row r="149" spans="1:9" ht="6.75" customHeight="1">
      <c r="A149" s="270"/>
      <c r="B149" s="270"/>
      <c r="C149" s="270"/>
      <c r="D149" s="270"/>
      <c r="E149" s="270"/>
      <c r="F149" s="270"/>
      <c r="G149" s="270"/>
      <c r="H149" s="270"/>
      <c r="I149" s="270"/>
    </row>
    <row r="150" spans="1:9" ht="15.75" customHeight="1">
      <c r="A150" s="271" t="s">
        <v>99</v>
      </c>
      <c r="B150" s="271"/>
      <c r="C150" s="271"/>
      <c r="D150" s="271"/>
      <c r="E150" s="271"/>
      <c r="F150" s="271"/>
      <c r="G150" s="271"/>
      <c r="H150" s="106">
        <f>SUM(H141:H147)</f>
        <v>0.0765</v>
      </c>
      <c r="I150" s="80">
        <f>SUM(I141:I147)</f>
        <v>722.11</v>
      </c>
    </row>
    <row r="151" spans="1:9" ht="12.75" customHeight="1">
      <c r="A151" s="272" t="s">
        <v>100</v>
      </c>
      <c r="B151" s="272"/>
      <c r="C151" s="273" t="s">
        <v>101</v>
      </c>
      <c r="D151" s="273"/>
      <c r="E151" s="273"/>
      <c r="F151" s="273"/>
      <c r="G151" s="273"/>
      <c r="H151" s="273"/>
      <c r="I151" s="273"/>
    </row>
    <row r="152" spans="1:9" ht="12" customHeight="1">
      <c r="A152" s="272"/>
      <c r="B152" s="272"/>
      <c r="C152" s="274" t="s">
        <v>102</v>
      </c>
      <c r="D152" s="274"/>
      <c r="E152" s="274"/>
      <c r="F152" s="274"/>
      <c r="G152" s="274"/>
      <c r="H152" s="274"/>
      <c r="I152" s="274"/>
    </row>
    <row r="153" spans="1:9" ht="13.5" customHeight="1">
      <c r="A153" s="272"/>
      <c r="B153" s="272"/>
      <c r="C153" s="275" t="s">
        <v>103</v>
      </c>
      <c r="D153" s="275"/>
      <c r="E153" s="275"/>
      <c r="F153" s="275"/>
      <c r="G153" s="275"/>
      <c r="H153" s="275"/>
      <c r="I153" s="275"/>
    </row>
    <row r="154" spans="1:9" ht="6.75" customHeight="1">
      <c r="A154" s="276"/>
      <c r="B154" s="276"/>
      <c r="C154" s="276"/>
      <c r="D154" s="276"/>
      <c r="E154" s="276"/>
      <c r="F154" s="276"/>
      <c r="G154" s="276"/>
      <c r="H154" s="276"/>
      <c r="I154" s="276"/>
    </row>
    <row r="155" spans="1:9" ht="24" customHeight="1">
      <c r="A155" s="277" t="s">
        <v>104</v>
      </c>
      <c r="B155" s="277"/>
      <c r="C155" s="277"/>
      <c r="D155" s="277"/>
      <c r="E155" s="277"/>
      <c r="F155" s="277"/>
      <c r="G155" s="277"/>
      <c r="H155" s="277"/>
      <c r="I155" s="277"/>
    </row>
    <row r="156" spans="1:9" ht="5.25" customHeight="1">
      <c r="A156" s="248"/>
      <c r="B156" s="248"/>
      <c r="C156" s="248"/>
      <c r="D156" s="248"/>
      <c r="E156" s="248"/>
      <c r="F156" s="248"/>
      <c r="G156" s="248"/>
      <c r="H156" s="248"/>
      <c r="I156" s="248"/>
    </row>
    <row r="157" spans="1:9" ht="27.75" customHeight="1">
      <c r="A157" s="279" t="s">
        <v>132</v>
      </c>
      <c r="B157" s="279"/>
      <c r="C157" s="279"/>
      <c r="D157" s="279"/>
      <c r="E157" s="279"/>
      <c r="F157" s="279"/>
      <c r="G157" s="279"/>
      <c r="H157" s="279"/>
      <c r="I157" s="279"/>
    </row>
    <row r="158" spans="1:9" ht="15" customHeight="1">
      <c r="A158" s="182" t="s">
        <v>105</v>
      </c>
      <c r="B158" s="182"/>
      <c r="C158" s="182"/>
      <c r="D158" s="182"/>
      <c r="E158" s="182"/>
      <c r="F158" s="182"/>
      <c r="G158" s="182"/>
      <c r="H158" s="182"/>
      <c r="I158" s="5" t="s">
        <v>40</v>
      </c>
    </row>
    <row r="159" spans="1:11" ht="15" customHeight="1">
      <c r="A159" s="58" t="s">
        <v>1</v>
      </c>
      <c r="B159" s="180" t="s">
        <v>106</v>
      </c>
      <c r="C159" s="180"/>
      <c r="D159" s="180"/>
      <c r="E159" s="180"/>
      <c r="F159" s="180"/>
      <c r="G159" s="180"/>
      <c r="H159" s="180"/>
      <c r="I159" s="42">
        <f>I34</f>
        <v>4054.49</v>
      </c>
      <c r="K159" s="125"/>
    </row>
    <row r="160" spans="1:9" ht="15" customHeight="1">
      <c r="A160" s="58" t="s">
        <v>3</v>
      </c>
      <c r="B160" s="180" t="s">
        <v>107</v>
      </c>
      <c r="C160" s="180"/>
      <c r="D160" s="180"/>
      <c r="E160" s="180"/>
      <c r="F160" s="180"/>
      <c r="G160" s="180"/>
      <c r="H160" s="180"/>
      <c r="I160" s="42">
        <f>I85</f>
        <v>2685.0299999999997</v>
      </c>
    </row>
    <row r="161" spans="1:9" ht="15" customHeight="1">
      <c r="A161" s="58" t="s">
        <v>5</v>
      </c>
      <c r="B161" s="180" t="s">
        <v>108</v>
      </c>
      <c r="C161" s="180"/>
      <c r="D161" s="180"/>
      <c r="E161" s="180"/>
      <c r="F161" s="180"/>
      <c r="G161" s="180"/>
      <c r="H161" s="180"/>
      <c r="I161" s="42">
        <f>I94</f>
        <v>280.76</v>
      </c>
    </row>
    <row r="162" spans="1:9" ht="15" customHeight="1">
      <c r="A162" s="58" t="s">
        <v>7</v>
      </c>
      <c r="B162" s="180" t="s">
        <v>109</v>
      </c>
      <c r="C162" s="180"/>
      <c r="D162" s="180"/>
      <c r="E162" s="180"/>
      <c r="F162" s="180"/>
      <c r="G162" s="180"/>
      <c r="H162" s="180"/>
      <c r="I162" s="42">
        <f>I121</f>
        <v>610.9399999999999</v>
      </c>
    </row>
    <row r="163" spans="1:9" ht="15" customHeight="1">
      <c r="A163" s="58" t="s">
        <v>33</v>
      </c>
      <c r="B163" s="180" t="s">
        <v>110</v>
      </c>
      <c r="C163" s="180"/>
      <c r="D163" s="180"/>
      <c r="E163" s="180"/>
      <c r="F163" s="180"/>
      <c r="G163" s="180"/>
      <c r="H163" s="180"/>
      <c r="I163" s="42">
        <f>I128</f>
        <v>205.22</v>
      </c>
    </row>
    <row r="164" spans="1:9" ht="15" customHeight="1">
      <c r="A164" s="282" t="s">
        <v>111</v>
      </c>
      <c r="B164" s="282"/>
      <c r="C164" s="282"/>
      <c r="D164" s="282"/>
      <c r="E164" s="282"/>
      <c r="F164" s="282"/>
      <c r="G164" s="282"/>
      <c r="H164" s="282"/>
      <c r="I164" s="42">
        <f>SUM(I159:I163)</f>
        <v>7836.44</v>
      </c>
    </row>
    <row r="165" spans="1:9" ht="15" customHeight="1">
      <c r="A165" s="59" t="s">
        <v>34</v>
      </c>
      <c r="B165" s="180" t="s">
        <v>88</v>
      </c>
      <c r="C165" s="180"/>
      <c r="D165" s="180"/>
      <c r="E165" s="180"/>
      <c r="F165" s="180"/>
      <c r="G165" s="180"/>
      <c r="H165" s="180"/>
      <c r="I165" s="52">
        <f>I148</f>
        <v>1756.32</v>
      </c>
    </row>
    <row r="166" spans="1:9" ht="15" customHeight="1">
      <c r="A166" s="282" t="s">
        <v>112</v>
      </c>
      <c r="B166" s="282"/>
      <c r="C166" s="282"/>
      <c r="D166" s="282"/>
      <c r="E166" s="282"/>
      <c r="F166" s="282"/>
      <c r="G166" s="282"/>
      <c r="H166" s="282"/>
      <c r="I166" s="42">
        <f>I164+I165</f>
        <v>9592.76</v>
      </c>
    </row>
    <row r="167" spans="1:9" ht="36.75" customHeight="1">
      <c r="A167" s="278" t="s">
        <v>113</v>
      </c>
      <c r="B167" s="278"/>
      <c r="C167" s="278"/>
      <c r="D167" s="278"/>
      <c r="E167" s="278"/>
      <c r="F167" s="278"/>
      <c r="G167" s="278"/>
      <c r="H167" s="278"/>
      <c r="I167" s="278"/>
    </row>
    <row r="168" spans="1:9" ht="7.5" customHeight="1">
      <c r="A168" s="280"/>
      <c r="B168" s="280"/>
      <c r="C168" s="280"/>
      <c r="D168" s="280"/>
      <c r="E168" s="280"/>
      <c r="F168" s="280"/>
      <c r="G168" s="280"/>
      <c r="H168" s="280"/>
      <c r="I168" s="280"/>
    </row>
    <row r="169" spans="1:13" ht="15" customHeight="1" hidden="1">
      <c r="A169" s="65"/>
      <c r="B169" s="65"/>
      <c r="C169" s="65"/>
      <c r="D169" s="65"/>
      <c r="E169" s="65"/>
      <c r="F169" s="65"/>
      <c r="G169" s="65"/>
      <c r="H169" s="66"/>
      <c r="I169" s="67"/>
      <c r="J169" s="134"/>
      <c r="K169" s="60"/>
      <c r="L169" s="61"/>
      <c r="M169" s="62"/>
    </row>
    <row r="170" spans="1:9" ht="31.5" customHeight="1">
      <c r="A170" s="281" t="s">
        <v>114</v>
      </c>
      <c r="B170" s="281"/>
      <c r="C170" s="281"/>
      <c r="D170" s="281"/>
      <c r="E170" s="281"/>
      <c r="F170" s="281"/>
      <c r="G170" s="281"/>
      <c r="H170" s="281"/>
      <c r="I170" s="281"/>
    </row>
    <row r="171" spans="1:256" ht="45" customHeight="1">
      <c r="A171" s="190" t="s">
        <v>115</v>
      </c>
      <c r="B171" s="190"/>
      <c r="C171" s="190"/>
      <c r="D171" s="190"/>
      <c r="E171" s="190" t="s">
        <v>116</v>
      </c>
      <c r="F171" s="190"/>
      <c r="G171" s="5" t="s">
        <v>117</v>
      </c>
      <c r="H171" s="190" t="s">
        <v>118</v>
      </c>
      <c r="I171" s="190"/>
      <c r="J171" s="130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42.75" customHeight="1">
      <c r="A172" s="286" t="s">
        <v>119</v>
      </c>
      <c r="B172" s="286"/>
      <c r="C172" s="286"/>
      <c r="D172" s="286"/>
      <c r="E172" s="287">
        <f>I166</f>
        <v>9592.76</v>
      </c>
      <c r="F172" s="287"/>
      <c r="G172" s="63">
        <f>H13</f>
        <v>1</v>
      </c>
      <c r="H172" s="288">
        <f>E172*G172</f>
        <v>9592.76</v>
      </c>
      <c r="I172" s="288"/>
      <c r="J172" s="130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41.25" customHeight="1">
      <c r="A173" s="289" t="s">
        <v>120</v>
      </c>
      <c r="B173" s="289"/>
      <c r="C173" s="289"/>
      <c r="D173" s="289"/>
      <c r="E173" s="290">
        <f>'Planilha Noturna'!I168</f>
        <v>10758.15</v>
      </c>
      <c r="F173" s="290"/>
      <c r="G173" s="64">
        <v>1</v>
      </c>
      <c r="H173" s="291">
        <f>E173*G173</f>
        <v>10758.15</v>
      </c>
      <c r="I173" s="291"/>
      <c r="J173" s="130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0.25" customHeight="1">
      <c r="A174" s="283" t="s">
        <v>121</v>
      </c>
      <c r="B174" s="283"/>
      <c r="C174" s="283"/>
      <c r="D174" s="283"/>
      <c r="E174" s="283"/>
      <c r="F174" s="283"/>
      <c r="G174" s="127">
        <f>SUM(G172:G173)</f>
        <v>2</v>
      </c>
      <c r="H174" s="284">
        <f>SUM(H172:I173)</f>
        <v>20350.91</v>
      </c>
      <c r="I174" s="284"/>
      <c r="J174" s="130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6.75" customHeight="1">
      <c r="A175" s="285"/>
      <c r="B175" s="285"/>
      <c r="C175" s="285"/>
      <c r="D175" s="285"/>
      <c r="E175" s="285"/>
      <c r="F175" s="285"/>
      <c r="G175" s="285"/>
      <c r="H175" s="285"/>
      <c r="I175" s="285"/>
      <c r="J175" s="130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7.25" customHeight="1">
      <c r="A176" s="292" t="s">
        <v>122</v>
      </c>
      <c r="B176" s="292"/>
      <c r="C176" s="292"/>
      <c r="D176" s="292"/>
      <c r="E176" s="292"/>
      <c r="F176" s="292"/>
      <c r="G176" s="292"/>
      <c r="H176" s="292"/>
      <c r="I176" s="292"/>
      <c r="J176" s="130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9" ht="6.75" customHeight="1">
      <c r="A177" s="293"/>
      <c r="B177" s="293"/>
      <c r="C177" s="293"/>
      <c r="D177" s="293"/>
      <c r="E177" s="293"/>
      <c r="F177" s="293"/>
      <c r="G177" s="293"/>
      <c r="H177" s="293"/>
      <c r="I177" s="293"/>
    </row>
    <row r="178" spans="1:9" ht="18.75" customHeight="1">
      <c r="A178" s="294" t="s">
        <v>123</v>
      </c>
      <c r="B178" s="294"/>
      <c r="C178" s="294"/>
      <c r="D178" s="294"/>
      <c r="E178" s="294"/>
      <c r="F178" s="294"/>
      <c r="G178" s="295">
        <f>$H$174</f>
        <v>20350.91</v>
      </c>
      <c r="H178" s="295"/>
      <c r="I178" s="295"/>
    </row>
    <row r="179" spans="1:9" ht="8.25" customHeight="1">
      <c r="A179" s="296"/>
      <c r="B179" s="296"/>
      <c r="C179" s="296"/>
      <c r="D179" s="296"/>
      <c r="E179" s="296"/>
      <c r="F179" s="296"/>
      <c r="G179" s="296"/>
      <c r="H179" s="296"/>
      <c r="I179" s="296"/>
    </row>
    <row r="180" spans="1:9" ht="19.5" customHeight="1">
      <c r="A180" s="297" t="s">
        <v>124</v>
      </c>
      <c r="B180" s="297"/>
      <c r="C180" s="297"/>
      <c r="D180" s="297"/>
      <c r="E180" s="297"/>
      <c r="F180" s="297"/>
      <c r="G180" s="298">
        <f>$H$10</f>
        <v>12</v>
      </c>
      <c r="H180" s="298"/>
      <c r="I180" s="298"/>
    </row>
    <row r="181" spans="1:9" ht="8.25" customHeight="1">
      <c r="A181" s="302"/>
      <c r="B181" s="302"/>
      <c r="C181" s="302"/>
      <c r="D181" s="302"/>
      <c r="E181" s="302"/>
      <c r="F181" s="302"/>
      <c r="G181" s="302"/>
      <c r="H181" s="302"/>
      <c r="I181" s="302"/>
    </row>
    <row r="182" spans="1:9" ht="31.5" customHeight="1">
      <c r="A182" s="303" t="s">
        <v>220</v>
      </c>
      <c r="B182" s="303"/>
      <c r="C182" s="303"/>
      <c r="D182" s="303"/>
      <c r="E182" s="303"/>
      <c r="F182" s="303"/>
      <c r="G182" s="304">
        <f>ROUND(G178*G180,2)</f>
        <v>244210.92</v>
      </c>
      <c r="H182" s="304"/>
      <c r="I182" s="304"/>
    </row>
    <row r="183" spans="1:9" ht="8.25" customHeight="1">
      <c r="A183" s="305"/>
      <c r="B183" s="305"/>
      <c r="C183" s="305"/>
      <c r="D183" s="305"/>
      <c r="E183" s="305"/>
      <c r="F183" s="305"/>
      <c r="G183" s="305"/>
      <c r="H183" s="305"/>
      <c r="I183" s="305"/>
    </row>
    <row r="184" spans="1:9" ht="29.25" customHeight="1">
      <c r="A184" s="306" t="s">
        <v>126</v>
      </c>
      <c r="B184" s="306"/>
      <c r="C184" s="306"/>
      <c r="D184" s="306"/>
      <c r="E184" s="306"/>
      <c r="F184" s="306"/>
      <c r="G184" s="306"/>
      <c r="H184" s="306"/>
      <c r="I184" s="306"/>
    </row>
    <row r="185" spans="1:9" ht="12" customHeight="1">
      <c r="A185" s="307" t="s">
        <v>127</v>
      </c>
      <c r="B185" s="307"/>
      <c r="C185" s="307"/>
      <c r="D185" s="192" t="s">
        <v>128</v>
      </c>
      <c r="E185" s="192"/>
      <c r="F185" s="192"/>
      <c r="G185" s="192"/>
      <c r="H185" s="192"/>
      <c r="I185" s="192"/>
    </row>
    <row r="186" spans="1:9" ht="12">
      <c r="A186" s="307"/>
      <c r="B186" s="307"/>
      <c r="C186" s="307"/>
      <c r="D186" s="192"/>
      <c r="E186" s="192"/>
      <c r="F186" s="192"/>
      <c r="G186" s="192"/>
      <c r="H186" s="192"/>
      <c r="I186" s="192"/>
    </row>
    <row r="187" spans="1:9" ht="14.25" customHeight="1">
      <c r="A187" s="300" t="s">
        <v>129</v>
      </c>
      <c r="B187" s="300"/>
      <c r="C187" s="300"/>
      <c r="D187" s="301">
        <v>2</v>
      </c>
      <c r="E187" s="301"/>
      <c r="F187" s="301"/>
      <c r="G187" s="301"/>
      <c r="H187" s="301"/>
      <c r="I187" s="301"/>
    </row>
    <row r="188" spans="1:9" ht="15" customHeight="1">
      <c r="A188" s="309"/>
      <c r="B188" s="309"/>
      <c r="C188" s="309"/>
      <c r="D188" s="309"/>
      <c r="E188" s="309"/>
      <c r="F188" s="309"/>
      <c r="G188" s="309"/>
      <c r="H188" s="309"/>
      <c r="I188" s="309"/>
    </row>
    <row r="189" spans="1:9" ht="12" hidden="1">
      <c r="A189" s="309"/>
      <c r="B189" s="309"/>
      <c r="C189" s="309"/>
      <c r="D189" s="309"/>
      <c r="E189" s="309"/>
      <c r="F189" s="309"/>
      <c r="G189" s="309"/>
      <c r="H189" s="309"/>
      <c r="I189" s="309"/>
    </row>
    <row r="190" spans="1:9" ht="27" customHeight="1">
      <c r="A190" s="310" t="s">
        <v>221</v>
      </c>
      <c r="B190" s="310"/>
      <c r="C190" s="310"/>
      <c r="D190" s="310"/>
      <c r="E190" s="310"/>
      <c r="F190" s="310"/>
      <c r="G190" s="310"/>
      <c r="H190" s="310"/>
      <c r="I190" s="310"/>
    </row>
    <row r="191" spans="1:9" ht="12.75" customHeight="1">
      <c r="A191" s="192" t="s">
        <v>130</v>
      </c>
      <c r="B191" s="192"/>
      <c r="C191" s="192"/>
      <c r="D191" s="192"/>
      <c r="E191" s="192"/>
      <c r="F191" s="192"/>
      <c r="G191" s="192"/>
      <c r="H191" s="192" t="s">
        <v>131</v>
      </c>
      <c r="I191" s="192"/>
    </row>
    <row r="192" spans="1:9" ht="15" customHeight="1">
      <c r="A192" s="299"/>
      <c r="B192" s="299"/>
      <c r="C192" s="299"/>
      <c r="D192" s="299"/>
      <c r="E192" s="299"/>
      <c r="F192" s="299"/>
      <c r="G192" s="299"/>
      <c r="H192" s="192"/>
      <c r="I192" s="192"/>
    </row>
    <row r="193" spans="1:9" ht="12.75" customHeight="1">
      <c r="A193" s="300"/>
      <c r="B193" s="300"/>
      <c r="C193" s="300"/>
      <c r="D193" s="300"/>
      <c r="E193" s="300"/>
      <c r="F193" s="300"/>
      <c r="G193" s="300"/>
      <c r="H193" s="192"/>
      <c r="I193" s="192"/>
    </row>
    <row r="194" spans="1:9" ht="12.75" customHeight="1">
      <c r="A194" s="308"/>
      <c r="B194" s="308"/>
      <c r="C194" s="308"/>
      <c r="D194" s="308"/>
      <c r="E194" s="308"/>
      <c r="F194" s="308"/>
      <c r="G194" s="308"/>
      <c r="H194" s="192"/>
      <c r="I194" s="192"/>
    </row>
    <row r="204" ht="12.75" customHeight="1"/>
  </sheetData>
  <sheetProtection/>
  <mergeCells count="255">
    <mergeCell ref="A193:G193"/>
    <mergeCell ref="H193:I193"/>
    <mergeCell ref="A194:G194"/>
    <mergeCell ref="H194:I194"/>
    <mergeCell ref="A3:I3"/>
    <mergeCell ref="A4:I4"/>
    <mergeCell ref="A188:I189"/>
    <mergeCell ref="A190:I190"/>
    <mergeCell ref="A191:G191"/>
    <mergeCell ref="H191:I191"/>
    <mergeCell ref="A192:G192"/>
    <mergeCell ref="H192:I192"/>
    <mergeCell ref="A187:C187"/>
    <mergeCell ref="D187:I187"/>
    <mergeCell ref="A181:I181"/>
    <mergeCell ref="A182:F182"/>
    <mergeCell ref="G182:I182"/>
    <mergeCell ref="A183:I183"/>
    <mergeCell ref="A184:I184"/>
    <mergeCell ref="A185:C186"/>
    <mergeCell ref="D185:I186"/>
    <mergeCell ref="A176:I176"/>
    <mergeCell ref="A177:I177"/>
    <mergeCell ref="A178:F178"/>
    <mergeCell ref="G178:I178"/>
    <mergeCell ref="A179:I179"/>
    <mergeCell ref="A180:F180"/>
    <mergeCell ref="G180:I180"/>
    <mergeCell ref="A174:F174"/>
    <mergeCell ref="H174:I174"/>
    <mergeCell ref="A175:I175"/>
    <mergeCell ref="A172:D172"/>
    <mergeCell ref="E172:F172"/>
    <mergeCell ref="H172:I172"/>
    <mergeCell ref="A173:D173"/>
    <mergeCell ref="E173:F173"/>
    <mergeCell ref="H173:I173"/>
    <mergeCell ref="A168:I168"/>
    <mergeCell ref="A170:I170"/>
    <mergeCell ref="A171:D171"/>
    <mergeCell ref="E171:F171"/>
    <mergeCell ref="H171:I171"/>
    <mergeCell ref="B162:H162"/>
    <mergeCell ref="B163:H163"/>
    <mergeCell ref="A164:H164"/>
    <mergeCell ref="B165:H165"/>
    <mergeCell ref="A166:H166"/>
    <mergeCell ref="A167:I167"/>
    <mergeCell ref="A156:I156"/>
    <mergeCell ref="A157:I157"/>
    <mergeCell ref="A158:H158"/>
    <mergeCell ref="B159:H159"/>
    <mergeCell ref="B160:H160"/>
    <mergeCell ref="B161:H161"/>
    <mergeCell ref="A151:B153"/>
    <mergeCell ref="C151:I151"/>
    <mergeCell ref="C152:I152"/>
    <mergeCell ref="C153:I153"/>
    <mergeCell ref="A154:I154"/>
    <mergeCell ref="A155:I155"/>
    <mergeCell ref="B145:G145"/>
    <mergeCell ref="B146:G146"/>
    <mergeCell ref="B147:G147"/>
    <mergeCell ref="A148:H148"/>
    <mergeCell ref="A149:I149"/>
    <mergeCell ref="A150:G150"/>
    <mergeCell ref="B139:G139"/>
    <mergeCell ref="B140:G140"/>
    <mergeCell ref="B141:G141"/>
    <mergeCell ref="B142:G142"/>
    <mergeCell ref="B143:G143"/>
    <mergeCell ref="B144:G144"/>
    <mergeCell ref="B133:G133"/>
    <mergeCell ref="A134:G134"/>
    <mergeCell ref="B135:G135"/>
    <mergeCell ref="A136:G136"/>
    <mergeCell ref="B137:G137"/>
    <mergeCell ref="A138:G138"/>
    <mergeCell ref="B126:H126"/>
    <mergeCell ref="B127:H127"/>
    <mergeCell ref="A128:H128"/>
    <mergeCell ref="A129:I129"/>
    <mergeCell ref="A130:I130"/>
    <mergeCell ref="A132:I132"/>
    <mergeCell ref="B120:H120"/>
    <mergeCell ref="A121:H121"/>
    <mergeCell ref="A122:I122"/>
    <mergeCell ref="A123:I123"/>
    <mergeCell ref="B124:H124"/>
    <mergeCell ref="B125:H125"/>
    <mergeCell ref="B114:H114"/>
    <mergeCell ref="A115:H115"/>
    <mergeCell ref="A116:I116"/>
    <mergeCell ref="A117:I117"/>
    <mergeCell ref="B118:H118"/>
    <mergeCell ref="B119:H119"/>
    <mergeCell ref="B108:H108"/>
    <mergeCell ref="B109:H109"/>
    <mergeCell ref="A110:H110"/>
    <mergeCell ref="A111:I111"/>
    <mergeCell ref="A112:I112"/>
    <mergeCell ref="B113:H113"/>
    <mergeCell ref="A102:I102"/>
    <mergeCell ref="B103:H103"/>
    <mergeCell ref="B104:H104"/>
    <mergeCell ref="B105:H105"/>
    <mergeCell ref="B106:H106"/>
    <mergeCell ref="B107:H107"/>
    <mergeCell ref="A95:I95"/>
    <mergeCell ref="A96:I96"/>
    <mergeCell ref="A97:I97"/>
    <mergeCell ref="A98:I98"/>
    <mergeCell ref="A99:I99"/>
    <mergeCell ref="A101:I101"/>
    <mergeCell ref="B89:H89"/>
    <mergeCell ref="B90:H90"/>
    <mergeCell ref="B91:H91"/>
    <mergeCell ref="B92:H92"/>
    <mergeCell ref="B93:G93"/>
    <mergeCell ref="A94:H94"/>
    <mergeCell ref="B83:H83"/>
    <mergeCell ref="B84:H84"/>
    <mergeCell ref="A85:H85"/>
    <mergeCell ref="A86:I86"/>
    <mergeCell ref="A87:I87"/>
    <mergeCell ref="B88:H88"/>
    <mergeCell ref="A77:I77"/>
    <mergeCell ref="A78:I78"/>
    <mergeCell ref="A79:I79"/>
    <mergeCell ref="A80:I80"/>
    <mergeCell ref="B81:H81"/>
    <mergeCell ref="B82:H82"/>
    <mergeCell ref="B71:G71"/>
    <mergeCell ref="B72:H72"/>
    <mergeCell ref="B73:H73"/>
    <mergeCell ref="B74:H74"/>
    <mergeCell ref="B75:H75"/>
    <mergeCell ref="B76:H76"/>
    <mergeCell ref="B65:G65"/>
    <mergeCell ref="B66:G66"/>
    <mergeCell ref="B67:G67"/>
    <mergeCell ref="B68:H68"/>
    <mergeCell ref="B69:G69"/>
    <mergeCell ref="B70:G70"/>
    <mergeCell ref="A59:I59"/>
    <mergeCell ref="A60:I60"/>
    <mergeCell ref="A61:I61"/>
    <mergeCell ref="B62:H62"/>
    <mergeCell ref="B63:H63"/>
    <mergeCell ref="B64:G64"/>
    <mergeCell ref="B52:G52"/>
    <mergeCell ref="B53:G53"/>
    <mergeCell ref="B54:G54"/>
    <mergeCell ref="B55:G55"/>
    <mergeCell ref="B56:G56"/>
    <mergeCell ref="A57:G57"/>
    <mergeCell ref="A46:I46"/>
    <mergeCell ref="A47:I47"/>
    <mergeCell ref="B48:G48"/>
    <mergeCell ref="B49:G49"/>
    <mergeCell ref="B50:G50"/>
    <mergeCell ref="B51:C51"/>
    <mergeCell ref="B40:H40"/>
    <mergeCell ref="B41:G41"/>
    <mergeCell ref="B42:G42"/>
    <mergeCell ref="A43:H43"/>
    <mergeCell ref="A44:I44"/>
    <mergeCell ref="A45:I45"/>
    <mergeCell ref="A34:H34"/>
    <mergeCell ref="A35:I35"/>
    <mergeCell ref="A36:I36"/>
    <mergeCell ref="A37:I37"/>
    <mergeCell ref="A38:I38"/>
    <mergeCell ref="A39:I39"/>
    <mergeCell ref="B29:G29"/>
    <mergeCell ref="A30:H30"/>
    <mergeCell ref="B31:H31"/>
    <mergeCell ref="A32:H32"/>
    <mergeCell ref="A33:I33"/>
    <mergeCell ref="A26:I26"/>
    <mergeCell ref="B27:G27"/>
    <mergeCell ref="B28:H28"/>
    <mergeCell ref="B25:G25"/>
    <mergeCell ref="H25:I2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IO17:IV17"/>
    <mergeCell ref="B18:G18"/>
    <mergeCell ref="H18:I18"/>
    <mergeCell ref="FM17:FT17"/>
    <mergeCell ref="FU17:GB17"/>
    <mergeCell ref="GC17:GJ17"/>
    <mergeCell ref="EW17:FD17"/>
    <mergeCell ref="FE17:FL17"/>
    <mergeCell ref="HI17:HP17"/>
    <mergeCell ref="HQ17:HX17"/>
    <mergeCell ref="HY17:IF17"/>
    <mergeCell ref="IG17:IN17"/>
    <mergeCell ref="CS17:CZ17"/>
    <mergeCell ref="DA17:DH17"/>
    <mergeCell ref="DI17:DP17"/>
    <mergeCell ref="GK17:GR17"/>
    <mergeCell ref="GS17:GZ17"/>
    <mergeCell ref="HA17:HH17"/>
    <mergeCell ref="DQ17:DX17"/>
    <mergeCell ref="DY17:EF17"/>
    <mergeCell ref="EG17:EN17"/>
    <mergeCell ref="EO17:EV17"/>
    <mergeCell ref="AW17:BD17"/>
    <mergeCell ref="BE17:BL17"/>
    <mergeCell ref="BM17:BT17"/>
    <mergeCell ref="BU17:CB17"/>
    <mergeCell ref="CC17:CJ17"/>
    <mergeCell ref="CK17:CR17"/>
    <mergeCell ref="A17:I17"/>
    <mergeCell ref="J17:P17"/>
    <mergeCell ref="Q17:X17"/>
    <mergeCell ref="Y17:AF17"/>
    <mergeCell ref="AG17:AN17"/>
    <mergeCell ref="AO17:AV17"/>
    <mergeCell ref="A14:E14"/>
    <mergeCell ref="F14:G14"/>
    <mergeCell ref="H14:I14"/>
    <mergeCell ref="A15:G15"/>
    <mergeCell ref="H15:I15"/>
    <mergeCell ref="A16:I16"/>
    <mergeCell ref="A11:I11"/>
    <mergeCell ref="A12:E12"/>
    <mergeCell ref="F12:G12"/>
    <mergeCell ref="H12:I12"/>
    <mergeCell ref="A13:E13"/>
    <mergeCell ref="F13:G13"/>
    <mergeCell ref="H13:I13"/>
    <mergeCell ref="B8:G8"/>
    <mergeCell ref="H8:I8"/>
    <mergeCell ref="B9:G9"/>
    <mergeCell ref="H9:I9"/>
    <mergeCell ref="B10:G10"/>
    <mergeCell ref="H10:I10"/>
    <mergeCell ref="A1:I1"/>
    <mergeCell ref="A2:I2"/>
    <mergeCell ref="A5:I5"/>
    <mergeCell ref="A6:I6"/>
    <mergeCell ref="B7:G7"/>
    <mergeCell ref="H7:I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6"/>
  <sheetViews>
    <sheetView tabSelected="1" zoomScaleSheetLayoutView="100" zoomScalePageLayoutView="0" workbookViewId="0" topLeftCell="B176">
      <selection activeCell="J130" sqref="J130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1.28125" style="1" customWidth="1"/>
    <col min="9" max="9" width="14.57421875" style="2" customWidth="1"/>
    <col min="10" max="10" width="45.421875" style="128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1" spans="1:9" ht="32.25" customHeight="1">
      <c r="A1" s="177" t="s">
        <v>229</v>
      </c>
      <c r="B1" s="177"/>
      <c r="C1" s="177"/>
      <c r="D1" s="177"/>
      <c r="E1" s="177"/>
      <c r="F1" s="177"/>
      <c r="G1" s="177"/>
      <c r="H1" s="177"/>
      <c r="I1" s="177"/>
    </row>
    <row r="2" spans="1:9" ht="41.25" customHeight="1">
      <c r="A2" s="178" t="s">
        <v>139</v>
      </c>
      <c r="B2" s="178"/>
      <c r="C2" s="178"/>
      <c r="D2" s="178"/>
      <c r="E2" s="178"/>
      <c r="F2" s="178"/>
      <c r="G2" s="178"/>
      <c r="H2" s="178"/>
      <c r="I2" s="178"/>
    </row>
    <row r="3" spans="1:9" ht="15.75" customHeight="1">
      <c r="A3" s="179" t="s">
        <v>140</v>
      </c>
      <c r="B3" s="180"/>
      <c r="C3" s="180"/>
      <c r="D3" s="180"/>
      <c r="E3" s="180"/>
      <c r="F3" s="180"/>
      <c r="G3" s="180"/>
      <c r="H3" s="180"/>
      <c r="I3" s="181"/>
    </row>
    <row r="4" spans="1:9" ht="15.75" customHeight="1">
      <c r="A4" s="179" t="s">
        <v>141</v>
      </c>
      <c r="B4" s="180"/>
      <c r="C4" s="180"/>
      <c r="D4" s="180"/>
      <c r="E4" s="180"/>
      <c r="F4" s="180"/>
      <c r="G4" s="180"/>
      <c r="H4" s="180"/>
      <c r="I4" s="181"/>
    </row>
    <row r="5" spans="1:9" ht="14.25" customHeight="1">
      <c r="A5" s="179" t="s">
        <v>136</v>
      </c>
      <c r="B5" s="180"/>
      <c r="C5" s="180"/>
      <c r="D5" s="180"/>
      <c r="E5" s="180"/>
      <c r="F5" s="180"/>
      <c r="G5" s="180"/>
      <c r="H5" s="180"/>
      <c r="I5" s="181"/>
    </row>
    <row r="6" spans="1:9" ht="20.25" customHeight="1">
      <c r="A6" s="182" t="s">
        <v>0</v>
      </c>
      <c r="B6" s="182"/>
      <c r="C6" s="182"/>
      <c r="D6" s="182"/>
      <c r="E6" s="182"/>
      <c r="F6" s="182"/>
      <c r="G6" s="182"/>
      <c r="H6" s="182"/>
      <c r="I6" s="182"/>
    </row>
    <row r="7" spans="1:9" ht="15.75" customHeight="1">
      <c r="A7" s="3" t="s">
        <v>1</v>
      </c>
      <c r="B7" s="183" t="s">
        <v>2</v>
      </c>
      <c r="C7" s="183"/>
      <c r="D7" s="183"/>
      <c r="E7" s="183"/>
      <c r="F7" s="183"/>
      <c r="G7" s="183"/>
      <c r="H7" s="184"/>
      <c r="I7" s="184"/>
    </row>
    <row r="8" spans="1:9" ht="12.75">
      <c r="A8" s="3" t="s">
        <v>3</v>
      </c>
      <c r="B8" s="183" t="s">
        <v>4</v>
      </c>
      <c r="C8" s="183"/>
      <c r="D8" s="183"/>
      <c r="E8" s="183"/>
      <c r="F8" s="183"/>
      <c r="G8" s="183"/>
      <c r="H8" s="185" t="s">
        <v>137</v>
      </c>
      <c r="I8" s="185"/>
    </row>
    <row r="9" spans="1:9" ht="161.25" customHeight="1">
      <c r="A9" s="3" t="s">
        <v>5</v>
      </c>
      <c r="B9" s="183" t="s">
        <v>6</v>
      </c>
      <c r="C9" s="183"/>
      <c r="D9" s="183"/>
      <c r="E9" s="183"/>
      <c r="F9" s="183"/>
      <c r="G9" s="183"/>
      <c r="H9" s="186" t="s">
        <v>222</v>
      </c>
      <c r="I9" s="187"/>
    </row>
    <row r="10" spans="1:11" ht="15.75" customHeight="1">
      <c r="A10" s="3" t="s">
        <v>7</v>
      </c>
      <c r="B10" s="183" t="s">
        <v>8</v>
      </c>
      <c r="C10" s="183"/>
      <c r="D10" s="183"/>
      <c r="E10" s="183"/>
      <c r="F10" s="183"/>
      <c r="G10" s="183"/>
      <c r="H10" s="185">
        <v>12</v>
      </c>
      <c r="I10" s="185"/>
      <c r="K10" s="4"/>
    </row>
    <row r="11" spans="1:9" ht="21" customHeight="1">
      <c r="A11" s="188" t="s">
        <v>9</v>
      </c>
      <c r="B11" s="188"/>
      <c r="C11" s="188"/>
      <c r="D11" s="188"/>
      <c r="E11" s="188"/>
      <c r="F11" s="188"/>
      <c r="G11" s="188"/>
      <c r="H11" s="188"/>
      <c r="I11" s="188"/>
    </row>
    <row r="12" spans="1:9" ht="50.25" customHeight="1">
      <c r="A12" s="189" t="s">
        <v>10</v>
      </c>
      <c r="B12" s="189"/>
      <c r="C12" s="189"/>
      <c r="D12" s="189"/>
      <c r="E12" s="189"/>
      <c r="F12" s="190" t="s">
        <v>11</v>
      </c>
      <c r="G12" s="190"/>
      <c r="H12" s="191" t="s">
        <v>12</v>
      </c>
      <c r="I12" s="191"/>
    </row>
    <row r="13" spans="1:9" ht="12.75" customHeight="1">
      <c r="A13" s="194" t="s">
        <v>16</v>
      </c>
      <c r="B13" s="194"/>
      <c r="C13" s="194"/>
      <c r="D13" s="194"/>
      <c r="E13" s="194"/>
      <c r="F13" s="190" t="s">
        <v>13</v>
      </c>
      <c r="G13" s="190"/>
      <c r="H13" s="327">
        <v>1</v>
      </c>
      <c r="I13" s="327"/>
    </row>
    <row r="14" spans="1:9" ht="12.75" customHeight="1">
      <c r="A14" s="196" t="s">
        <v>17</v>
      </c>
      <c r="B14" s="196"/>
      <c r="C14" s="196"/>
      <c r="D14" s="196"/>
      <c r="E14" s="196"/>
      <c r="F14" s="196"/>
      <c r="G14" s="196"/>
      <c r="H14" s="197">
        <f>SUM(H13:H13)</f>
        <v>1</v>
      </c>
      <c r="I14" s="197"/>
    </row>
    <row r="15" spans="1:12" ht="51.75" customHeight="1">
      <c r="A15" s="198" t="s">
        <v>18</v>
      </c>
      <c r="B15" s="198"/>
      <c r="C15" s="198"/>
      <c r="D15" s="198"/>
      <c r="E15" s="198"/>
      <c r="F15" s="198"/>
      <c r="G15" s="198"/>
      <c r="H15" s="198"/>
      <c r="I15" s="198"/>
      <c r="J15" s="129"/>
      <c r="K15" s="6"/>
      <c r="L15" s="7"/>
    </row>
    <row r="16" spans="1:256" s="8" customFormat="1" ht="21.75" customHeight="1">
      <c r="A16" s="182" t="s">
        <v>19</v>
      </c>
      <c r="B16" s="182"/>
      <c r="C16" s="182"/>
      <c r="D16" s="182"/>
      <c r="E16" s="182"/>
      <c r="F16" s="182"/>
      <c r="G16" s="182"/>
      <c r="H16" s="182"/>
      <c r="I16" s="182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pans="1:9" ht="27" customHeight="1">
      <c r="A17" s="3">
        <v>1</v>
      </c>
      <c r="B17" s="201" t="s">
        <v>20</v>
      </c>
      <c r="C17" s="201"/>
      <c r="D17" s="201"/>
      <c r="E17" s="201"/>
      <c r="F17" s="201"/>
      <c r="G17" s="201"/>
      <c r="H17" s="200" t="s">
        <v>21</v>
      </c>
      <c r="I17" s="200"/>
    </row>
    <row r="18" spans="1:9" ht="19.5" customHeight="1">
      <c r="A18" s="9">
        <v>2</v>
      </c>
      <c r="B18" s="201" t="s">
        <v>22</v>
      </c>
      <c r="C18" s="201"/>
      <c r="D18" s="201"/>
      <c r="E18" s="201"/>
      <c r="F18" s="201"/>
      <c r="G18" s="201"/>
      <c r="H18" s="202" t="s">
        <v>23</v>
      </c>
      <c r="I18" s="202"/>
    </row>
    <row r="19" spans="1:9" ht="15.75" customHeight="1">
      <c r="A19" s="3">
        <v>3</v>
      </c>
      <c r="B19" s="201" t="s">
        <v>24</v>
      </c>
      <c r="C19" s="201"/>
      <c r="D19" s="201"/>
      <c r="E19" s="201"/>
      <c r="F19" s="201"/>
      <c r="G19" s="201"/>
      <c r="H19" s="203">
        <v>1500.4</v>
      </c>
      <c r="I19" s="203"/>
    </row>
    <row r="20" spans="1:9" ht="15.75" customHeight="1">
      <c r="A20" s="3">
        <v>4</v>
      </c>
      <c r="B20" s="201" t="s">
        <v>25</v>
      </c>
      <c r="C20" s="201"/>
      <c r="D20" s="201"/>
      <c r="E20" s="201"/>
      <c r="F20" s="201"/>
      <c r="G20" s="201"/>
      <c r="H20" s="204" t="s">
        <v>26</v>
      </c>
      <c r="I20" s="204"/>
    </row>
    <row r="21" spans="1:9" ht="15.75" customHeight="1">
      <c r="A21" s="3">
        <v>5</v>
      </c>
      <c r="B21" s="201" t="s">
        <v>27</v>
      </c>
      <c r="C21" s="201"/>
      <c r="D21" s="201"/>
      <c r="E21" s="201"/>
      <c r="F21" s="201"/>
      <c r="G21" s="201"/>
      <c r="H21" s="207" t="s">
        <v>138</v>
      </c>
      <c r="I21" s="207"/>
    </row>
    <row r="22" spans="1:256" ht="27" customHeight="1">
      <c r="A22" s="10">
        <v>6</v>
      </c>
      <c r="B22" s="201" t="s">
        <v>142</v>
      </c>
      <c r="C22" s="201"/>
      <c r="D22" s="201"/>
      <c r="E22" s="201"/>
      <c r="F22" s="201"/>
      <c r="G22" s="201"/>
      <c r="H22" s="206">
        <f>ROUND((H19/220),2)</f>
        <v>6.82</v>
      </c>
      <c r="I22" s="206"/>
      <c r="J22" s="13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 s="10">
        <v>7</v>
      </c>
      <c r="B23" s="201" t="s">
        <v>143</v>
      </c>
      <c r="C23" s="201"/>
      <c r="D23" s="201"/>
      <c r="E23" s="201"/>
      <c r="F23" s="201"/>
      <c r="G23" s="201"/>
      <c r="H23" s="208">
        <f>ROUND(H22*1.5,2)</f>
        <v>10.23</v>
      </c>
      <c r="I23" s="208"/>
      <c r="J23" s="13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10">
        <v>8</v>
      </c>
      <c r="B24" s="201" t="s">
        <v>144</v>
      </c>
      <c r="C24" s="201"/>
      <c r="D24" s="201"/>
      <c r="E24" s="201"/>
      <c r="F24" s="201"/>
      <c r="G24" s="201"/>
      <c r="H24" s="206">
        <f>ROUND(H22*0.2,2)</f>
        <v>1.36</v>
      </c>
      <c r="I24" s="206"/>
      <c r="J24" s="13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10">
        <v>9</v>
      </c>
      <c r="B25" s="205" t="s">
        <v>28</v>
      </c>
      <c r="C25" s="205"/>
      <c r="D25" s="205"/>
      <c r="E25" s="205"/>
      <c r="F25" s="205"/>
      <c r="G25" s="205"/>
      <c r="H25" s="206">
        <v>2</v>
      </c>
      <c r="I25" s="206"/>
      <c r="J25" s="13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ht="20.25" customHeight="1">
      <c r="A26" s="212" t="s">
        <v>29</v>
      </c>
      <c r="B26" s="212"/>
      <c r="C26" s="212"/>
      <c r="D26" s="212"/>
      <c r="E26" s="212"/>
      <c r="F26" s="212"/>
      <c r="G26" s="212"/>
      <c r="H26" s="212"/>
      <c r="I26" s="212"/>
    </row>
    <row r="27" spans="1:10" s="14" customFormat="1" ht="30" customHeight="1">
      <c r="A27" s="11">
        <v>1</v>
      </c>
      <c r="B27" s="213" t="s">
        <v>30</v>
      </c>
      <c r="C27" s="213"/>
      <c r="D27" s="213"/>
      <c r="E27" s="213"/>
      <c r="F27" s="213"/>
      <c r="G27" s="213"/>
      <c r="H27" s="13" t="s">
        <v>31</v>
      </c>
      <c r="I27" s="11" t="s">
        <v>32</v>
      </c>
      <c r="J27" s="131"/>
    </row>
    <row r="28" spans="1:9" ht="19.5" customHeight="1">
      <c r="A28" s="72" t="s">
        <v>1</v>
      </c>
      <c r="B28" s="201" t="s">
        <v>145</v>
      </c>
      <c r="C28" s="201"/>
      <c r="D28" s="201"/>
      <c r="E28" s="201"/>
      <c r="F28" s="201"/>
      <c r="G28" s="201"/>
      <c r="H28" s="201"/>
      <c r="I28" s="76">
        <f>H19*2</f>
        <v>3000.8</v>
      </c>
    </row>
    <row r="29" spans="1:9" ht="24.75" customHeight="1">
      <c r="A29" s="72" t="s">
        <v>3</v>
      </c>
      <c r="B29" s="201" t="s">
        <v>146</v>
      </c>
      <c r="C29" s="201"/>
      <c r="D29" s="201"/>
      <c r="E29" s="201"/>
      <c r="F29" s="201"/>
      <c r="G29" s="201"/>
      <c r="H29" s="201"/>
      <c r="I29" s="76">
        <f>ROUND(2*8*15*H24,2)</f>
        <v>326.4</v>
      </c>
    </row>
    <row r="30" spans="1:9" ht="38.25" customHeight="1">
      <c r="A30" s="72" t="s">
        <v>5</v>
      </c>
      <c r="B30" s="201" t="s">
        <v>147</v>
      </c>
      <c r="C30" s="201"/>
      <c r="D30" s="201"/>
      <c r="E30" s="201"/>
      <c r="F30" s="201"/>
      <c r="G30" s="201"/>
      <c r="H30" s="201"/>
      <c r="I30" s="76">
        <f>ROUND(H25*(((12*15)+15)-((44/6)*26))*H23,2)*0+ROUND(2*4.33*H23,2)</f>
        <v>88.59</v>
      </c>
    </row>
    <row r="31" spans="1:9" ht="24.75" customHeight="1">
      <c r="A31" s="72" t="s">
        <v>7</v>
      </c>
      <c r="B31" s="209" t="s">
        <v>148</v>
      </c>
      <c r="C31" s="209"/>
      <c r="D31" s="209"/>
      <c r="E31" s="209"/>
      <c r="F31" s="209"/>
      <c r="G31" s="209"/>
      <c r="H31" s="77">
        <v>0.3</v>
      </c>
      <c r="I31" s="76">
        <f>ROUND(H31*SUM(I28:I30),2)</f>
        <v>1024.74</v>
      </c>
    </row>
    <row r="32" spans="1:9" ht="27.75" customHeight="1">
      <c r="A32" s="326" t="s">
        <v>134</v>
      </c>
      <c r="B32" s="326"/>
      <c r="C32" s="326"/>
      <c r="D32" s="326"/>
      <c r="E32" s="326"/>
      <c r="F32" s="326"/>
      <c r="G32" s="326"/>
      <c r="H32" s="326"/>
      <c r="I32" s="17">
        <f>SUM(I28:I31)</f>
        <v>4440.530000000001</v>
      </c>
    </row>
    <row r="33" spans="1:12" ht="29.25" customHeight="1">
      <c r="A33" s="3" t="s">
        <v>33</v>
      </c>
      <c r="B33" s="201" t="s">
        <v>230</v>
      </c>
      <c r="C33" s="201"/>
      <c r="D33" s="201"/>
      <c r="E33" s="201"/>
      <c r="F33" s="201"/>
      <c r="G33" s="201"/>
      <c r="H33" s="201"/>
      <c r="I33" s="15">
        <f>ROUND(H23*15*H25*0.5,2)</f>
        <v>153.45</v>
      </c>
      <c r="L33" s="16"/>
    </row>
    <row r="34" spans="1:9" ht="32.25" customHeight="1">
      <c r="A34" s="210" t="s">
        <v>149</v>
      </c>
      <c r="B34" s="210"/>
      <c r="C34" s="210"/>
      <c r="D34" s="210"/>
      <c r="E34" s="210"/>
      <c r="F34" s="210"/>
      <c r="G34" s="210"/>
      <c r="H34" s="210"/>
      <c r="I34" s="17">
        <f>I33</f>
        <v>153.45</v>
      </c>
    </row>
    <row r="35" spans="1:9" ht="15.75" customHeight="1">
      <c r="A35" s="211"/>
      <c r="B35" s="211"/>
      <c r="C35" s="211"/>
      <c r="D35" s="211"/>
      <c r="E35" s="211"/>
      <c r="F35" s="211"/>
      <c r="G35" s="211"/>
      <c r="H35" s="211"/>
      <c r="I35" s="211"/>
    </row>
    <row r="36" spans="1:9" ht="45" customHeight="1">
      <c r="A36" s="214" t="s">
        <v>150</v>
      </c>
      <c r="B36" s="214"/>
      <c r="C36" s="214"/>
      <c r="D36" s="214"/>
      <c r="E36" s="214"/>
      <c r="F36" s="214"/>
      <c r="G36" s="214"/>
      <c r="H36" s="214"/>
      <c r="I36" s="18">
        <f>I32+I34</f>
        <v>4593.9800000000005</v>
      </c>
    </row>
    <row r="37" spans="1:9" ht="9" customHeight="1">
      <c r="A37" s="215"/>
      <c r="B37" s="215"/>
      <c r="C37" s="215"/>
      <c r="D37" s="215"/>
      <c r="E37" s="215"/>
      <c r="F37" s="215"/>
      <c r="G37" s="215"/>
      <c r="H37" s="215"/>
      <c r="I37" s="215"/>
    </row>
    <row r="38" spans="1:9" ht="17.25" customHeight="1">
      <c r="A38" s="216" t="s">
        <v>37</v>
      </c>
      <c r="B38" s="216"/>
      <c r="C38" s="216"/>
      <c r="D38" s="216"/>
      <c r="E38" s="216"/>
      <c r="F38" s="216"/>
      <c r="G38" s="216"/>
      <c r="H38" s="216"/>
      <c r="I38" s="216"/>
    </row>
    <row r="39" spans="1:9" ht="8.25" customHeight="1">
      <c r="A39" s="217"/>
      <c r="B39" s="217"/>
      <c r="C39" s="217"/>
      <c r="D39" s="217"/>
      <c r="E39" s="217"/>
      <c r="F39" s="217"/>
      <c r="G39" s="217"/>
      <c r="H39" s="217"/>
      <c r="I39" s="217"/>
    </row>
    <row r="40" spans="1:9" ht="27" customHeight="1">
      <c r="A40" s="218" t="s">
        <v>38</v>
      </c>
      <c r="B40" s="218"/>
      <c r="C40" s="218"/>
      <c r="D40" s="218"/>
      <c r="E40" s="218"/>
      <c r="F40" s="218"/>
      <c r="G40" s="218"/>
      <c r="H40" s="218"/>
      <c r="I40" s="218"/>
    </row>
    <row r="41" spans="1:9" ht="27" customHeight="1">
      <c r="A41" s="219" t="s">
        <v>154</v>
      </c>
      <c r="B41" s="219"/>
      <c r="C41" s="219"/>
      <c r="D41" s="219"/>
      <c r="E41" s="219"/>
      <c r="F41" s="219"/>
      <c r="G41" s="219"/>
      <c r="H41" s="219"/>
      <c r="I41" s="219"/>
    </row>
    <row r="42" spans="1:9" ht="22.5" customHeight="1">
      <c r="A42" s="19" t="s">
        <v>39</v>
      </c>
      <c r="B42" s="220" t="s">
        <v>152</v>
      </c>
      <c r="C42" s="220"/>
      <c r="D42" s="220"/>
      <c r="E42" s="220"/>
      <c r="F42" s="220"/>
      <c r="G42" s="220"/>
      <c r="H42" s="220"/>
      <c r="I42" s="20" t="s">
        <v>40</v>
      </c>
    </row>
    <row r="43" spans="1:9" ht="27" customHeight="1">
      <c r="A43" s="19" t="s">
        <v>1</v>
      </c>
      <c r="B43" s="221" t="s">
        <v>156</v>
      </c>
      <c r="C43" s="221"/>
      <c r="D43" s="221"/>
      <c r="E43" s="221"/>
      <c r="F43" s="221"/>
      <c r="G43" s="221"/>
      <c r="H43" s="69">
        <v>0.0833</v>
      </c>
      <c r="I43" s="70">
        <f>ROUND(I32*H43,2)</f>
        <v>369.9</v>
      </c>
    </row>
    <row r="44" spans="1:9" ht="37.5" customHeight="1">
      <c r="A44" s="19" t="s">
        <v>3</v>
      </c>
      <c r="B44" s="222" t="s">
        <v>157</v>
      </c>
      <c r="C44" s="223"/>
      <c r="D44" s="223"/>
      <c r="E44" s="223"/>
      <c r="F44" s="223"/>
      <c r="G44" s="223"/>
      <c r="H44" s="69">
        <v>0.0278</v>
      </c>
      <c r="I44" s="70">
        <f>ROUND(I32*H44,2)</f>
        <v>123.45</v>
      </c>
    </row>
    <row r="45" spans="1:9" ht="15.75" customHeight="1">
      <c r="A45" s="224" t="s">
        <v>41</v>
      </c>
      <c r="B45" s="224"/>
      <c r="C45" s="224"/>
      <c r="D45" s="224"/>
      <c r="E45" s="224"/>
      <c r="F45" s="224"/>
      <c r="G45" s="224"/>
      <c r="H45" s="224"/>
      <c r="I45" s="35">
        <f>SUM(I43+I44)</f>
        <v>493.34999999999997</v>
      </c>
    </row>
    <row r="46" spans="1:9" ht="7.5" customHeight="1">
      <c r="A46" s="225"/>
      <c r="B46" s="225"/>
      <c r="C46" s="225"/>
      <c r="D46" s="225"/>
      <c r="E46" s="225"/>
      <c r="F46" s="225"/>
      <c r="G46" s="225"/>
      <c r="H46" s="225"/>
      <c r="I46" s="225"/>
    </row>
    <row r="47" spans="1:9" ht="84" customHeight="1">
      <c r="A47" s="226" t="s">
        <v>155</v>
      </c>
      <c r="B47" s="226"/>
      <c r="C47" s="226"/>
      <c r="D47" s="226"/>
      <c r="E47" s="226"/>
      <c r="F47" s="226"/>
      <c r="G47" s="226"/>
      <c r="H47" s="226"/>
      <c r="I47" s="226"/>
    </row>
    <row r="48" spans="1:9" ht="7.5" customHeight="1">
      <c r="A48" s="227"/>
      <c r="B48" s="227"/>
      <c r="C48" s="227"/>
      <c r="D48" s="227"/>
      <c r="E48" s="227"/>
      <c r="F48" s="227"/>
      <c r="G48" s="227"/>
      <c r="H48" s="227"/>
      <c r="I48" s="227"/>
    </row>
    <row r="49" spans="1:10" s="23" customFormat="1" ht="32.25" customHeight="1">
      <c r="A49" s="228" t="s">
        <v>159</v>
      </c>
      <c r="B49" s="228"/>
      <c r="C49" s="228"/>
      <c r="D49" s="228"/>
      <c r="E49" s="228"/>
      <c r="F49" s="228"/>
      <c r="G49" s="228"/>
      <c r="H49" s="228"/>
      <c r="I49" s="228"/>
      <c r="J49" s="132"/>
    </row>
    <row r="50" spans="1:10" s="23" customFormat="1" ht="27" customHeight="1">
      <c r="A50" s="24" t="s">
        <v>42</v>
      </c>
      <c r="B50" s="229" t="s">
        <v>43</v>
      </c>
      <c r="C50" s="229"/>
      <c r="D50" s="229"/>
      <c r="E50" s="229"/>
      <c r="F50" s="229"/>
      <c r="G50" s="229"/>
      <c r="H50" s="5" t="s">
        <v>31</v>
      </c>
      <c r="I50" s="12" t="s">
        <v>44</v>
      </c>
      <c r="J50" s="132"/>
    </row>
    <row r="51" spans="1:10" s="23" customFormat="1" ht="18.75" customHeight="1">
      <c r="A51" s="26" t="s">
        <v>1</v>
      </c>
      <c r="B51" s="230" t="s">
        <v>45</v>
      </c>
      <c r="C51" s="230"/>
      <c r="D51" s="230"/>
      <c r="E51" s="230"/>
      <c r="F51" s="230"/>
      <c r="G51" s="230"/>
      <c r="H51" s="27">
        <v>0.2</v>
      </c>
      <c r="I51" s="28">
        <f>ROUND((I32+I45)*H51,2)</f>
        <v>986.78</v>
      </c>
      <c r="J51" s="132"/>
    </row>
    <row r="52" spans="1:10" s="23" customFormat="1" ht="18.75" customHeight="1">
      <c r="A52" s="26" t="s">
        <v>3</v>
      </c>
      <c r="B52" s="230" t="s">
        <v>46</v>
      </c>
      <c r="C52" s="230"/>
      <c r="D52" s="230"/>
      <c r="E52" s="230"/>
      <c r="F52" s="230"/>
      <c r="G52" s="230"/>
      <c r="H52" s="29">
        <v>0.025</v>
      </c>
      <c r="I52" s="28">
        <f>ROUND((I32+I45)*H52,2)</f>
        <v>123.35</v>
      </c>
      <c r="J52" s="132"/>
    </row>
    <row r="53" spans="1:10" s="23" customFormat="1" ht="50.25" customHeight="1">
      <c r="A53" s="26" t="s">
        <v>5</v>
      </c>
      <c r="B53" s="231" t="s">
        <v>160</v>
      </c>
      <c r="C53" s="231"/>
      <c r="D53" s="30" t="s">
        <v>47</v>
      </c>
      <c r="E53" s="31">
        <v>0.03</v>
      </c>
      <c r="F53" s="30" t="s">
        <v>48</v>
      </c>
      <c r="G53" s="32">
        <v>1</v>
      </c>
      <c r="H53" s="33">
        <f>ROUND((E53*G53),6)</f>
        <v>0.03</v>
      </c>
      <c r="I53" s="28">
        <f>ROUND((I32+I45)*H53,2)</f>
        <v>148.02</v>
      </c>
      <c r="J53" s="132"/>
    </row>
    <row r="54" spans="1:10" s="23" customFormat="1" ht="15.75" customHeight="1">
      <c r="A54" s="26" t="s">
        <v>7</v>
      </c>
      <c r="B54" s="230" t="s">
        <v>49</v>
      </c>
      <c r="C54" s="230"/>
      <c r="D54" s="230"/>
      <c r="E54" s="230"/>
      <c r="F54" s="230"/>
      <c r="G54" s="230"/>
      <c r="H54" s="27">
        <v>0.015</v>
      </c>
      <c r="I54" s="28">
        <f>ROUND((I32+I45)*H54,2)</f>
        <v>74.01</v>
      </c>
      <c r="J54" s="132"/>
    </row>
    <row r="55" spans="1:10" s="23" customFormat="1" ht="15.75" customHeight="1">
      <c r="A55" s="26" t="s">
        <v>33</v>
      </c>
      <c r="B55" s="230" t="s">
        <v>50</v>
      </c>
      <c r="C55" s="230"/>
      <c r="D55" s="230"/>
      <c r="E55" s="230"/>
      <c r="F55" s="230"/>
      <c r="G55" s="230"/>
      <c r="H55" s="27">
        <v>0.01</v>
      </c>
      <c r="I55" s="28">
        <f>ROUND((I32+I45)*H55,2)</f>
        <v>49.34</v>
      </c>
      <c r="J55" s="132"/>
    </row>
    <row r="56" spans="1:10" s="23" customFormat="1" ht="15.75" customHeight="1">
      <c r="A56" s="26" t="s">
        <v>34</v>
      </c>
      <c r="B56" s="183" t="s">
        <v>51</v>
      </c>
      <c r="C56" s="183"/>
      <c r="D56" s="183"/>
      <c r="E56" s="183"/>
      <c r="F56" s="183"/>
      <c r="G56" s="183"/>
      <c r="H56" s="29">
        <v>0.006</v>
      </c>
      <c r="I56" s="28">
        <f>ROUND((I32+I45)*H56,2)</f>
        <v>29.6</v>
      </c>
      <c r="J56" s="132"/>
    </row>
    <row r="57" spans="1:10" s="23" customFormat="1" ht="15.75" customHeight="1">
      <c r="A57" s="26" t="s">
        <v>35</v>
      </c>
      <c r="B57" s="230" t="s">
        <v>52</v>
      </c>
      <c r="C57" s="230"/>
      <c r="D57" s="230"/>
      <c r="E57" s="230"/>
      <c r="F57" s="230"/>
      <c r="G57" s="230"/>
      <c r="H57" s="27">
        <v>0.002</v>
      </c>
      <c r="I57" s="28">
        <f>ROUND((I32+I45)*H57,2)</f>
        <v>9.87</v>
      </c>
      <c r="J57" s="132"/>
    </row>
    <row r="58" spans="1:9" ht="15.75" customHeight="1">
      <c r="A58" s="26" t="s">
        <v>36</v>
      </c>
      <c r="B58" s="183" t="s">
        <v>53</v>
      </c>
      <c r="C58" s="183"/>
      <c r="D58" s="183"/>
      <c r="E58" s="183"/>
      <c r="F58" s="183"/>
      <c r="G58" s="183"/>
      <c r="H58" s="29">
        <v>0.08</v>
      </c>
      <c r="I58" s="28">
        <f>ROUND((I32+I45)*H58,2)</f>
        <v>394.71</v>
      </c>
    </row>
    <row r="59" spans="1:9" ht="15.75" customHeight="1">
      <c r="A59" s="232" t="s">
        <v>41</v>
      </c>
      <c r="B59" s="232"/>
      <c r="C59" s="232"/>
      <c r="D59" s="232"/>
      <c r="E59" s="232"/>
      <c r="F59" s="232"/>
      <c r="G59" s="232"/>
      <c r="H59" s="34">
        <f>SUM(H51:H58)</f>
        <v>0.36800000000000005</v>
      </c>
      <c r="I59" s="35">
        <f>SUM(I51:I58)</f>
        <v>1815.6799999999996</v>
      </c>
    </row>
    <row r="60" spans="1:9" ht="8.25" customHeight="1">
      <c r="A60" s="36"/>
      <c r="B60" s="37"/>
      <c r="C60" s="37"/>
      <c r="D60" s="37"/>
      <c r="E60" s="37"/>
      <c r="F60" s="37"/>
      <c r="G60" s="37"/>
      <c r="H60" s="38"/>
      <c r="I60" s="39"/>
    </row>
    <row r="61" spans="1:9" ht="70.5" customHeight="1">
      <c r="A61" s="233" t="s">
        <v>54</v>
      </c>
      <c r="B61" s="233"/>
      <c r="C61" s="233"/>
      <c r="D61" s="233"/>
      <c r="E61" s="233"/>
      <c r="F61" s="233"/>
      <c r="G61" s="233"/>
      <c r="H61" s="233"/>
      <c r="I61" s="233"/>
    </row>
    <row r="62" spans="1:9" ht="9.75" customHeight="1">
      <c r="A62" s="234"/>
      <c r="B62" s="234"/>
      <c r="C62" s="234"/>
      <c r="D62" s="234"/>
      <c r="E62" s="234"/>
      <c r="F62" s="234"/>
      <c r="G62" s="234"/>
      <c r="H62" s="234"/>
      <c r="I62" s="234"/>
    </row>
    <row r="63" spans="1:9" ht="20.25" customHeight="1">
      <c r="A63" s="235" t="s">
        <v>55</v>
      </c>
      <c r="B63" s="235"/>
      <c r="C63" s="235"/>
      <c r="D63" s="235"/>
      <c r="E63" s="235"/>
      <c r="F63" s="235"/>
      <c r="G63" s="235"/>
      <c r="H63" s="235"/>
      <c r="I63" s="235"/>
    </row>
    <row r="64" spans="1:9" ht="27" customHeight="1">
      <c r="A64" s="40" t="s">
        <v>56</v>
      </c>
      <c r="B64" s="213" t="s">
        <v>57</v>
      </c>
      <c r="C64" s="213"/>
      <c r="D64" s="213"/>
      <c r="E64" s="213"/>
      <c r="F64" s="213"/>
      <c r="G64" s="213"/>
      <c r="H64" s="213"/>
      <c r="I64" s="12" t="s">
        <v>40</v>
      </c>
    </row>
    <row r="65" spans="1:9" ht="23.25" customHeight="1">
      <c r="A65" s="79" t="s">
        <v>1</v>
      </c>
      <c r="B65" s="325" t="s">
        <v>161</v>
      </c>
      <c r="C65" s="325"/>
      <c r="D65" s="325"/>
      <c r="E65" s="325"/>
      <c r="F65" s="325"/>
      <c r="G65" s="325"/>
      <c r="H65" s="325"/>
      <c r="I65" s="80">
        <f>IF(ROUND((H66*H68*H67)-(I28*H69),2)&lt;0,0,ROUND((H66*H68*H67)-(I28*H69),2))</f>
        <v>50.95</v>
      </c>
    </row>
    <row r="66" spans="1:9" ht="27" customHeight="1">
      <c r="A66" s="79"/>
      <c r="B66" s="325" t="s">
        <v>162</v>
      </c>
      <c r="C66" s="325"/>
      <c r="D66" s="325"/>
      <c r="E66" s="325"/>
      <c r="F66" s="325"/>
      <c r="G66" s="325"/>
      <c r="H66" s="81">
        <v>3.85</v>
      </c>
      <c r="I66" s="82" t="s">
        <v>14</v>
      </c>
    </row>
    <row r="67" spans="1:9" ht="19.5" customHeight="1">
      <c r="A67" s="79"/>
      <c r="B67" s="201" t="s">
        <v>163</v>
      </c>
      <c r="C67" s="201"/>
      <c r="D67" s="201"/>
      <c r="E67" s="201"/>
      <c r="F67" s="201"/>
      <c r="G67" s="201"/>
      <c r="H67" s="83">
        <v>2</v>
      </c>
      <c r="I67" s="82" t="s">
        <v>14</v>
      </c>
    </row>
    <row r="68" spans="1:9" ht="19.5" customHeight="1">
      <c r="A68" s="79"/>
      <c r="B68" s="201" t="s">
        <v>58</v>
      </c>
      <c r="C68" s="201"/>
      <c r="D68" s="201"/>
      <c r="E68" s="201"/>
      <c r="F68" s="201"/>
      <c r="G68" s="201"/>
      <c r="H68" s="84">
        <v>30</v>
      </c>
      <c r="I68" s="82"/>
    </row>
    <row r="69" spans="1:10" ht="24" customHeight="1">
      <c r="A69" s="79"/>
      <c r="B69" s="201" t="s">
        <v>225</v>
      </c>
      <c r="C69" s="201"/>
      <c r="D69" s="201"/>
      <c r="E69" s="201"/>
      <c r="F69" s="201"/>
      <c r="G69" s="201"/>
      <c r="H69" s="85">
        <v>0.06</v>
      </c>
      <c r="I69" s="82"/>
      <c r="J69" s="130"/>
    </row>
    <row r="70" spans="1:9" ht="14.25" customHeight="1">
      <c r="A70" s="79" t="s">
        <v>3</v>
      </c>
      <c r="B70" s="325" t="s">
        <v>164</v>
      </c>
      <c r="C70" s="325"/>
      <c r="D70" s="325"/>
      <c r="E70" s="325"/>
      <c r="F70" s="325"/>
      <c r="G70" s="325"/>
      <c r="H70" s="325"/>
      <c r="I70" s="86">
        <f>ROUND(H72*H71*(1-H73),2)*1+ROUND(21.726*6*(1-H73),2)*0</f>
        <v>549.6</v>
      </c>
    </row>
    <row r="71" spans="1:10" ht="15.75" customHeight="1">
      <c r="A71" s="79"/>
      <c r="B71" s="325" t="s">
        <v>224</v>
      </c>
      <c r="C71" s="325"/>
      <c r="D71" s="325"/>
      <c r="E71" s="325"/>
      <c r="F71" s="325"/>
      <c r="G71" s="325"/>
      <c r="H71" s="81">
        <v>22.9</v>
      </c>
      <c r="I71" s="82" t="s">
        <v>14</v>
      </c>
      <c r="J71" s="130"/>
    </row>
    <row r="72" spans="1:9" ht="24.75" customHeight="1">
      <c r="A72" s="79"/>
      <c r="B72" s="325" t="s">
        <v>165</v>
      </c>
      <c r="C72" s="325"/>
      <c r="D72" s="325"/>
      <c r="E72" s="325"/>
      <c r="F72" s="325"/>
      <c r="G72" s="325"/>
      <c r="H72" s="84">
        <v>30</v>
      </c>
      <c r="I72" s="82"/>
    </row>
    <row r="73" spans="1:9" ht="23.25" customHeight="1">
      <c r="A73" s="79"/>
      <c r="B73" s="201" t="s">
        <v>59</v>
      </c>
      <c r="C73" s="201"/>
      <c r="D73" s="201"/>
      <c r="E73" s="201"/>
      <c r="F73" s="201"/>
      <c r="G73" s="201"/>
      <c r="H73" s="85">
        <v>0.2</v>
      </c>
      <c r="I73" s="82"/>
    </row>
    <row r="74" spans="1:9" ht="15.75" customHeight="1">
      <c r="A74" s="79" t="s">
        <v>5</v>
      </c>
      <c r="B74" s="325" t="s">
        <v>60</v>
      </c>
      <c r="C74" s="325"/>
      <c r="D74" s="325"/>
      <c r="E74" s="325"/>
      <c r="F74" s="325"/>
      <c r="G74" s="325"/>
      <c r="H74" s="325"/>
      <c r="I74" s="80">
        <v>0</v>
      </c>
    </row>
    <row r="75" spans="1:9" ht="26.25" customHeight="1">
      <c r="A75" s="89" t="s">
        <v>7</v>
      </c>
      <c r="B75" s="236" t="s">
        <v>226</v>
      </c>
      <c r="C75" s="236"/>
      <c r="D75" s="236"/>
      <c r="E75" s="236"/>
      <c r="F75" s="236"/>
      <c r="G75" s="236"/>
      <c r="H75" s="236"/>
      <c r="I75" s="87">
        <f>ROUND(I32*60*0.00023,2)</f>
        <v>61.28</v>
      </c>
    </row>
    <row r="76" spans="1:10" s="23" customFormat="1" ht="18.75" customHeight="1">
      <c r="A76" s="89" t="s">
        <v>33</v>
      </c>
      <c r="B76" s="237" t="s">
        <v>227</v>
      </c>
      <c r="C76" s="237"/>
      <c r="D76" s="237"/>
      <c r="E76" s="237"/>
      <c r="F76" s="237"/>
      <c r="G76" s="237"/>
      <c r="H76" s="237"/>
      <c r="I76" s="87">
        <f>ROUND((4975*0.0052066)/12,2)</f>
        <v>2.16</v>
      </c>
      <c r="J76" s="132"/>
    </row>
    <row r="77" spans="1:10" s="23" customFormat="1" ht="15.75" customHeight="1">
      <c r="A77" s="79" t="s">
        <v>34</v>
      </c>
      <c r="B77" s="323" t="s">
        <v>61</v>
      </c>
      <c r="C77" s="323"/>
      <c r="D77" s="323"/>
      <c r="E77" s="323"/>
      <c r="F77" s="323"/>
      <c r="G77" s="323"/>
      <c r="H77" s="323"/>
      <c r="I77" s="88">
        <v>0</v>
      </c>
      <c r="J77" s="132"/>
    </row>
    <row r="78" spans="1:10" s="23" customFormat="1" ht="18" customHeight="1">
      <c r="A78" s="97"/>
      <c r="B78" s="324" t="s">
        <v>41</v>
      </c>
      <c r="C78" s="324"/>
      <c r="D78" s="324"/>
      <c r="E78" s="324"/>
      <c r="F78" s="324"/>
      <c r="G78" s="324"/>
      <c r="H78" s="324"/>
      <c r="I78" s="98">
        <f>SUM(I65:I77)</f>
        <v>663.99</v>
      </c>
      <c r="J78" s="132"/>
    </row>
    <row r="79" spans="1:10" s="23" customFormat="1" ht="9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132"/>
    </row>
    <row r="80" spans="1:10" s="23" customFormat="1" ht="32.25" customHeight="1">
      <c r="A80" s="233" t="s">
        <v>62</v>
      </c>
      <c r="B80" s="233"/>
      <c r="C80" s="233"/>
      <c r="D80" s="233"/>
      <c r="E80" s="233"/>
      <c r="F80" s="233"/>
      <c r="G80" s="233"/>
      <c r="H80" s="233"/>
      <c r="I80" s="233"/>
      <c r="J80" s="132"/>
    </row>
    <row r="81" spans="1:10" s="23" customFormat="1" ht="8.25" customHeight="1">
      <c r="A81" s="211"/>
      <c r="B81" s="211"/>
      <c r="C81" s="211"/>
      <c r="D81" s="211"/>
      <c r="E81" s="211"/>
      <c r="F81" s="211"/>
      <c r="G81" s="211"/>
      <c r="H81" s="211"/>
      <c r="I81" s="211"/>
      <c r="J81" s="132"/>
    </row>
    <row r="82" spans="1:10" s="23" customFormat="1" ht="17.25" customHeight="1">
      <c r="A82" s="240" t="s">
        <v>63</v>
      </c>
      <c r="B82" s="240"/>
      <c r="C82" s="240"/>
      <c r="D82" s="240"/>
      <c r="E82" s="240"/>
      <c r="F82" s="240"/>
      <c r="G82" s="240"/>
      <c r="H82" s="240"/>
      <c r="I82" s="240"/>
      <c r="J82" s="132"/>
    </row>
    <row r="83" spans="1:10" s="23" customFormat="1" ht="15.75" customHeight="1">
      <c r="A83" s="25">
        <v>2</v>
      </c>
      <c r="B83" s="229" t="s">
        <v>64</v>
      </c>
      <c r="C83" s="229"/>
      <c r="D83" s="229"/>
      <c r="E83" s="229"/>
      <c r="F83" s="229"/>
      <c r="G83" s="229"/>
      <c r="H83" s="229"/>
      <c r="I83" s="25" t="s">
        <v>40</v>
      </c>
      <c r="J83" s="132"/>
    </row>
    <row r="84" spans="1:10" s="23" customFormat="1" ht="14.25" customHeight="1">
      <c r="A84" s="44" t="s">
        <v>39</v>
      </c>
      <c r="B84" s="241" t="s">
        <v>166</v>
      </c>
      <c r="C84" s="241"/>
      <c r="D84" s="241"/>
      <c r="E84" s="241"/>
      <c r="F84" s="241"/>
      <c r="G84" s="241"/>
      <c r="H84" s="241"/>
      <c r="I84" s="45">
        <f>I45</f>
        <v>493.34999999999997</v>
      </c>
      <c r="J84" s="132"/>
    </row>
    <row r="85" spans="1:10" s="23" customFormat="1" ht="14.25" customHeight="1">
      <c r="A85" s="44" t="s">
        <v>42</v>
      </c>
      <c r="B85" s="241" t="s">
        <v>43</v>
      </c>
      <c r="C85" s="241"/>
      <c r="D85" s="241"/>
      <c r="E85" s="241"/>
      <c r="F85" s="241"/>
      <c r="G85" s="241"/>
      <c r="H85" s="241"/>
      <c r="I85" s="45">
        <f>I59</f>
        <v>1815.6799999999996</v>
      </c>
      <c r="J85" s="132"/>
    </row>
    <row r="86" spans="1:10" s="23" customFormat="1" ht="14.25" customHeight="1">
      <c r="A86" s="44" t="s">
        <v>56</v>
      </c>
      <c r="B86" s="241" t="s">
        <v>57</v>
      </c>
      <c r="C86" s="241"/>
      <c r="D86" s="241"/>
      <c r="E86" s="241"/>
      <c r="F86" s="241"/>
      <c r="G86" s="241"/>
      <c r="H86" s="241"/>
      <c r="I86" s="45">
        <f>I78</f>
        <v>663.99</v>
      </c>
      <c r="J86" s="132"/>
    </row>
    <row r="87" spans="1:10" s="23" customFormat="1" ht="14.25" customHeight="1">
      <c r="A87" s="242" t="s">
        <v>41</v>
      </c>
      <c r="B87" s="242"/>
      <c r="C87" s="242"/>
      <c r="D87" s="242"/>
      <c r="E87" s="242"/>
      <c r="F87" s="242"/>
      <c r="G87" s="242"/>
      <c r="H87" s="242"/>
      <c r="I87" s="46">
        <f>SUM(I84+I85+I86)</f>
        <v>2973.0199999999995</v>
      </c>
      <c r="J87" s="132"/>
    </row>
    <row r="88" spans="1:10" s="23" customFormat="1" ht="8.25" customHeight="1">
      <c r="A88" s="243"/>
      <c r="B88" s="243"/>
      <c r="C88" s="243"/>
      <c r="D88" s="243"/>
      <c r="E88" s="243"/>
      <c r="F88" s="243"/>
      <c r="G88" s="243"/>
      <c r="H88" s="243"/>
      <c r="I88" s="243"/>
      <c r="J88" s="132"/>
    </row>
    <row r="89" spans="1:10" s="23" customFormat="1" ht="20.25" customHeight="1">
      <c r="A89" s="244" t="s">
        <v>65</v>
      </c>
      <c r="B89" s="244"/>
      <c r="C89" s="244"/>
      <c r="D89" s="244"/>
      <c r="E89" s="244"/>
      <c r="F89" s="244"/>
      <c r="G89" s="244"/>
      <c r="H89" s="244"/>
      <c r="I89" s="244"/>
      <c r="J89" s="132"/>
    </row>
    <row r="90" spans="1:10" s="23" customFormat="1" ht="15">
      <c r="A90" s="40">
        <v>3</v>
      </c>
      <c r="B90" s="245" t="s">
        <v>66</v>
      </c>
      <c r="C90" s="245"/>
      <c r="D90" s="245"/>
      <c r="E90" s="245"/>
      <c r="F90" s="245"/>
      <c r="G90" s="245"/>
      <c r="H90" s="245"/>
      <c r="I90" s="40" t="s">
        <v>40</v>
      </c>
      <c r="J90" s="132"/>
    </row>
    <row r="91" spans="1:10" s="23" customFormat="1" ht="44.25" customHeight="1">
      <c r="A91" s="79" t="s">
        <v>1</v>
      </c>
      <c r="B91" s="221" t="s">
        <v>168</v>
      </c>
      <c r="C91" s="221"/>
      <c r="D91" s="221"/>
      <c r="E91" s="221"/>
      <c r="F91" s="221"/>
      <c r="G91" s="221"/>
      <c r="H91" s="221"/>
      <c r="I91" s="28">
        <f>ROUND(((I32/12)+($I$43/12)+(I32/12/12)+($I$44/12))*(30/30)*0.05,2)</f>
        <v>22.1</v>
      </c>
      <c r="J91" s="132"/>
    </row>
    <row r="92" spans="1:10" s="23" customFormat="1" ht="14.25" customHeight="1">
      <c r="A92" s="79" t="s">
        <v>3</v>
      </c>
      <c r="B92" s="246" t="s">
        <v>67</v>
      </c>
      <c r="C92" s="246"/>
      <c r="D92" s="246"/>
      <c r="E92" s="246"/>
      <c r="F92" s="246"/>
      <c r="G92" s="246"/>
      <c r="H92" s="246"/>
      <c r="I92" s="28">
        <f>ROUND($H$58*I91,2)</f>
        <v>1.77</v>
      </c>
      <c r="J92" s="132"/>
    </row>
    <row r="93" spans="1:10" s="23" customFormat="1" ht="27.75" customHeight="1">
      <c r="A93" s="79" t="s">
        <v>5</v>
      </c>
      <c r="B93" s="247" t="s">
        <v>169</v>
      </c>
      <c r="C93" s="247"/>
      <c r="D93" s="247"/>
      <c r="E93" s="247"/>
      <c r="F93" s="247"/>
      <c r="G93" s="247"/>
      <c r="H93" s="247"/>
      <c r="I93" s="28">
        <f>ROUND(((7/30)/$H$10)*I32*1,2)</f>
        <v>86.34</v>
      </c>
      <c r="J93" s="132"/>
    </row>
    <row r="94" spans="1:10" s="23" customFormat="1" ht="19.5" customHeight="1">
      <c r="A94" s="79" t="s">
        <v>7</v>
      </c>
      <c r="B94" s="246" t="s">
        <v>68</v>
      </c>
      <c r="C94" s="246"/>
      <c r="D94" s="246"/>
      <c r="E94" s="246"/>
      <c r="F94" s="246"/>
      <c r="G94" s="246"/>
      <c r="H94" s="246"/>
      <c r="I94" s="28">
        <f>ROUND($H$59*I93,2)</f>
        <v>31.77</v>
      </c>
      <c r="J94" s="132"/>
    </row>
    <row r="95" spans="1:10" s="23" customFormat="1" ht="36.75" customHeight="1">
      <c r="A95" s="79" t="s">
        <v>33</v>
      </c>
      <c r="B95" s="247" t="s">
        <v>170</v>
      </c>
      <c r="C95" s="247"/>
      <c r="D95" s="247"/>
      <c r="E95" s="247"/>
      <c r="F95" s="247"/>
      <c r="G95" s="247"/>
      <c r="H95" s="99">
        <v>0.04</v>
      </c>
      <c r="I95" s="28">
        <f>ROUND(I32*H95,2)</f>
        <v>177.62</v>
      </c>
      <c r="J95" s="132"/>
    </row>
    <row r="96" spans="1:10" s="23" customFormat="1" ht="15.75" customHeight="1">
      <c r="A96" s="261" t="s">
        <v>69</v>
      </c>
      <c r="B96" s="261"/>
      <c r="C96" s="261"/>
      <c r="D96" s="261"/>
      <c r="E96" s="261"/>
      <c r="F96" s="261"/>
      <c r="G96" s="261"/>
      <c r="H96" s="261"/>
      <c r="I96" s="35">
        <f>SUM(I91:I95)</f>
        <v>319.6</v>
      </c>
      <c r="J96" s="132"/>
    </row>
    <row r="97" spans="1:10" s="23" customFormat="1" ht="9" customHeight="1">
      <c r="A97" s="248"/>
      <c r="B97" s="248"/>
      <c r="C97" s="248"/>
      <c r="D97" s="248"/>
      <c r="E97" s="248"/>
      <c r="F97" s="248"/>
      <c r="G97" s="248"/>
      <c r="H97" s="248"/>
      <c r="I97" s="248"/>
      <c r="J97" s="132"/>
    </row>
    <row r="98" spans="1:9" ht="24" customHeight="1">
      <c r="A98" s="249" t="s">
        <v>70</v>
      </c>
      <c r="B98" s="249"/>
      <c r="C98" s="249"/>
      <c r="D98" s="249"/>
      <c r="E98" s="249"/>
      <c r="F98" s="249"/>
      <c r="G98" s="249"/>
      <c r="H98" s="249"/>
      <c r="I98" s="249"/>
    </row>
    <row r="99" spans="1:9" ht="24.75" customHeight="1">
      <c r="A99" s="226" t="s">
        <v>71</v>
      </c>
      <c r="B99" s="226"/>
      <c r="C99" s="226"/>
      <c r="D99" s="226"/>
      <c r="E99" s="226"/>
      <c r="F99" s="226"/>
      <c r="G99" s="226"/>
      <c r="H99" s="226"/>
      <c r="I99" s="226"/>
    </row>
    <row r="100" spans="1:9" ht="42.75" customHeight="1">
      <c r="A100" s="228" t="s">
        <v>171</v>
      </c>
      <c r="B100" s="228"/>
      <c r="C100" s="228"/>
      <c r="D100" s="228"/>
      <c r="E100" s="228"/>
      <c r="F100" s="228"/>
      <c r="G100" s="228"/>
      <c r="H100" s="228"/>
      <c r="I100" s="228"/>
    </row>
    <row r="101" spans="1:9" ht="7.5" customHeight="1">
      <c r="A101" s="250"/>
      <c r="B101" s="250"/>
      <c r="C101" s="250"/>
      <c r="D101" s="250"/>
      <c r="E101" s="250"/>
      <c r="F101" s="250"/>
      <c r="G101" s="250"/>
      <c r="H101" s="250"/>
      <c r="I101" s="250"/>
    </row>
    <row r="102" spans="1:9" ht="42" customHeight="1">
      <c r="A102" s="101" t="s">
        <v>72</v>
      </c>
      <c r="B102" s="102">
        <f>I32</f>
        <v>4440.530000000001</v>
      </c>
      <c r="C102" s="103"/>
      <c r="D102" s="101" t="s">
        <v>172</v>
      </c>
      <c r="E102" s="102">
        <f>I87-I65-I70</f>
        <v>2372.47</v>
      </c>
      <c r="F102" s="104"/>
      <c r="G102" s="101" t="s">
        <v>73</v>
      </c>
      <c r="H102" s="102">
        <f>I96</f>
        <v>319.6</v>
      </c>
      <c r="I102" s="105">
        <f>B102+E102+H102</f>
        <v>7132.6</v>
      </c>
    </row>
    <row r="103" spans="1:9" ht="7.5" customHeight="1">
      <c r="A103" s="251"/>
      <c r="B103" s="251"/>
      <c r="C103" s="251"/>
      <c r="D103" s="251"/>
      <c r="E103" s="251"/>
      <c r="F103" s="251"/>
      <c r="G103" s="251"/>
      <c r="H103" s="251"/>
      <c r="I103" s="251"/>
    </row>
    <row r="104" spans="1:9" ht="24" customHeight="1">
      <c r="A104" s="252" t="s">
        <v>135</v>
      </c>
      <c r="B104" s="252"/>
      <c r="C104" s="252"/>
      <c r="D104" s="252"/>
      <c r="E104" s="252"/>
      <c r="F104" s="252"/>
      <c r="G104" s="252"/>
      <c r="H104" s="252"/>
      <c r="I104" s="252"/>
    </row>
    <row r="105" spans="1:9" ht="24" customHeight="1">
      <c r="A105" s="47" t="s">
        <v>74</v>
      </c>
      <c r="B105" s="245" t="s">
        <v>75</v>
      </c>
      <c r="C105" s="245"/>
      <c r="D105" s="245"/>
      <c r="E105" s="245"/>
      <c r="F105" s="245"/>
      <c r="G105" s="245"/>
      <c r="H105" s="245"/>
      <c r="I105" s="47" t="s">
        <v>40</v>
      </c>
    </row>
    <row r="106" spans="1:9" ht="17.25" customHeight="1">
      <c r="A106" s="68" t="s">
        <v>1</v>
      </c>
      <c r="B106" s="221" t="s">
        <v>173</v>
      </c>
      <c r="C106" s="221"/>
      <c r="D106" s="221"/>
      <c r="E106" s="221"/>
      <c r="F106" s="221"/>
      <c r="G106" s="221"/>
      <c r="H106" s="221"/>
      <c r="I106" s="28">
        <f>ROUND(I102/12,2)</f>
        <v>594.38</v>
      </c>
    </row>
    <row r="107" spans="1:9" ht="15.75" customHeight="1">
      <c r="A107" s="41" t="s">
        <v>3</v>
      </c>
      <c r="B107" s="247" t="s">
        <v>174</v>
      </c>
      <c r="C107" s="247"/>
      <c r="D107" s="247"/>
      <c r="E107" s="247"/>
      <c r="F107" s="247"/>
      <c r="G107" s="247"/>
      <c r="H107" s="247"/>
      <c r="I107" s="28">
        <f>ROUND((1/30)/12*(I102),2)</f>
        <v>19.81</v>
      </c>
    </row>
    <row r="108" spans="1:9" ht="25.5" customHeight="1">
      <c r="A108" s="41" t="s">
        <v>5</v>
      </c>
      <c r="B108" s="247" t="s">
        <v>175</v>
      </c>
      <c r="C108" s="247"/>
      <c r="D108" s="247"/>
      <c r="E108" s="247"/>
      <c r="F108" s="247"/>
      <c r="G108" s="247"/>
      <c r="H108" s="247"/>
      <c r="I108" s="28">
        <f>ROUND((5/30)/12*0.015*(I102),2)</f>
        <v>1.49</v>
      </c>
    </row>
    <row r="109" spans="1:9" ht="24" customHeight="1">
      <c r="A109" s="41" t="s">
        <v>7</v>
      </c>
      <c r="B109" s="247" t="s">
        <v>176</v>
      </c>
      <c r="C109" s="247"/>
      <c r="D109" s="247"/>
      <c r="E109" s="247"/>
      <c r="F109" s="247"/>
      <c r="G109" s="247"/>
      <c r="H109" s="247"/>
      <c r="I109" s="28">
        <f>ROUND(((15/30)/12)*0.0078*(I102),2)</f>
        <v>2.32</v>
      </c>
    </row>
    <row r="110" spans="1:9" ht="24.75" customHeight="1">
      <c r="A110" s="41" t="s">
        <v>33</v>
      </c>
      <c r="B110" s="201" t="s">
        <v>177</v>
      </c>
      <c r="C110" s="201"/>
      <c r="D110" s="201"/>
      <c r="E110" s="201"/>
      <c r="F110" s="201"/>
      <c r="G110" s="201"/>
      <c r="H110" s="201"/>
      <c r="I110" s="28">
        <f>ROUND(((((I32+I32/3)/12)+(I59+I78-I65-I70+I96))*4/12)*0.02,2)</f>
        <v>17.95</v>
      </c>
    </row>
    <row r="111" spans="1:9" ht="27" customHeight="1">
      <c r="A111" s="41" t="s">
        <v>34</v>
      </c>
      <c r="B111" s="247" t="s">
        <v>178</v>
      </c>
      <c r="C111" s="247"/>
      <c r="D111" s="247"/>
      <c r="E111" s="247"/>
      <c r="F111" s="247"/>
      <c r="G111" s="247"/>
      <c r="H111" s="247"/>
      <c r="I111" s="28">
        <f>ROUND(((3/30)/12)*(I102),2)</f>
        <v>59.44</v>
      </c>
    </row>
    <row r="112" spans="1:9" ht="15.75" customHeight="1">
      <c r="A112" s="232" t="s">
        <v>41</v>
      </c>
      <c r="B112" s="232"/>
      <c r="C112" s="232"/>
      <c r="D112" s="232"/>
      <c r="E112" s="232"/>
      <c r="F112" s="232"/>
      <c r="G112" s="232"/>
      <c r="H112" s="232"/>
      <c r="I112" s="35">
        <f>SUM(I106:I111)</f>
        <v>695.3900000000001</v>
      </c>
    </row>
    <row r="113" spans="1:9" ht="9" customHeight="1">
      <c r="A113" s="253"/>
      <c r="B113" s="253"/>
      <c r="C113" s="253"/>
      <c r="D113" s="253"/>
      <c r="E113" s="253"/>
      <c r="F113" s="253"/>
      <c r="G113" s="253"/>
      <c r="H113" s="253"/>
      <c r="I113" s="253"/>
    </row>
    <row r="114" spans="1:9" ht="15.75" customHeight="1">
      <c r="A114" s="235" t="s">
        <v>76</v>
      </c>
      <c r="B114" s="235"/>
      <c r="C114" s="235"/>
      <c r="D114" s="235"/>
      <c r="E114" s="235"/>
      <c r="F114" s="235"/>
      <c r="G114" s="235"/>
      <c r="H114" s="235"/>
      <c r="I114" s="235"/>
    </row>
    <row r="115" spans="1:9" ht="15.75" customHeight="1">
      <c r="A115" s="48" t="s">
        <v>77</v>
      </c>
      <c r="B115" s="254" t="s">
        <v>78</v>
      </c>
      <c r="C115" s="254"/>
      <c r="D115" s="254"/>
      <c r="E115" s="254"/>
      <c r="F115" s="254"/>
      <c r="G115" s="254"/>
      <c r="H115" s="254"/>
      <c r="I115" s="49" t="s">
        <v>40</v>
      </c>
    </row>
    <row r="116" spans="1:9" ht="15.75" customHeight="1">
      <c r="A116" s="21" t="s">
        <v>1</v>
      </c>
      <c r="B116" s="255" t="s">
        <v>79</v>
      </c>
      <c r="C116" s="255"/>
      <c r="D116" s="255"/>
      <c r="E116" s="255"/>
      <c r="F116" s="255"/>
      <c r="G116" s="255"/>
      <c r="H116" s="255"/>
      <c r="I116" s="50">
        <v>0</v>
      </c>
    </row>
    <row r="117" spans="1:9" ht="15.75" customHeight="1">
      <c r="A117" s="256" t="s">
        <v>41</v>
      </c>
      <c r="B117" s="256"/>
      <c r="C117" s="256"/>
      <c r="D117" s="256"/>
      <c r="E117" s="256"/>
      <c r="F117" s="256"/>
      <c r="G117" s="256"/>
      <c r="H117" s="256"/>
      <c r="I117" s="50">
        <v>0</v>
      </c>
    </row>
    <row r="118" spans="1:9" ht="7.5" customHeight="1">
      <c r="A118" s="257"/>
      <c r="B118" s="257"/>
      <c r="C118" s="257"/>
      <c r="D118" s="257"/>
      <c r="E118" s="257"/>
      <c r="F118" s="257"/>
      <c r="G118" s="257"/>
      <c r="H118" s="257"/>
      <c r="I118" s="257"/>
    </row>
    <row r="119" spans="1:9" ht="23.25" customHeight="1">
      <c r="A119" s="218" t="s">
        <v>80</v>
      </c>
      <c r="B119" s="218"/>
      <c r="C119" s="218"/>
      <c r="D119" s="218"/>
      <c r="E119" s="218"/>
      <c r="F119" s="218"/>
      <c r="G119" s="218"/>
      <c r="H119" s="218"/>
      <c r="I119" s="218"/>
    </row>
    <row r="120" spans="1:9" ht="23.25" customHeight="1">
      <c r="A120" s="25">
        <v>4</v>
      </c>
      <c r="B120" s="254" t="s">
        <v>81</v>
      </c>
      <c r="C120" s="254"/>
      <c r="D120" s="254"/>
      <c r="E120" s="254"/>
      <c r="F120" s="254"/>
      <c r="G120" s="254"/>
      <c r="H120" s="254"/>
      <c r="I120" s="49" t="s">
        <v>40</v>
      </c>
    </row>
    <row r="121" spans="1:9" ht="18.75" customHeight="1">
      <c r="A121" s="51" t="s">
        <v>74</v>
      </c>
      <c r="B121" s="255" t="s">
        <v>75</v>
      </c>
      <c r="C121" s="255"/>
      <c r="D121" s="255"/>
      <c r="E121" s="255"/>
      <c r="F121" s="255"/>
      <c r="G121" s="255"/>
      <c r="H121" s="255"/>
      <c r="I121" s="50">
        <f>I112</f>
        <v>695.3900000000001</v>
      </c>
    </row>
    <row r="122" spans="1:9" ht="21.75" customHeight="1">
      <c r="A122" s="51" t="s">
        <v>82</v>
      </c>
      <c r="B122" s="255" t="s">
        <v>78</v>
      </c>
      <c r="C122" s="255"/>
      <c r="D122" s="255"/>
      <c r="E122" s="255"/>
      <c r="F122" s="255"/>
      <c r="G122" s="255"/>
      <c r="H122" s="255"/>
      <c r="I122" s="50">
        <f>I117</f>
        <v>0</v>
      </c>
    </row>
    <row r="123" spans="1:9" ht="23.25" customHeight="1">
      <c r="A123" s="258" t="s">
        <v>41</v>
      </c>
      <c r="B123" s="258"/>
      <c r="C123" s="258"/>
      <c r="D123" s="258"/>
      <c r="E123" s="258"/>
      <c r="F123" s="258"/>
      <c r="G123" s="258"/>
      <c r="H123" s="258"/>
      <c r="I123" s="22">
        <f>SUM(I121+I122)</f>
        <v>695.3900000000001</v>
      </c>
    </row>
    <row r="124" spans="1:9" ht="7.5" customHeight="1">
      <c r="A124" s="248"/>
      <c r="B124" s="248"/>
      <c r="C124" s="248"/>
      <c r="D124" s="248"/>
      <c r="E124" s="248"/>
      <c r="F124" s="248"/>
      <c r="G124" s="248"/>
      <c r="H124" s="248"/>
      <c r="I124" s="248"/>
    </row>
    <row r="125" spans="1:10" s="23" customFormat="1" ht="27.75" customHeight="1">
      <c r="A125" s="249" t="s">
        <v>83</v>
      </c>
      <c r="B125" s="249"/>
      <c r="C125" s="249"/>
      <c r="D125" s="249"/>
      <c r="E125" s="249"/>
      <c r="F125" s="249"/>
      <c r="G125" s="249"/>
      <c r="H125" s="249"/>
      <c r="I125" s="249"/>
      <c r="J125" s="132"/>
    </row>
    <row r="126" spans="1:9" ht="27" customHeight="1">
      <c r="A126" s="40">
        <v>3</v>
      </c>
      <c r="B126" s="213" t="s">
        <v>84</v>
      </c>
      <c r="C126" s="213"/>
      <c r="D126" s="213"/>
      <c r="E126" s="213"/>
      <c r="F126" s="213"/>
      <c r="G126" s="213"/>
      <c r="H126" s="213"/>
      <c r="I126" s="40" t="s">
        <v>40</v>
      </c>
    </row>
    <row r="127" spans="1:70" s="71" customFormat="1" ht="27" customHeight="1">
      <c r="A127" s="74" t="s">
        <v>1</v>
      </c>
      <c r="B127" s="237" t="s">
        <v>215</v>
      </c>
      <c r="C127" s="237"/>
      <c r="D127" s="237"/>
      <c r="E127" s="237"/>
      <c r="F127" s="237"/>
      <c r="G127" s="237"/>
      <c r="H127" s="237"/>
      <c r="I127" s="75">
        <v>123.19</v>
      </c>
      <c r="J127" s="132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</row>
    <row r="128" spans="1:70" s="71" customFormat="1" ht="12.75">
      <c r="A128" s="74" t="s">
        <v>3</v>
      </c>
      <c r="B128" s="237" t="s">
        <v>216</v>
      </c>
      <c r="C128" s="237"/>
      <c r="D128" s="237"/>
      <c r="E128" s="237"/>
      <c r="F128" s="237"/>
      <c r="G128" s="237"/>
      <c r="H128" s="237"/>
      <c r="I128" s="126">
        <v>82.03</v>
      </c>
      <c r="J128" s="176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</row>
    <row r="129" spans="1:9" ht="17.25" customHeight="1">
      <c r="A129" s="41" t="s">
        <v>5</v>
      </c>
      <c r="B129" s="183" t="s">
        <v>61</v>
      </c>
      <c r="C129" s="183"/>
      <c r="D129" s="183"/>
      <c r="E129" s="183"/>
      <c r="F129" s="183"/>
      <c r="G129" s="183"/>
      <c r="H129" s="183"/>
      <c r="I129" s="42" t="s">
        <v>85</v>
      </c>
    </row>
    <row r="130" spans="1:9" ht="15.75" customHeight="1">
      <c r="A130" s="232" t="s">
        <v>86</v>
      </c>
      <c r="B130" s="232"/>
      <c r="C130" s="232"/>
      <c r="D130" s="232"/>
      <c r="E130" s="232"/>
      <c r="F130" s="232"/>
      <c r="G130" s="232"/>
      <c r="H130" s="232"/>
      <c r="I130" s="52">
        <f>ROUND(SUM(I127:I129),2)</f>
        <v>205.22</v>
      </c>
    </row>
    <row r="131" spans="1:9" ht="7.5" customHeight="1">
      <c r="A131" s="322"/>
      <c r="B131" s="322"/>
      <c r="C131" s="322"/>
      <c r="D131" s="322"/>
      <c r="E131" s="322"/>
      <c r="F131" s="322"/>
      <c r="G131" s="322"/>
      <c r="H131" s="322"/>
      <c r="I131" s="322"/>
    </row>
    <row r="132" spans="1:9" ht="15.75" customHeight="1">
      <c r="A132" s="321" t="s">
        <v>87</v>
      </c>
      <c r="B132" s="321"/>
      <c r="C132" s="321"/>
      <c r="D132" s="321"/>
      <c r="E132" s="321"/>
      <c r="F132" s="321"/>
      <c r="G132" s="321"/>
      <c r="H132" s="321"/>
      <c r="I132" s="321"/>
    </row>
    <row r="133" spans="1:9" ht="6.75" customHeight="1">
      <c r="A133" s="53"/>
      <c r="B133" s="54"/>
      <c r="C133" s="54"/>
      <c r="D133" s="54"/>
      <c r="E133" s="54"/>
      <c r="F133" s="54"/>
      <c r="G133" s="54"/>
      <c r="H133" s="54"/>
      <c r="I133" s="55"/>
    </row>
    <row r="134" spans="1:9" ht="15.75">
      <c r="A134" s="244" t="s">
        <v>88</v>
      </c>
      <c r="B134" s="244"/>
      <c r="C134" s="244"/>
      <c r="D134" s="244"/>
      <c r="E134" s="244"/>
      <c r="F134" s="244"/>
      <c r="G134" s="244"/>
      <c r="H134" s="244"/>
      <c r="I134" s="244"/>
    </row>
    <row r="135" spans="1:9" ht="30">
      <c r="A135" s="40">
        <v>6</v>
      </c>
      <c r="B135" s="245" t="s">
        <v>89</v>
      </c>
      <c r="C135" s="245"/>
      <c r="D135" s="245"/>
      <c r="E135" s="245"/>
      <c r="F135" s="245"/>
      <c r="G135" s="245"/>
      <c r="H135" s="5" t="s">
        <v>31</v>
      </c>
      <c r="I135" s="56" t="s">
        <v>44</v>
      </c>
    </row>
    <row r="136" spans="1:9" ht="50.25" customHeight="1">
      <c r="A136" s="221" t="s">
        <v>90</v>
      </c>
      <c r="B136" s="221"/>
      <c r="C136" s="221"/>
      <c r="D136" s="221"/>
      <c r="E136" s="221"/>
      <c r="F136" s="221"/>
      <c r="G136" s="221"/>
      <c r="H136" s="79" t="s">
        <v>14</v>
      </c>
      <c r="I136" s="100">
        <f>SUM(I36+I87+I96+I123+I130)</f>
        <v>8787.21</v>
      </c>
    </row>
    <row r="137" spans="1:9" ht="15.75" customHeight="1">
      <c r="A137" s="79" t="s">
        <v>1</v>
      </c>
      <c r="B137" s="266" t="s">
        <v>91</v>
      </c>
      <c r="C137" s="266"/>
      <c r="D137" s="266"/>
      <c r="E137" s="266"/>
      <c r="F137" s="266"/>
      <c r="G137" s="266"/>
      <c r="H137" s="106">
        <v>0.06</v>
      </c>
      <c r="I137" s="100">
        <f>ROUND(H137*I136,2)</f>
        <v>527.23</v>
      </c>
    </row>
    <row r="138" spans="1:9" ht="50.25" customHeight="1">
      <c r="A138" s="221" t="s">
        <v>92</v>
      </c>
      <c r="B138" s="221"/>
      <c r="C138" s="221"/>
      <c r="D138" s="221"/>
      <c r="E138" s="221"/>
      <c r="F138" s="221"/>
      <c r="G138" s="221"/>
      <c r="H138" s="107" t="s">
        <v>14</v>
      </c>
      <c r="I138" s="100">
        <f>SUM(I36+I87+I96+I123+I130+I137)</f>
        <v>9314.439999999999</v>
      </c>
    </row>
    <row r="139" spans="1:9" ht="15.75" customHeight="1">
      <c r="A139" s="79" t="s">
        <v>3</v>
      </c>
      <c r="B139" s="266" t="s">
        <v>93</v>
      </c>
      <c r="C139" s="266"/>
      <c r="D139" s="266"/>
      <c r="E139" s="266"/>
      <c r="F139" s="266"/>
      <c r="G139" s="266"/>
      <c r="H139" s="106">
        <v>0.0679</v>
      </c>
      <c r="I139" s="100">
        <f>ROUND(H139*I138,2)</f>
        <v>632.45</v>
      </c>
    </row>
    <row r="140" spans="1:9" ht="48.75" customHeight="1">
      <c r="A140" s="221" t="s">
        <v>94</v>
      </c>
      <c r="B140" s="221"/>
      <c r="C140" s="221"/>
      <c r="D140" s="221"/>
      <c r="E140" s="221"/>
      <c r="F140" s="221"/>
      <c r="G140" s="221"/>
      <c r="H140" s="107" t="s">
        <v>14</v>
      </c>
      <c r="I140" s="100">
        <f>SUM(I32+I87+I96+I123+I130+I137+I139)</f>
        <v>9793.44</v>
      </c>
    </row>
    <row r="141" spans="1:9" ht="16.5" customHeight="1">
      <c r="A141" s="108" t="s">
        <v>5</v>
      </c>
      <c r="B141" s="267" t="s">
        <v>95</v>
      </c>
      <c r="C141" s="267"/>
      <c r="D141" s="267"/>
      <c r="E141" s="267"/>
      <c r="F141" s="267"/>
      <c r="G141" s="267"/>
      <c r="H141" s="107" t="s">
        <v>14</v>
      </c>
      <c r="I141" s="109" t="s">
        <v>14</v>
      </c>
    </row>
    <row r="142" spans="1:9" ht="12.75">
      <c r="A142" s="79"/>
      <c r="B142" s="205" t="s">
        <v>96</v>
      </c>
      <c r="C142" s="205"/>
      <c r="D142" s="205"/>
      <c r="E142" s="205"/>
      <c r="F142" s="205"/>
      <c r="G142" s="205"/>
      <c r="H142" s="107" t="s">
        <v>14</v>
      </c>
      <c r="I142" s="109" t="s">
        <v>14</v>
      </c>
    </row>
    <row r="143" spans="1:9" ht="22.5" customHeight="1">
      <c r="A143" s="79"/>
      <c r="B143" s="268" t="s">
        <v>179</v>
      </c>
      <c r="C143" s="268"/>
      <c r="D143" s="268"/>
      <c r="E143" s="268"/>
      <c r="F143" s="268"/>
      <c r="G143" s="268"/>
      <c r="H143" s="110">
        <v>0.03</v>
      </c>
      <c r="I143" s="111">
        <f>ROUND(($I$140/(1-$H$152))*H143,2)</f>
        <v>318.14</v>
      </c>
    </row>
    <row r="144" spans="1:9" ht="22.5" customHeight="1">
      <c r="A144" s="79"/>
      <c r="B144" s="268" t="s">
        <v>180</v>
      </c>
      <c r="C144" s="268"/>
      <c r="D144" s="268"/>
      <c r="E144" s="268"/>
      <c r="F144" s="268"/>
      <c r="G144" s="268"/>
      <c r="H144" s="110">
        <v>0.0065</v>
      </c>
      <c r="I144" s="111">
        <f>ROUND(($I$140/(1-$H$152))*H144,2)</f>
        <v>68.93</v>
      </c>
    </row>
    <row r="145" spans="1:9" ht="29.25" customHeight="1">
      <c r="A145" s="79"/>
      <c r="B145" s="221" t="s">
        <v>181</v>
      </c>
      <c r="C145" s="221"/>
      <c r="D145" s="221"/>
      <c r="E145" s="221"/>
      <c r="F145" s="221"/>
      <c r="G145" s="221"/>
      <c r="H145" s="112" t="s">
        <v>14</v>
      </c>
      <c r="I145" s="109" t="s">
        <v>14</v>
      </c>
    </row>
    <row r="146" spans="1:9" ht="29.25" customHeight="1">
      <c r="A146" s="79"/>
      <c r="B146" s="221" t="s">
        <v>182</v>
      </c>
      <c r="C146" s="221"/>
      <c r="D146" s="221"/>
      <c r="E146" s="221"/>
      <c r="F146" s="221"/>
      <c r="G146" s="221"/>
      <c r="H146" s="112" t="s">
        <v>14</v>
      </c>
      <c r="I146" s="109" t="s">
        <v>14</v>
      </c>
    </row>
    <row r="147" spans="1:9" ht="18" customHeight="1">
      <c r="A147" s="79"/>
      <c r="B147" s="269" t="s">
        <v>97</v>
      </c>
      <c r="C147" s="269"/>
      <c r="D147" s="269"/>
      <c r="E147" s="269"/>
      <c r="F147" s="269"/>
      <c r="G147" s="269"/>
      <c r="H147" s="113" t="s">
        <v>14</v>
      </c>
      <c r="I147" s="114" t="s">
        <v>14</v>
      </c>
    </row>
    <row r="148" spans="1:9" ht="18" customHeight="1">
      <c r="A148" s="79"/>
      <c r="B148" s="269" t="s">
        <v>98</v>
      </c>
      <c r="C148" s="269"/>
      <c r="D148" s="269"/>
      <c r="E148" s="269"/>
      <c r="F148" s="269"/>
      <c r="G148" s="269"/>
      <c r="H148" s="113" t="s">
        <v>14</v>
      </c>
      <c r="I148" s="114" t="s">
        <v>14</v>
      </c>
    </row>
    <row r="149" spans="1:9" ht="15" customHeight="1">
      <c r="A149" s="79"/>
      <c r="B149" s="247" t="s">
        <v>231</v>
      </c>
      <c r="C149" s="247"/>
      <c r="D149" s="247"/>
      <c r="E149" s="247"/>
      <c r="F149" s="247"/>
      <c r="G149" s="247"/>
      <c r="H149" s="110">
        <v>0.04</v>
      </c>
      <c r="I149" s="111">
        <f>ROUND(($I$140/(1-$H$152))*H149,2)</f>
        <v>424.19</v>
      </c>
    </row>
    <row r="150" spans="1:9" ht="15.75" customHeight="1">
      <c r="A150" s="261" t="s">
        <v>69</v>
      </c>
      <c r="B150" s="261"/>
      <c r="C150" s="261"/>
      <c r="D150" s="261"/>
      <c r="E150" s="261"/>
      <c r="F150" s="261"/>
      <c r="G150" s="261"/>
      <c r="H150" s="261"/>
      <c r="I150" s="98">
        <f>SUM(I137+I139+I143+I144+I149)</f>
        <v>1970.9400000000003</v>
      </c>
    </row>
    <row r="151" spans="1:9" ht="6.75" customHeight="1">
      <c r="A151" s="270"/>
      <c r="B151" s="270"/>
      <c r="C151" s="270"/>
      <c r="D151" s="270"/>
      <c r="E151" s="270"/>
      <c r="F151" s="270"/>
      <c r="G151" s="270"/>
      <c r="H151" s="270"/>
      <c r="I151" s="270"/>
    </row>
    <row r="152" spans="1:9" ht="15.75" customHeight="1">
      <c r="A152" s="271" t="s">
        <v>99</v>
      </c>
      <c r="B152" s="271"/>
      <c r="C152" s="271"/>
      <c r="D152" s="271"/>
      <c r="E152" s="271"/>
      <c r="F152" s="271"/>
      <c r="G152" s="271"/>
      <c r="H152" s="106">
        <f>SUM(H143:H149)</f>
        <v>0.0765</v>
      </c>
      <c r="I152" s="80">
        <f>SUM(I143:I149)</f>
        <v>811.26</v>
      </c>
    </row>
    <row r="153" spans="1:9" ht="12.75" customHeight="1">
      <c r="A153" s="272" t="s">
        <v>100</v>
      </c>
      <c r="B153" s="272"/>
      <c r="C153" s="273" t="s">
        <v>101</v>
      </c>
      <c r="D153" s="273"/>
      <c r="E153" s="273"/>
      <c r="F153" s="273"/>
      <c r="G153" s="273"/>
      <c r="H153" s="273"/>
      <c r="I153" s="273"/>
    </row>
    <row r="154" spans="1:9" ht="12" customHeight="1">
      <c r="A154" s="272"/>
      <c r="B154" s="272"/>
      <c r="C154" s="274" t="s">
        <v>102</v>
      </c>
      <c r="D154" s="274"/>
      <c r="E154" s="274"/>
      <c r="F154" s="274"/>
      <c r="G154" s="274"/>
      <c r="H154" s="274"/>
      <c r="I154" s="274"/>
    </row>
    <row r="155" spans="1:9" ht="13.5" customHeight="1">
      <c r="A155" s="272"/>
      <c r="B155" s="272"/>
      <c r="C155" s="275" t="s">
        <v>103</v>
      </c>
      <c r="D155" s="275"/>
      <c r="E155" s="275"/>
      <c r="F155" s="275"/>
      <c r="G155" s="275"/>
      <c r="H155" s="275"/>
      <c r="I155" s="275"/>
    </row>
    <row r="156" spans="1:9" ht="6.75" customHeight="1">
      <c r="A156" s="317"/>
      <c r="B156" s="317"/>
      <c r="C156" s="317"/>
      <c r="D156" s="317"/>
      <c r="E156" s="317"/>
      <c r="F156" s="317"/>
      <c r="G156" s="317"/>
      <c r="H156" s="317"/>
      <c r="I156" s="317"/>
    </row>
    <row r="157" spans="1:9" ht="24" customHeight="1">
      <c r="A157" s="318" t="s">
        <v>104</v>
      </c>
      <c r="B157" s="318"/>
      <c r="C157" s="318"/>
      <c r="D157" s="318"/>
      <c r="E157" s="318"/>
      <c r="F157" s="318"/>
      <c r="G157" s="318"/>
      <c r="H157" s="318"/>
      <c r="I157" s="318"/>
    </row>
    <row r="158" spans="1:9" ht="5.25" customHeight="1">
      <c r="A158" s="270"/>
      <c r="B158" s="270"/>
      <c r="C158" s="270"/>
      <c r="D158" s="270"/>
      <c r="E158" s="270"/>
      <c r="F158" s="270"/>
      <c r="G158" s="270"/>
      <c r="H158" s="270"/>
      <c r="I158" s="270"/>
    </row>
    <row r="159" spans="1:9" ht="27.75" customHeight="1">
      <c r="A159" s="319" t="s">
        <v>183</v>
      </c>
      <c r="B159" s="319"/>
      <c r="C159" s="319"/>
      <c r="D159" s="319"/>
      <c r="E159" s="319"/>
      <c r="F159" s="319"/>
      <c r="G159" s="319"/>
      <c r="H159" s="319"/>
      <c r="I159" s="319"/>
    </row>
    <row r="160" spans="1:9" ht="15" customHeight="1">
      <c r="A160" s="320" t="s">
        <v>105</v>
      </c>
      <c r="B160" s="320"/>
      <c r="C160" s="320"/>
      <c r="D160" s="320"/>
      <c r="E160" s="320"/>
      <c r="F160" s="320"/>
      <c r="G160" s="320"/>
      <c r="H160" s="320"/>
      <c r="I160" s="115" t="s">
        <v>40</v>
      </c>
    </row>
    <row r="161" spans="1:11" ht="15" customHeight="1">
      <c r="A161" s="116" t="s">
        <v>1</v>
      </c>
      <c r="B161" s="316" t="s">
        <v>106</v>
      </c>
      <c r="C161" s="316"/>
      <c r="D161" s="316"/>
      <c r="E161" s="316"/>
      <c r="F161" s="316"/>
      <c r="G161" s="316"/>
      <c r="H161" s="316"/>
      <c r="I161" s="88">
        <f>I36</f>
        <v>4593.9800000000005</v>
      </c>
      <c r="K161" s="57"/>
    </row>
    <row r="162" spans="1:9" ht="15" customHeight="1">
      <c r="A162" s="116" t="s">
        <v>3</v>
      </c>
      <c r="B162" s="316" t="s">
        <v>107</v>
      </c>
      <c r="C162" s="316"/>
      <c r="D162" s="316"/>
      <c r="E162" s="316"/>
      <c r="F162" s="316"/>
      <c r="G162" s="316"/>
      <c r="H162" s="316"/>
      <c r="I162" s="88">
        <f>I87</f>
        <v>2973.0199999999995</v>
      </c>
    </row>
    <row r="163" spans="1:9" ht="15" customHeight="1">
      <c r="A163" s="116" t="s">
        <v>5</v>
      </c>
      <c r="B163" s="316" t="s">
        <v>108</v>
      </c>
      <c r="C163" s="316"/>
      <c r="D163" s="316"/>
      <c r="E163" s="316"/>
      <c r="F163" s="316"/>
      <c r="G163" s="316"/>
      <c r="H163" s="316"/>
      <c r="I163" s="88">
        <f>I96</f>
        <v>319.6</v>
      </c>
    </row>
    <row r="164" spans="1:9" ht="15" customHeight="1">
      <c r="A164" s="116" t="s">
        <v>7</v>
      </c>
      <c r="B164" s="316" t="s">
        <v>109</v>
      </c>
      <c r="C164" s="316"/>
      <c r="D164" s="316"/>
      <c r="E164" s="316"/>
      <c r="F164" s="316"/>
      <c r="G164" s="316"/>
      <c r="H164" s="316"/>
      <c r="I164" s="88">
        <f>I123</f>
        <v>695.3900000000001</v>
      </c>
    </row>
    <row r="165" spans="1:9" ht="15" customHeight="1">
      <c r="A165" s="116" t="s">
        <v>33</v>
      </c>
      <c r="B165" s="316" t="s">
        <v>110</v>
      </c>
      <c r="C165" s="316"/>
      <c r="D165" s="316"/>
      <c r="E165" s="316"/>
      <c r="F165" s="316"/>
      <c r="G165" s="316"/>
      <c r="H165" s="316"/>
      <c r="I165" s="88">
        <f>I130</f>
        <v>205.22</v>
      </c>
    </row>
    <row r="166" spans="1:9" ht="15" customHeight="1">
      <c r="A166" s="315" t="s">
        <v>111</v>
      </c>
      <c r="B166" s="315"/>
      <c r="C166" s="315"/>
      <c r="D166" s="315"/>
      <c r="E166" s="315"/>
      <c r="F166" s="315"/>
      <c r="G166" s="315"/>
      <c r="H166" s="315"/>
      <c r="I166" s="88">
        <f>SUM(I161:I165)</f>
        <v>8787.21</v>
      </c>
    </row>
    <row r="167" spans="1:9" ht="15" customHeight="1">
      <c r="A167" s="117" t="s">
        <v>34</v>
      </c>
      <c r="B167" s="316" t="s">
        <v>88</v>
      </c>
      <c r="C167" s="316"/>
      <c r="D167" s="316"/>
      <c r="E167" s="316"/>
      <c r="F167" s="316"/>
      <c r="G167" s="316"/>
      <c r="H167" s="316"/>
      <c r="I167" s="118">
        <f>I150</f>
        <v>1970.9400000000003</v>
      </c>
    </row>
    <row r="168" spans="1:9" ht="15" customHeight="1">
      <c r="A168" s="315" t="s">
        <v>112</v>
      </c>
      <c r="B168" s="315"/>
      <c r="C168" s="315"/>
      <c r="D168" s="315"/>
      <c r="E168" s="315"/>
      <c r="F168" s="315"/>
      <c r="G168" s="315"/>
      <c r="H168" s="315"/>
      <c r="I168" s="88">
        <f>I166+I167</f>
        <v>10758.15</v>
      </c>
    </row>
    <row r="169" spans="1:9" ht="36.75" customHeight="1">
      <c r="A169" s="278" t="s">
        <v>113</v>
      </c>
      <c r="B169" s="278"/>
      <c r="C169" s="278"/>
      <c r="D169" s="278"/>
      <c r="E169" s="278"/>
      <c r="F169" s="278"/>
      <c r="G169" s="278"/>
      <c r="H169" s="278"/>
      <c r="I169" s="278"/>
    </row>
    <row r="170" spans="1:9" ht="7.5" customHeight="1">
      <c r="A170" s="280"/>
      <c r="B170" s="280"/>
      <c r="C170" s="280"/>
      <c r="D170" s="280"/>
      <c r="E170" s="280"/>
      <c r="F170" s="280"/>
      <c r="G170" s="280"/>
      <c r="H170" s="280"/>
      <c r="I170" s="280"/>
    </row>
    <row r="171" spans="1:13" ht="15" customHeight="1" hidden="1">
      <c r="A171" s="65"/>
      <c r="B171" s="65"/>
      <c r="C171" s="65"/>
      <c r="D171" s="65"/>
      <c r="E171" s="65"/>
      <c r="F171" s="65"/>
      <c r="G171" s="65"/>
      <c r="H171" s="66"/>
      <c r="I171" s="67"/>
      <c r="J171" s="134"/>
      <c r="K171" s="60"/>
      <c r="L171" s="61"/>
      <c r="M171" s="62"/>
    </row>
    <row r="172" spans="1:9" ht="31.5" customHeight="1">
      <c r="A172" s="281" t="s">
        <v>114</v>
      </c>
      <c r="B172" s="281"/>
      <c r="C172" s="281"/>
      <c r="D172" s="281"/>
      <c r="E172" s="281"/>
      <c r="F172" s="281"/>
      <c r="G172" s="281"/>
      <c r="H172" s="281"/>
      <c r="I172" s="281"/>
    </row>
    <row r="173" spans="1:256" ht="45" customHeight="1">
      <c r="A173" s="190" t="s">
        <v>115</v>
      </c>
      <c r="B173" s="190"/>
      <c r="C173" s="190"/>
      <c r="D173" s="190"/>
      <c r="E173" s="190" t="s">
        <v>116</v>
      </c>
      <c r="F173" s="190"/>
      <c r="G173" s="5" t="s">
        <v>117</v>
      </c>
      <c r="H173" s="190" t="s">
        <v>118</v>
      </c>
      <c r="I173" s="190"/>
      <c r="J173" s="130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42.75" customHeight="1">
      <c r="A174" s="286" t="s">
        <v>119</v>
      </c>
      <c r="B174" s="286"/>
      <c r="C174" s="286"/>
      <c r="D174" s="286"/>
      <c r="E174" s="288">
        <f>'Planilha Diurna'!I166</f>
        <v>9592.76</v>
      </c>
      <c r="F174" s="288"/>
      <c r="G174" s="63">
        <v>1</v>
      </c>
      <c r="H174" s="288">
        <f>E174*G174</f>
        <v>9592.76</v>
      </c>
      <c r="I174" s="288"/>
      <c r="J174" s="130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41.25" customHeight="1">
      <c r="A175" s="289" t="s">
        <v>120</v>
      </c>
      <c r="B175" s="289"/>
      <c r="C175" s="289"/>
      <c r="D175" s="289"/>
      <c r="E175" s="290">
        <f>I168</f>
        <v>10758.15</v>
      </c>
      <c r="F175" s="290"/>
      <c r="G175" s="64">
        <f>H13</f>
        <v>1</v>
      </c>
      <c r="H175" s="291">
        <f>E175*G175</f>
        <v>10758.15</v>
      </c>
      <c r="I175" s="291"/>
      <c r="J175" s="130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20.25" customHeight="1">
      <c r="A176" s="283" t="s">
        <v>121</v>
      </c>
      <c r="B176" s="283"/>
      <c r="C176" s="283"/>
      <c r="D176" s="283"/>
      <c r="E176" s="283"/>
      <c r="F176" s="283"/>
      <c r="G176" s="127">
        <f>SUM(G174:G175)</f>
        <v>2</v>
      </c>
      <c r="H176" s="284">
        <f>SUM(H174:I175)</f>
        <v>20350.91</v>
      </c>
      <c r="I176" s="284"/>
      <c r="J176" s="130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6.7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130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7.25" customHeight="1">
      <c r="A178" s="292" t="s">
        <v>122</v>
      </c>
      <c r="B178" s="292"/>
      <c r="C178" s="292"/>
      <c r="D178" s="292"/>
      <c r="E178" s="292"/>
      <c r="F178" s="292"/>
      <c r="G178" s="292"/>
      <c r="H178" s="292"/>
      <c r="I178" s="292"/>
      <c r="J178" s="130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9" ht="6.75" customHeight="1">
      <c r="A179" s="293"/>
      <c r="B179" s="293"/>
      <c r="C179" s="293"/>
      <c r="D179" s="293"/>
      <c r="E179" s="293"/>
      <c r="F179" s="293"/>
      <c r="G179" s="293"/>
      <c r="H179" s="293"/>
      <c r="I179" s="293"/>
    </row>
    <row r="180" spans="1:9" ht="18.75" customHeight="1">
      <c r="A180" s="294" t="s">
        <v>123</v>
      </c>
      <c r="B180" s="294"/>
      <c r="C180" s="294"/>
      <c r="D180" s="294"/>
      <c r="E180" s="294"/>
      <c r="F180" s="294"/>
      <c r="G180" s="295">
        <f>$H$176</f>
        <v>20350.91</v>
      </c>
      <c r="H180" s="295"/>
      <c r="I180" s="295"/>
    </row>
    <row r="181" spans="1:9" ht="8.25" customHeight="1">
      <c r="A181" s="296"/>
      <c r="B181" s="296"/>
      <c r="C181" s="296"/>
      <c r="D181" s="296"/>
      <c r="E181" s="296"/>
      <c r="F181" s="296"/>
      <c r="G181" s="296"/>
      <c r="H181" s="296"/>
      <c r="I181" s="296"/>
    </row>
    <row r="182" spans="1:9" ht="19.5" customHeight="1">
      <c r="A182" s="297" t="s">
        <v>124</v>
      </c>
      <c r="B182" s="297"/>
      <c r="C182" s="297"/>
      <c r="D182" s="297"/>
      <c r="E182" s="297"/>
      <c r="F182" s="297"/>
      <c r="G182" s="298">
        <f>$H$10</f>
        <v>12</v>
      </c>
      <c r="H182" s="298"/>
      <c r="I182" s="298"/>
    </row>
    <row r="183" spans="1:9" ht="8.25" customHeight="1">
      <c r="A183" s="313"/>
      <c r="B183" s="313"/>
      <c r="C183" s="313"/>
      <c r="D183" s="313"/>
      <c r="E183" s="313"/>
      <c r="F183" s="313"/>
      <c r="G183" s="313"/>
      <c r="H183" s="313"/>
      <c r="I183" s="313"/>
    </row>
    <row r="184" spans="1:9" ht="31.5" customHeight="1">
      <c r="A184" s="314" t="s">
        <v>125</v>
      </c>
      <c r="B184" s="314"/>
      <c r="C184" s="314"/>
      <c r="D184" s="314"/>
      <c r="E184" s="314"/>
      <c r="F184" s="314"/>
      <c r="G184" s="304">
        <f>ROUND(G180*G182,2)</f>
        <v>244210.92</v>
      </c>
      <c r="H184" s="304"/>
      <c r="I184" s="304"/>
    </row>
    <row r="185" spans="1:9" ht="8.25" customHeight="1">
      <c r="A185" s="305"/>
      <c r="B185" s="305"/>
      <c r="C185" s="305"/>
      <c r="D185" s="305"/>
      <c r="E185" s="305"/>
      <c r="F185" s="305"/>
      <c r="G185" s="305"/>
      <c r="H185" s="305"/>
      <c r="I185" s="305"/>
    </row>
    <row r="186" spans="1:9" ht="29.25" customHeight="1">
      <c r="A186" s="306" t="s">
        <v>219</v>
      </c>
      <c r="B186" s="306"/>
      <c r="C186" s="306"/>
      <c r="D186" s="306"/>
      <c r="E186" s="306"/>
      <c r="F186" s="306"/>
      <c r="G186" s="306"/>
      <c r="H186" s="306"/>
      <c r="I186" s="306"/>
    </row>
    <row r="187" spans="1:9" ht="12" customHeight="1">
      <c r="A187" s="307" t="s">
        <v>127</v>
      </c>
      <c r="B187" s="307"/>
      <c r="C187" s="307"/>
      <c r="D187" s="192" t="s">
        <v>128</v>
      </c>
      <c r="E187" s="192"/>
      <c r="F187" s="192"/>
      <c r="G187" s="192"/>
      <c r="H187" s="192"/>
      <c r="I187" s="192"/>
    </row>
    <row r="188" spans="1:9" ht="12">
      <c r="A188" s="307"/>
      <c r="B188" s="307"/>
      <c r="C188" s="307"/>
      <c r="D188" s="192"/>
      <c r="E188" s="192"/>
      <c r="F188" s="192"/>
      <c r="G188" s="192"/>
      <c r="H188" s="192"/>
      <c r="I188" s="192"/>
    </row>
    <row r="189" spans="1:9" ht="14.25" customHeight="1">
      <c r="A189" s="300" t="s">
        <v>129</v>
      </c>
      <c r="B189" s="300"/>
      <c r="C189" s="300"/>
      <c r="D189" s="312">
        <v>2</v>
      </c>
      <c r="E189" s="312"/>
      <c r="F189" s="312"/>
      <c r="G189" s="312"/>
      <c r="H189" s="312"/>
      <c r="I189" s="312"/>
    </row>
    <row r="190" spans="1:9" ht="15" customHeight="1">
      <c r="A190" s="309"/>
      <c r="B190" s="309"/>
      <c r="C190" s="309"/>
      <c r="D190" s="309"/>
      <c r="E190" s="309"/>
      <c r="F190" s="309"/>
      <c r="G190" s="309"/>
      <c r="H190" s="309"/>
      <c r="I190" s="309"/>
    </row>
    <row r="191" spans="1:9" ht="12" hidden="1">
      <c r="A191" s="309"/>
      <c r="B191" s="309"/>
      <c r="C191" s="309"/>
      <c r="D191" s="309"/>
      <c r="E191" s="309"/>
      <c r="F191" s="309"/>
      <c r="G191" s="309"/>
      <c r="H191" s="309"/>
      <c r="I191" s="309"/>
    </row>
    <row r="192" spans="1:9" ht="27" customHeight="1">
      <c r="A192" s="311" t="s">
        <v>133</v>
      </c>
      <c r="B192" s="311"/>
      <c r="C192" s="311"/>
      <c r="D192" s="311"/>
      <c r="E192" s="311"/>
      <c r="F192" s="311"/>
      <c r="G192" s="311"/>
      <c r="H192" s="311"/>
      <c r="I192" s="311"/>
    </row>
    <row r="193" spans="1:9" ht="12.75" customHeight="1">
      <c r="A193" s="192" t="s">
        <v>130</v>
      </c>
      <c r="B193" s="192"/>
      <c r="C193" s="192"/>
      <c r="D193" s="192"/>
      <c r="E193" s="192"/>
      <c r="F193" s="192"/>
      <c r="G193" s="192"/>
      <c r="H193" s="192" t="s">
        <v>131</v>
      </c>
      <c r="I193" s="192"/>
    </row>
    <row r="194" spans="1:9" ht="15" customHeight="1">
      <c r="A194" s="299"/>
      <c r="B194" s="299"/>
      <c r="C194" s="299"/>
      <c r="D194" s="299"/>
      <c r="E194" s="299"/>
      <c r="F194" s="299"/>
      <c r="G194" s="299"/>
      <c r="H194" s="192"/>
      <c r="I194" s="192"/>
    </row>
    <row r="195" spans="1:9" ht="12.75" customHeight="1">
      <c r="A195" s="300"/>
      <c r="B195" s="300"/>
      <c r="C195" s="300"/>
      <c r="D195" s="300"/>
      <c r="E195" s="300"/>
      <c r="F195" s="300"/>
      <c r="G195" s="300"/>
      <c r="H195" s="192"/>
      <c r="I195" s="192"/>
    </row>
    <row r="196" spans="1:9" ht="12.75" customHeight="1">
      <c r="A196" s="308"/>
      <c r="B196" s="308"/>
      <c r="C196" s="308"/>
      <c r="D196" s="308"/>
      <c r="E196" s="308"/>
      <c r="F196" s="308"/>
      <c r="G196" s="308"/>
      <c r="H196" s="192"/>
      <c r="I196" s="192"/>
    </row>
    <row r="206" ht="12.75" customHeight="1"/>
  </sheetData>
  <sheetProtection selectLockedCells="1" selectUnlockedCells="1"/>
  <mergeCells count="256">
    <mergeCell ref="A1:I1"/>
    <mergeCell ref="A2:I2"/>
    <mergeCell ref="A3:I3"/>
    <mergeCell ref="A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G14"/>
    <mergeCell ref="H14:I14"/>
    <mergeCell ref="A15:I15"/>
    <mergeCell ref="BU16:CB16"/>
    <mergeCell ref="CC16:CJ16"/>
    <mergeCell ref="CK16:CR16"/>
    <mergeCell ref="CS16:CZ16"/>
    <mergeCell ref="A16:I16"/>
    <mergeCell ref="J16:P16"/>
    <mergeCell ref="Q16:X16"/>
    <mergeCell ref="Y16:AF16"/>
    <mergeCell ref="AG16:AN16"/>
    <mergeCell ref="AO16:AV16"/>
    <mergeCell ref="HY16:IF16"/>
    <mergeCell ref="IG16:IN16"/>
    <mergeCell ref="IO16:IV16"/>
    <mergeCell ref="B17:G17"/>
    <mergeCell ref="H17:I17"/>
    <mergeCell ref="DQ16:DX16"/>
    <mergeCell ref="DY16:EF16"/>
    <mergeCell ref="HA16:HH16"/>
    <mergeCell ref="AW16:BD16"/>
    <mergeCell ref="BE16:BL16"/>
    <mergeCell ref="HI16:HP16"/>
    <mergeCell ref="HQ16:HX16"/>
    <mergeCell ref="B18:G18"/>
    <mergeCell ref="H18:I18"/>
    <mergeCell ref="GC16:GJ16"/>
    <mergeCell ref="GK16:GR16"/>
    <mergeCell ref="GS16:GZ16"/>
    <mergeCell ref="DA16:DH16"/>
    <mergeCell ref="DI16:DP16"/>
    <mergeCell ref="BM16:BT16"/>
    <mergeCell ref="B19:G19"/>
    <mergeCell ref="H19:I19"/>
    <mergeCell ref="FU16:GB16"/>
    <mergeCell ref="EG16:EN16"/>
    <mergeCell ref="EO16:EV16"/>
    <mergeCell ref="B20:G20"/>
    <mergeCell ref="H20:I20"/>
    <mergeCell ref="EW16:FD16"/>
    <mergeCell ref="FE16:FL16"/>
    <mergeCell ref="FM16:FT16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I26"/>
    <mergeCell ref="B27:G27"/>
    <mergeCell ref="B28:H28"/>
    <mergeCell ref="B29:H29"/>
    <mergeCell ref="B30:H30"/>
    <mergeCell ref="B31:G31"/>
    <mergeCell ref="A32:H32"/>
    <mergeCell ref="B33:H33"/>
    <mergeCell ref="A34:H34"/>
    <mergeCell ref="A35:I35"/>
    <mergeCell ref="A36:H36"/>
    <mergeCell ref="A37:I37"/>
    <mergeCell ref="A38:I38"/>
    <mergeCell ref="A39:I39"/>
    <mergeCell ref="A40:I40"/>
    <mergeCell ref="A41:I41"/>
    <mergeCell ref="B42:H42"/>
    <mergeCell ref="B43:G43"/>
    <mergeCell ref="B44:G44"/>
    <mergeCell ref="A45:H45"/>
    <mergeCell ref="A46:I46"/>
    <mergeCell ref="A47:I47"/>
    <mergeCell ref="A48:I48"/>
    <mergeCell ref="A49:I49"/>
    <mergeCell ref="B50:G50"/>
    <mergeCell ref="B51:G51"/>
    <mergeCell ref="B52:G52"/>
    <mergeCell ref="B53:C53"/>
    <mergeCell ref="B54:G54"/>
    <mergeCell ref="B55:G55"/>
    <mergeCell ref="B56:G56"/>
    <mergeCell ref="B57:G57"/>
    <mergeCell ref="B58:G58"/>
    <mergeCell ref="A59:G59"/>
    <mergeCell ref="A61:I61"/>
    <mergeCell ref="A62:I62"/>
    <mergeCell ref="A63:I63"/>
    <mergeCell ref="B64:H64"/>
    <mergeCell ref="B65:H65"/>
    <mergeCell ref="B66:G66"/>
    <mergeCell ref="B67:G67"/>
    <mergeCell ref="B68:G68"/>
    <mergeCell ref="B69:G69"/>
    <mergeCell ref="B70:H70"/>
    <mergeCell ref="B71:G71"/>
    <mergeCell ref="B72:G72"/>
    <mergeCell ref="B73:G73"/>
    <mergeCell ref="B74:H74"/>
    <mergeCell ref="B75:H75"/>
    <mergeCell ref="B76:H76"/>
    <mergeCell ref="B77:H77"/>
    <mergeCell ref="B78:H78"/>
    <mergeCell ref="A79:I79"/>
    <mergeCell ref="A80:I80"/>
    <mergeCell ref="A81:I81"/>
    <mergeCell ref="A82:I82"/>
    <mergeCell ref="B83:H83"/>
    <mergeCell ref="B84:H84"/>
    <mergeCell ref="B85:H85"/>
    <mergeCell ref="B86:H86"/>
    <mergeCell ref="A87:H87"/>
    <mergeCell ref="A88:I88"/>
    <mergeCell ref="A89:I89"/>
    <mergeCell ref="B90:H90"/>
    <mergeCell ref="B91:H91"/>
    <mergeCell ref="B92:H92"/>
    <mergeCell ref="B93:H93"/>
    <mergeCell ref="B94:H94"/>
    <mergeCell ref="B95:G95"/>
    <mergeCell ref="A96:H96"/>
    <mergeCell ref="A97:I97"/>
    <mergeCell ref="A98:I98"/>
    <mergeCell ref="A99:I99"/>
    <mergeCell ref="A100:I100"/>
    <mergeCell ref="A101:I101"/>
    <mergeCell ref="A103:I103"/>
    <mergeCell ref="A104:I104"/>
    <mergeCell ref="B105:H105"/>
    <mergeCell ref="B106:H106"/>
    <mergeCell ref="B107:H107"/>
    <mergeCell ref="B108:H108"/>
    <mergeCell ref="B109:H109"/>
    <mergeCell ref="B110:H110"/>
    <mergeCell ref="B111:H111"/>
    <mergeCell ref="A112:H112"/>
    <mergeCell ref="A113:I113"/>
    <mergeCell ref="A114:I114"/>
    <mergeCell ref="B115:H115"/>
    <mergeCell ref="B116:H116"/>
    <mergeCell ref="A117:H117"/>
    <mergeCell ref="A118:I118"/>
    <mergeCell ref="A119:I119"/>
    <mergeCell ref="B120:H120"/>
    <mergeCell ref="B121:H121"/>
    <mergeCell ref="B122:H122"/>
    <mergeCell ref="A123:H123"/>
    <mergeCell ref="A124:I124"/>
    <mergeCell ref="A125:I125"/>
    <mergeCell ref="B126:H126"/>
    <mergeCell ref="B127:H127"/>
    <mergeCell ref="B128:H128"/>
    <mergeCell ref="B129:H129"/>
    <mergeCell ref="A130:H130"/>
    <mergeCell ref="A131:I131"/>
    <mergeCell ref="A132:I132"/>
    <mergeCell ref="A134:I134"/>
    <mergeCell ref="B135:G135"/>
    <mergeCell ref="A136:G136"/>
    <mergeCell ref="B137:G137"/>
    <mergeCell ref="A138:G138"/>
    <mergeCell ref="B139:G139"/>
    <mergeCell ref="A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A150:H150"/>
    <mergeCell ref="A151:I151"/>
    <mergeCell ref="A152:G152"/>
    <mergeCell ref="A153:B155"/>
    <mergeCell ref="C153:I153"/>
    <mergeCell ref="C154:I154"/>
    <mergeCell ref="C155:I155"/>
    <mergeCell ref="A156:I156"/>
    <mergeCell ref="A157:I157"/>
    <mergeCell ref="A158:I158"/>
    <mergeCell ref="A159:I159"/>
    <mergeCell ref="A160:H160"/>
    <mergeCell ref="B161:H161"/>
    <mergeCell ref="B162:H162"/>
    <mergeCell ref="B163:H163"/>
    <mergeCell ref="B164:H164"/>
    <mergeCell ref="B165:H165"/>
    <mergeCell ref="A166:H166"/>
    <mergeCell ref="B167:H167"/>
    <mergeCell ref="A168:H168"/>
    <mergeCell ref="A169:I169"/>
    <mergeCell ref="A170:I170"/>
    <mergeCell ref="A172:I172"/>
    <mergeCell ref="A173:D173"/>
    <mergeCell ref="E173:F173"/>
    <mergeCell ref="H173:I173"/>
    <mergeCell ref="A174:D174"/>
    <mergeCell ref="E174:F174"/>
    <mergeCell ref="H174:I174"/>
    <mergeCell ref="A175:D175"/>
    <mergeCell ref="E175:F175"/>
    <mergeCell ref="H175:I175"/>
    <mergeCell ref="A176:F176"/>
    <mergeCell ref="H176:I176"/>
    <mergeCell ref="A177:I177"/>
    <mergeCell ref="A178:I178"/>
    <mergeCell ref="A179:I179"/>
    <mergeCell ref="A180:F180"/>
    <mergeCell ref="G180:I180"/>
    <mergeCell ref="A181:I181"/>
    <mergeCell ref="A182:F182"/>
    <mergeCell ref="G182:I182"/>
    <mergeCell ref="A183:I183"/>
    <mergeCell ref="A184:F184"/>
    <mergeCell ref="G184:I184"/>
    <mergeCell ref="A185:I185"/>
    <mergeCell ref="A186:I186"/>
    <mergeCell ref="A187:C188"/>
    <mergeCell ref="D187:I188"/>
    <mergeCell ref="A189:C189"/>
    <mergeCell ref="D189:I189"/>
    <mergeCell ref="A190:I191"/>
    <mergeCell ref="A192:I192"/>
    <mergeCell ref="A196:G196"/>
    <mergeCell ref="H196:I196"/>
    <mergeCell ref="A193:G193"/>
    <mergeCell ref="H193:I193"/>
    <mergeCell ref="A194:G194"/>
    <mergeCell ref="H194:I194"/>
    <mergeCell ref="A195:G195"/>
    <mergeCell ref="H195:I195"/>
  </mergeCells>
  <printOptions/>
  <pageMargins left="0.7875" right="0.31527777777777777" top="0.2298611111111111" bottom="0.31527777777777777" header="0.5118055555555555" footer="0.5118055555555555"/>
  <pageSetup horizontalDpi="300" verticalDpi="300" orientation="portrait" paperSize="9" scale="78" r:id="rId1"/>
  <rowBreaks count="5" manualBreakCount="5">
    <brk id="30" max="255" man="1"/>
    <brk id="62" max="255" man="1"/>
    <brk id="97" max="255" man="1"/>
    <brk id="157" max="255" man="1"/>
    <brk id="1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5.28125" style="173" bestFit="1" customWidth="1"/>
    <col min="2" max="2" width="26.421875" style="136" bestFit="1" customWidth="1"/>
    <col min="3" max="3" width="27.57421875" style="136" bestFit="1" customWidth="1"/>
    <col min="4" max="4" width="26.421875" style="136" bestFit="1" customWidth="1"/>
    <col min="5" max="5" width="21.7109375" style="136" bestFit="1" customWidth="1"/>
    <col min="6" max="16384" width="9.140625" style="136" customWidth="1"/>
  </cols>
  <sheetData>
    <row r="1" spans="1:5" s="173" customFormat="1" ht="15.75">
      <c r="A1" s="164"/>
      <c r="B1" s="164" t="s">
        <v>241</v>
      </c>
      <c r="C1" s="164" t="s">
        <v>242</v>
      </c>
      <c r="D1" s="164" t="s">
        <v>243</v>
      </c>
      <c r="E1" s="164" t="s">
        <v>260</v>
      </c>
    </row>
    <row r="2" spans="1:5" ht="15.75">
      <c r="A2" s="164" t="s">
        <v>261</v>
      </c>
      <c r="B2" s="174">
        <v>58.16</v>
      </c>
      <c r="C2" s="174">
        <f>C3/2</f>
        <v>40.96</v>
      </c>
      <c r="D2" s="174">
        <f>D3/2</f>
        <v>85.665</v>
      </c>
      <c r="E2" s="175">
        <f>SUM(B2:D2)/3</f>
        <v>61.595000000000006</v>
      </c>
    </row>
    <row r="3" spans="1:5" ht="15.75">
      <c r="A3" s="164" t="s">
        <v>262</v>
      </c>
      <c r="B3" s="174">
        <f>B2*2</f>
        <v>116.32</v>
      </c>
      <c r="C3" s="174">
        <v>81.92</v>
      </c>
      <c r="D3" s="174">
        <v>171.33</v>
      </c>
      <c r="E3" s="175">
        <f>E2*2</f>
        <v>123.19000000000001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3">
      <selection activeCell="F20" sqref="F20"/>
    </sheetView>
  </sheetViews>
  <sheetFormatPr defaultColWidth="15.140625" defaultRowHeight="27.75" customHeight="1"/>
  <cols>
    <col min="1" max="1" width="37.140625" style="164" bestFit="1" customWidth="1"/>
    <col min="2" max="2" width="11.57421875" style="139" bestFit="1" customWidth="1"/>
    <col min="3" max="3" width="19.8515625" style="166" bestFit="1" customWidth="1"/>
    <col min="4" max="4" width="18.00390625" style="166" customWidth="1"/>
    <col min="5" max="5" width="15.140625" style="166" customWidth="1"/>
    <col min="6" max="6" width="17.421875" style="154" customWidth="1"/>
    <col min="7" max="7" width="15.140625" style="157" customWidth="1"/>
    <col min="8" max="8" width="19.140625" style="171" customWidth="1"/>
    <col min="9" max="9" width="15.140625" style="171" customWidth="1"/>
    <col min="10" max="16384" width="15.140625" style="139" customWidth="1"/>
  </cols>
  <sheetData>
    <row r="1" spans="1:28" ht="61.5" customHeight="1">
      <c r="A1" s="137" t="s">
        <v>184</v>
      </c>
      <c r="B1" s="137" t="s">
        <v>185</v>
      </c>
      <c r="C1" s="165" t="s">
        <v>245</v>
      </c>
      <c r="D1" s="165" t="s">
        <v>246</v>
      </c>
      <c r="E1" s="165" t="s">
        <v>247</v>
      </c>
      <c r="F1" s="147" t="s">
        <v>248</v>
      </c>
      <c r="G1" s="146" t="s">
        <v>249</v>
      </c>
      <c r="H1" s="138" t="s">
        <v>250</v>
      </c>
      <c r="I1" s="138" t="s">
        <v>258</v>
      </c>
      <c r="J1" s="138" t="s">
        <v>260</v>
      </c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27.75" customHeight="1">
      <c r="A2" s="158" t="s">
        <v>244</v>
      </c>
      <c r="B2" s="141" t="s">
        <v>186</v>
      </c>
      <c r="C2" s="168">
        <v>236.65</v>
      </c>
      <c r="D2" s="168">
        <v>199</v>
      </c>
      <c r="E2" s="169">
        <f aca="true" t="shared" si="0" ref="E2:E17">SUM(C2:D2)/2</f>
        <v>217.825</v>
      </c>
      <c r="F2" s="144" t="s">
        <v>239</v>
      </c>
      <c r="G2" s="149" t="s">
        <v>212</v>
      </c>
      <c r="H2" s="142">
        <v>1</v>
      </c>
      <c r="I2" s="171">
        <v>60</v>
      </c>
      <c r="J2" s="143">
        <f aca="true" t="shared" si="1" ref="J2:J17">(E2*H2)/I2</f>
        <v>3.6304166666666666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8" ht="27.75" customHeight="1">
      <c r="A3" s="159" t="s">
        <v>193</v>
      </c>
      <c r="B3" s="141" t="s">
        <v>186</v>
      </c>
      <c r="C3" s="169">
        <v>21.23</v>
      </c>
      <c r="D3" s="169">
        <v>20</v>
      </c>
      <c r="E3" s="169">
        <f t="shared" si="0"/>
        <v>20.615000000000002</v>
      </c>
      <c r="F3" s="151" t="s">
        <v>194</v>
      </c>
      <c r="G3" s="150" t="s">
        <v>207</v>
      </c>
      <c r="H3" s="142">
        <v>2</v>
      </c>
      <c r="I3" s="171">
        <v>60</v>
      </c>
      <c r="J3" s="143">
        <f t="shared" si="1"/>
        <v>0.6871666666666667</v>
      </c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</row>
    <row r="4" spans="1:28" ht="27.75" customHeight="1">
      <c r="A4" s="158" t="s">
        <v>252</v>
      </c>
      <c r="B4" s="141" t="s">
        <v>186</v>
      </c>
      <c r="C4" s="168">
        <v>754.07</v>
      </c>
      <c r="D4" s="168">
        <v>799</v>
      </c>
      <c r="E4" s="169">
        <f t="shared" si="0"/>
        <v>776.5350000000001</v>
      </c>
      <c r="F4" s="152" t="s">
        <v>209</v>
      </c>
      <c r="G4" s="148" t="s">
        <v>210</v>
      </c>
      <c r="H4" s="142">
        <v>2</v>
      </c>
      <c r="I4" s="171">
        <v>60</v>
      </c>
      <c r="J4" s="143">
        <f t="shared" si="1"/>
        <v>25.884500000000003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</row>
    <row r="5" spans="1:28" ht="27.75" customHeight="1">
      <c r="A5" s="160" t="s">
        <v>253</v>
      </c>
      <c r="B5" s="141" t="s">
        <v>186</v>
      </c>
      <c r="C5" s="168">
        <v>43.76</v>
      </c>
      <c r="D5" s="168">
        <v>39.9</v>
      </c>
      <c r="E5" s="169">
        <f t="shared" si="0"/>
        <v>41.83</v>
      </c>
      <c r="F5" s="153" t="s">
        <v>240</v>
      </c>
      <c r="G5" s="153" t="s">
        <v>213</v>
      </c>
      <c r="H5" s="142">
        <v>2</v>
      </c>
      <c r="I5" s="171">
        <v>60</v>
      </c>
      <c r="J5" s="143">
        <f t="shared" si="1"/>
        <v>1.3943333333333332</v>
      </c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28" ht="27.75" customHeight="1">
      <c r="A6" s="161" t="s">
        <v>188</v>
      </c>
      <c r="B6" s="141" t="s">
        <v>186</v>
      </c>
      <c r="C6" s="168">
        <v>16.26</v>
      </c>
      <c r="D6" s="168">
        <v>16.9</v>
      </c>
      <c r="E6" s="169">
        <f t="shared" si="0"/>
        <v>16.58</v>
      </c>
      <c r="F6" s="154" t="s">
        <v>240</v>
      </c>
      <c r="G6" s="154" t="s">
        <v>214</v>
      </c>
      <c r="H6" s="171">
        <v>2</v>
      </c>
      <c r="I6" s="171">
        <v>60</v>
      </c>
      <c r="J6" s="143">
        <f t="shared" si="1"/>
        <v>0.5526666666666666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</row>
    <row r="7" spans="1:28" ht="27.75" customHeight="1">
      <c r="A7" s="158" t="s">
        <v>254</v>
      </c>
      <c r="B7" s="141" t="s">
        <v>186</v>
      </c>
      <c r="C7" s="168">
        <v>167.63</v>
      </c>
      <c r="D7" s="168">
        <v>160</v>
      </c>
      <c r="E7" s="169">
        <f t="shared" si="0"/>
        <v>163.815</v>
      </c>
      <c r="F7" s="144" t="s">
        <v>238</v>
      </c>
      <c r="G7" s="149" t="s">
        <v>211</v>
      </c>
      <c r="H7" s="142">
        <v>4</v>
      </c>
      <c r="I7" s="171">
        <v>60</v>
      </c>
      <c r="J7" s="143">
        <f t="shared" si="1"/>
        <v>10.921</v>
      </c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</row>
    <row r="8" spans="1:28" ht="27.75" customHeight="1">
      <c r="A8" s="162" t="s">
        <v>197</v>
      </c>
      <c r="B8" s="141" t="s">
        <v>186</v>
      </c>
      <c r="C8" s="169">
        <v>66.61</v>
      </c>
      <c r="D8" s="169">
        <f>89.9/2</f>
        <v>44.95</v>
      </c>
      <c r="E8" s="169">
        <f t="shared" si="0"/>
        <v>55.78</v>
      </c>
      <c r="F8" s="155" t="s">
        <v>198</v>
      </c>
      <c r="G8" s="150" t="s">
        <v>203</v>
      </c>
      <c r="H8" s="142">
        <v>5</v>
      </c>
      <c r="I8" s="171">
        <v>60</v>
      </c>
      <c r="J8" s="143">
        <f t="shared" si="1"/>
        <v>4.6483333333333325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</row>
    <row r="9" spans="1:28" ht="27.75" customHeight="1">
      <c r="A9" s="162" t="s">
        <v>189</v>
      </c>
      <c r="B9" s="141" t="s">
        <v>186</v>
      </c>
      <c r="C9" s="169">
        <v>18.06</v>
      </c>
      <c r="D9" s="169">
        <v>18.48</v>
      </c>
      <c r="E9" s="169">
        <f t="shared" si="0"/>
        <v>18.27</v>
      </c>
      <c r="F9" s="155" t="s">
        <v>190</v>
      </c>
      <c r="G9" s="150" t="s">
        <v>205</v>
      </c>
      <c r="H9" s="142">
        <v>2</v>
      </c>
      <c r="I9" s="171">
        <v>60</v>
      </c>
      <c r="J9" s="143">
        <f t="shared" si="1"/>
        <v>0.609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</row>
    <row r="10" spans="1:28" ht="27.75" customHeight="1">
      <c r="A10" s="162" t="s">
        <v>196</v>
      </c>
      <c r="B10" s="141" t="s">
        <v>186</v>
      </c>
      <c r="C10" s="169">
        <v>56.08</v>
      </c>
      <c r="D10" s="169">
        <v>59</v>
      </c>
      <c r="E10" s="169">
        <f t="shared" si="0"/>
        <v>57.54</v>
      </c>
      <c r="F10" s="155" t="s">
        <v>187</v>
      </c>
      <c r="G10" s="150" t="s">
        <v>202</v>
      </c>
      <c r="H10" s="142">
        <v>2</v>
      </c>
      <c r="I10" s="171">
        <v>60</v>
      </c>
      <c r="J10" s="143">
        <f t="shared" si="1"/>
        <v>1.918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27.75" customHeight="1">
      <c r="A11" s="158" t="s">
        <v>251</v>
      </c>
      <c r="B11" s="141" t="s">
        <v>186</v>
      </c>
      <c r="C11" s="168">
        <v>315.41</v>
      </c>
      <c r="D11" s="168">
        <v>254.92</v>
      </c>
      <c r="E11" s="169">
        <f t="shared" si="0"/>
        <v>285.165</v>
      </c>
      <c r="F11" s="144" t="s">
        <v>236</v>
      </c>
      <c r="G11" s="148" t="s">
        <v>237</v>
      </c>
      <c r="H11" s="142">
        <v>1</v>
      </c>
      <c r="I11" s="171">
        <v>60</v>
      </c>
      <c r="J11" s="143">
        <f t="shared" si="1"/>
        <v>4.752750000000001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</row>
    <row r="12" spans="1:28" ht="27.75" customHeight="1">
      <c r="A12" s="162" t="s">
        <v>255</v>
      </c>
      <c r="B12" s="141" t="s">
        <v>186</v>
      </c>
      <c r="C12" s="169">
        <v>987.13</v>
      </c>
      <c r="D12" s="169">
        <v>860</v>
      </c>
      <c r="E12" s="169">
        <f t="shared" si="0"/>
        <v>923.565</v>
      </c>
      <c r="F12" s="155" t="s">
        <v>192</v>
      </c>
      <c r="G12" s="150" t="s">
        <v>204</v>
      </c>
      <c r="H12" s="142">
        <v>2</v>
      </c>
      <c r="I12" s="171">
        <v>60</v>
      </c>
      <c r="J12" s="143">
        <f t="shared" si="1"/>
        <v>30.785500000000003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</row>
    <row r="13" spans="1:28" ht="27.75" customHeight="1">
      <c r="A13" s="162" t="s">
        <v>199</v>
      </c>
      <c r="B13" s="141" t="s">
        <v>186</v>
      </c>
      <c r="C13" s="169">
        <v>53.37</v>
      </c>
      <c r="D13" s="169">
        <v>46.76</v>
      </c>
      <c r="E13" s="169">
        <f t="shared" si="0"/>
        <v>50.065</v>
      </c>
      <c r="F13" s="155" t="s">
        <v>200</v>
      </c>
      <c r="G13" s="156" t="s">
        <v>208</v>
      </c>
      <c r="H13" s="142">
        <v>2</v>
      </c>
      <c r="I13" s="171">
        <v>60</v>
      </c>
      <c r="J13" s="143">
        <f t="shared" si="1"/>
        <v>1.6688333333333332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</row>
    <row r="14" spans="1:28" ht="27.75" customHeight="1">
      <c r="A14" s="163" t="s">
        <v>256</v>
      </c>
      <c r="B14" s="141" t="s">
        <v>186</v>
      </c>
      <c r="C14" s="169">
        <v>15.5</v>
      </c>
      <c r="D14" s="169">
        <v>19.9</v>
      </c>
      <c r="E14" s="169">
        <f t="shared" si="0"/>
        <v>17.7</v>
      </c>
      <c r="F14" s="152" t="s">
        <v>234</v>
      </c>
      <c r="G14" s="150" t="s">
        <v>233</v>
      </c>
      <c r="H14" s="142">
        <v>1</v>
      </c>
      <c r="I14" s="171">
        <v>60</v>
      </c>
      <c r="J14" s="143">
        <f t="shared" si="1"/>
        <v>0.295</v>
      </c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</row>
    <row r="15" spans="1:28" ht="27.75" customHeight="1">
      <c r="A15" s="162" t="s">
        <v>191</v>
      </c>
      <c r="B15" s="141" t="s">
        <v>186</v>
      </c>
      <c r="C15" s="169">
        <v>11.25</v>
      </c>
      <c r="D15" s="169">
        <v>11.88</v>
      </c>
      <c r="E15" s="169">
        <f t="shared" si="0"/>
        <v>11.565000000000001</v>
      </c>
      <c r="F15" s="155" t="s">
        <v>192</v>
      </c>
      <c r="G15" s="150" t="s">
        <v>206</v>
      </c>
      <c r="H15" s="142">
        <v>2</v>
      </c>
      <c r="I15" s="171">
        <v>60</v>
      </c>
      <c r="J15" s="143">
        <f t="shared" si="1"/>
        <v>0.38550000000000006</v>
      </c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spans="1:28" ht="27.75" customHeight="1">
      <c r="A16" s="163" t="s">
        <v>235</v>
      </c>
      <c r="B16" s="141" t="s">
        <v>186</v>
      </c>
      <c r="C16" s="169">
        <v>1069.95</v>
      </c>
      <c r="D16" s="169">
        <v>924</v>
      </c>
      <c r="E16" s="169">
        <f t="shared" si="0"/>
        <v>996.975</v>
      </c>
      <c r="F16" s="152" t="s">
        <v>209</v>
      </c>
      <c r="G16" s="150" t="s">
        <v>232</v>
      </c>
      <c r="H16" s="142">
        <v>1</v>
      </c>
      <c r="I16" s="171">
        <v>60</v>
      </c>
      <c r="J16" s="143">
        <f t="shared" si="1"/>
        <v>16.61625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</row>
    <row r="17" spans="1:28" ht="27.75" customHeight="1">
      <c r="A17" s="162" t="s">
        <v>257</v>
      </c>
      <c r="B17" s="141" t="s">
        <v>186</v>
      </c>
      <c r="C17" s="169">
        <v>3619.36</v>
      </c>
      <c r="D17" s="169">
        <v>3499</v>
      </c>
      <c r="E17" s="169">
        <f t="shared" si="0"/>
        <v>3559.1800000000003</v>
      </c>
      <c r="F17" s="155" t="s">
        <v>195</v>
      </c>
      <c r="G17" s="150" t="s">
        <v>201</v>
      </c>
      <c r="H17" s="142">
        <v>1</v>
      </c>
      <c r="I17" s="171">
        <v>60</v>
      </c>
      <c r="J17" s="143">
        <f t="shared" si="1"/>
        <v>59.31966666666667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</row>
    <row r="18" spans="3:11" ht="27.75" customHeight="1">
      <c r="C18" s="170"/>
      <c r="D18" s="170"/>
      <c r="E18" s="170"/>
      <c r="F18" s="328" t="s">
        <v>259</v>
      </c>
      <c r="G18" s="329"/>
      <c r="H18" s="329"/>
      <c r="I18" s="330"/>
      <c r="J18" s="167">
        <f>SUM(J2:J17)</f>
        <v>164.06891666666667</v>
      </c>
      <c r="K18" s="145">
        <f>J18/2</f>
        <v>82.03445833333333</v>
      </c>
    </row>
    <row r="19" spans="6:10" ht="27.75" customHeight="1">
      <c r="F19" s="328" t="s">
        <v>263</v>
      </c>
      <c r="G19" s="329"/>
      <c r="H19" s="329"/>
      <c r="I19" s="330"/>
      <c r="J19" s="172">
        <f>J18/2</f>
        <v>82.03445833333333</v>
      </c>
    </row>
  </sheetData>
  <sheetProtection/>
  <mergeCells count="2">
    <mergeCell ref="F19:I19"/>
    <mergeCell ref="F18:I18"/>
  </mergeCells>
  <hyperlinks>
    <hyperlink ref="G13" r:id="rId1" display="https://www.americanas.com.br/produto/1440186857"/>
    <hyperlink ref="G2" r:id="rId2" display="https://www.americanas.com.br/produto/134407201"/>
    <hyperlink ref="G7" r:id="rId3" display="https://www.usemilitar.com.br/colete-tatico-comandos?utm_source=GoogleMerchant&amp;utm_medium=Shopping"/>
  </hyperlinks>
  <printOptions/>
  <pageMargins left="0.511811024" right="0.511811024" top="0.787401575" bottom="0.787401575" header="0.31496062" footer="0.31496062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Werle de Camargo</dc:creator>
  <cp:keywords/>
  <dc:description/>
  <cp:lastModifiedBy>Debora Gabriel de Melo</cp:lastModifiedBy>
  <dcterms:created xsi:type="dcterms:W3CDTF">2019-07-11T17:48:41Z</dcterms:created>
  <dcterms:modified xsi:type="dcterms:W3CDTF">2020-11-25T13:32:26Z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