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1"/>
  </bookViews>
  <sheets>
    <sheet name="ENCARREGADO" sheetId="1" r:id="rId1"/>
    <sheet name="SEVENTE LIMPEZA" sheetId="2" r:id="rId2"/>
    <sheet name="CÁLCULO DO Nº DE SERVENTES" sheetId="3" r:id="rId3"/>
    <sheet name="INSUMOS IFRS" sheetId="4" r:id="rId4"/>
  </sheets>
  <definedNames>
    <definedName name="_xlnm.Print_Area" localSheetId="1">'SEVENTE LIMPEZA'!$A$1:$I$248</definedName>
  </definedNames>
  <calcPr fullCalcOnLoad="1"/>
</workbook>
</file>

<file path=xl/comments2.xml><?xml version="1.0" encoding="utf-8"?>
<comments xmlns="http://schemas.openxmlformats.org/spreadsheetml/2006/main">
  <authors>
    <author>Patricia Kisner</author>
  </authors>
  <commentList>
    <comment ref="C180" authorId="0">
      <text>
        <r>
          <rPr>
            <b/>
            <sz val="9"/>
            <rFont val="Tahoma"/>
            <family val="2"/>
          </rPr>
          <t>Patricia Kisner:</t>
        </r>
        <r>
          <rPr>
            <sz val="9"/>
            <rFont val="Tahoma"/>
            <family val="2"/>
          </rPr>
          <t xml:space="preserve">
Considerando NOVA frequência</t>
        </r>
      </text>
    </comment>
    <comment ref="C182" authorId="0">
      <text>
        <r>
          <rPr>
            <b/>
            <sz val="9"/>
            <rFont val="Tahoma"/>
            <family val="2"/>
          </rPr>
          <t>Patricia Kisner:</t>
        </r>
        <r>
          <rPr>
            <sz val="9"/>
            <rFont val="Tahoma"/>
            <family val="2"/>
          </rPr>
          <t xml:space="preserve">
Considerando NOVA frequência</t>
        </r>
      </text>
    </comment>
    <comment ref="C184" authorId="0">
      <text>
        <r>
          <rPr>
            <b/>
            <sz val="9"/>
            <rFont val="Tahoma"/>
            <family val="2"/>
          </rPr>
          <t>Patricia Kisner:</t>
        </r>
        <r>
          <rPr>
            <sz val="9"/>
            <rFont val="Tahoma"/>
            <family val="2"/>
          </rPr>
          <t xml:space="preserve">
Considerando NOVA frequência</t>
        </r>
      </text>
    </comment>
    <comment ref="C186" authorId="0">
      <text>
        <r>
          <rPr>
            <b/>
            <sz val="9"/>
            <rFont val="Tahoma"/>
            <family val="2"/>
          </rPr>
          <t>Patricia Kisner:</t>
        </r>
        <r>
          <rPr>
            <sz val="9"/>
            <rFont val="Tahoma"/>
            <family val="2"/>
          </rPr>
          <t xml:space="preserve">
Considerando NOVA frequência</t>
        </r>
      </text>
    </comment>
    <comment ref="C188" authorId="0">
      <text>
        <r>
          <rPr>
            <b/>
            <sz val="9"/>
            <rFont val="Tahoma"/>
            <family val="2"/>
          </rPr>
          <t>Patricia Kisner:</t>
        </r>
        <r>
          <rPr>
            <sz val="9"/>
            <rFont val="Tahoma"/>
            <family val="2"/>
          </rPr>
          <t xml:space="preserve">
Considerando NOVA frequência</t>
        </r>
      </text>
    </comment>
    <comment ref="C196" authorId="0">
      <text>
        <r>
          <rPr>
            <b/>
            <sz val="9"/>
            <rFont val="Tahoma"/>
            <family val="2"/>
          </rPr>
          <t>Patricia Kisner:</t>
        </r>
        <r>
          <rPr>
            <sz val="9"/>
            <rFont val="Tahoma"/>
            <family val="2"/>
          </rPr>
          <t xml:space="preserve">
Considerando NOVA frequência</t>
        </r>
      </text>
    </comment>
    <comment ref="B205" authorId="0">
      <text>
        <r>
          <rPr>
            <b/>
            <sz val="9"/>
            <rFont val="Tahoma"/>
            <family val="2"/>
          </rPr>
          <t>Patricia Kisner:</t>
        </r>
        <r>
          <rPr>
            <sz val="9"/>
            <rFont val="Tahoma"/>
            <family val="2"/>
          </rPr>
          <t xml:space="preserve">
Considerando NOVA frequência</t>
        </r>
      </text>
    </comment>
    <comment ref="B207" authorId="0">
      <text>
        <r>
          <rPr>
            <b/>
            <sz val="9"/>
            <rFont val="Tahoma"/>
            <family val="2"/>
          </rPr>
          <t>Patricia Kisner:</t>
        </r>
        <r>
          <rPr>
            <sz val="9"/>
            <rFont val="Tahoma"/>
            <family val="2"/>
          </rPr>
          <t xml:space="preserve">
Considerando NOVA frequência</t>
        </r>
      </text>
    </comment>
    <comment ref="B209" authorId="0">
      <text>
        <r>
          <rPr>
            <b/>
            <sz val="9"/>
            <rFont val="Tahoma"/>
            <family val="2"/>
          </rPr>
          <t>Patricia Kisner:</t>
        </r>
        <r>
          <rPr>
            <sz val="9"/>
            <rFont val="Tahoma"/>
            <family val="2"/>
          </rPr>
          <t xml:space="preserve">
Considerando NOVA frequência</t>
        </r>
      </text>
    </comment>
  </commentList>
</comments>
</file>

<file path=xl/sharedStrings.xml><?xml version="1.0" encoding="utf-8"?>
<sst xmlns="http://schemas.openxmlformats.org/spreadsheetml/2006/main" count="904" uniqueCount="465">
  <si>
    <r>
      <t xml:space="preserve">ANEXO III - PLANILHAS DE CUSTOS   </t>
    </r>
    <r>
      <rPr>
        <b/>
        <sz val="10"/>
        <color indexed="20"/>
        <rFont val="Arial"/>
        <family val="2"/>
      </rPr>
      <t xml:space="preserve">                                                                                                                     ENCARREGADO DE SERVENTE DE LIMPEZA - Regime de Tributação: </t>
    </r>
    <r>
      <rPr>
        <b/>
        <sz val="10"/>
        <color indexed="12"/>
        <rFont val="Arial"/>
        <family val="2"/>
      </rPr>
      <t xml:space="preserve">Lucro Real              </t>
    </r>
    <r>
      <rPr>
        <b/>
        <sz val="10"/>
        <color indexed="62"/>
        <rFont val="Arial"/>
        <family val="2"/>
      </rPr>
      <t xml:space="preserve">                   </t>
    </r>
  </si>
  <si>
    <t>Nº do processo:</t>
  </si>
  <si>
    <t>23371.000211/2024-13</t>
  </si>
  <si>
    <t>Licitação nº:</t>
  </si>
  <si>
    <t>Pregão IFRS nº 90009/2024</t>
  </si>
  <si>
    <r>
      <t>Dia: XX</t>
    </r>
    <r>
      <rPr>
        <b/>
        <sz val="10"/>
        <color indexed="10"/>
        <rFont val="Arial"/>
        <family val="2"/>
      </rPr>
      <t xml:space="preserve">/XX/2024 às 9H </t>
    </r>
  </si>
  <si>
    <t xml:space="preserve">DISCRIMINAÇÃO DOS SERVIÇOS (DADOS REFERENTES À CONTRATAÇÃO) </t>
  </si>
  <si>
    <t>A</t>
  </si>
  <si>
    <t>Data de apresentação da proposta (dia/mês/ano)</t>
  </si>
  <si>
    <t>XX/XX/202</t>
  </si>
  <si>
    <t>B</t>
  </si>
  <si>
    <t>Município/UF</t>
  </si>
  <si>
    <t>Sertão/RS</t>
  </si>
  <si>
    <t>C</t>
  </si>
  <si>
    <t>Ano do Acordo, Convenção ou Dissídio Coletivo</t>
  </si>
  <si>
    <t>01/01/2024 a 31/12/2024
SINDASSEIO/RS 
(que engloba Sertão)</t>
  </si>
  <si>
    <t>D</t>
  </si>
  <si>
    <t>Número de meses de execução contratual</t>
  </si>
  <si>
    <t xml:space="preserve">IDENTIFICAÇÃO DO SERVIÇO </t>
  </si>
  <si>
    <t>1. MÓDULOS - Mão de obra</t>
  </si>
  <si>
    <t>Dados para composição dos custos referente à mão de obra</t>
  </si>
  <si>
    <t>Tipo de Serviço (mesmo serviço com características distintas)</t>
  </si>
  <si>
    <t>ENCARREGADO</t>
  </si>
  <si>
    <t>Classificação Brasileira de Ocupações (CBO)</t>
  </si>
  <si>
    <r>
      <t xml:space="preserve">Salário Normativo da Categoria Profissional - </t>
    </r>
    <r>
      <rPr>
        <b/>
        <sz val="10"/>
        <color indexed="12"/>
        <rFont val="Arial"/>
        <family val="2"/>
      </rPr>
      <t xml:space="preserve">para a jornada de 44 h/sem </t>
    </r>
  </si>
  <si>
    <t>Categoria Profissional (vinculada à execução contratual)</t>
  </si>
  <si>
    <t>LIMPEZA E CONSERVAÇÃO</t>
  </si>
  <si>
    <t>Data-Base da Categoria (dia/mês/ano)</t>
  </si>
  <si>
    <t>1º de janeiro de 2024</t>
  </si>
  <si>
    <t>Módulo 1: Composição da Remuneração</t>
  </si>
  <si>
    <t xml:space="preserve">Composição da Remuneração </t>
  </si>
  <si>
    <t>Percentual
(R$)</t>
  </si>
  <si>
    <t xml:space="preserve">Valor
(R$) </t>
  </si>
  <si>
    <t>Salário-Base</t>
  </si>
  <si>
    <t>Adicional de Insalubridade</t>
  </si>
  <si>
    <t>Nota 1: Salário Base - Devido a CCT NÃO contemplar a categoria ENCARREGADO, foi utilizado o método disponibilizado no caderno técnico de limpeza e conservação do RS:  estudo da média do percentual de acréscimo sobre os salários dos Serventes (estabelecidos em Acordo ou calculados). O estudo foi realizado em 17 CCTS/2023 e o percentual de acréscimo apurado foi de 42,36%. Salário base do encarregado: R$ 1.540,51 + 42,36% (R$ 652,56) = R$ 2.193,07
Nota 2: Adicional de Insalubridade - Considerando que a CCT não contempla a categoria ENCARREGADO, para efeito de isonomia das propostas, o referido adicional não deverá ser incluído nas Planilhas de Custos e Formação de Preços. Todavia, a empresa vencedora do certame poderá providenciar, caso julgue adequado, às suas expensas, laudo pericial após a assinatura do contrato.</t>
  </si>
  <si>
    <t xml:space="preserve">Total </t>
  </si>
  <si>
    <t>Módulo 2 – Encargos e Benefícios Anuais, Mensais e Diários</t>
  </si>
  <si>
    <r>
      <t>Submódulo 2.1 – 13º (décimo terceiro) Salário</t>
    </r>
    <r>
      <rPr>
        <b/>
        <sz val="10"/>
        <color indexed="19"/>
        <rFont val="Arial"/>
        <family val="2"/>
      </rPr>
      <t xml:space="preserve"> </t>
    </r>
    <r>
      <rPr>
        <b/>
        <sz val="10"/>
        <rFont val="Arial"/>
        <family val="2"/>
      </rPr>
      <t>e Adicional de Férias</t>
    </r>
  </si>
  <si>
    <t>2.1</t>
  </si>
  <si>
    <t>13º (décimo terceiro) Salário  e Adicional de Férias</t>
  </si>
  <si>
    <t>Valor (R$)</t>
  </si>
  <si>
    <r>
      <t>13º (décimo terceiro) Salário  -</t>
    </r>
    <r>
      <rPr>
        <b/>
        <sz val="10"/>
        <color indexed="12"/>
        <rFont val="Arial"/>
        <family val="2"/>
      </rPr>
      <t xml:space="preserve"> 8,33%</t>
    </r>
    <r>
      <rPr>
        <b/>
        <sz val="10"/>
        <color indexed="10"/>
        <rFont val="Arial"/>
        <family val="2"/>
      </rPr>
      <t xml:space="preserve"> sobre o valor do Módulo 1 - Composição da Remuneração, conforme Anexo XII da IN 5/17</t>
    </r>
  </si>
  <si>
    <r>
      <t xml:space="preserve">Adicional de Férias - </t>
    </r>
    <r>
      <rPr>
        <b/>
        <sz val="10"/>
        <color indexed="12"/>
        <rFont val="Arial"/>
        <family val="2"/>
      </rPr>
      <t>3,025%</t>
    </r>
    <r>
      <rPr>
        <b/>
        <sz val="10"/>
        <color indexed="10"/>
        <rFont val="Arial"/>
        <family val="2"/>
      </rPr>
      <t xml:space="preserve"> sobre o valor do Módulo 1 - Composição da Remuneração, conforme Anexo XII da IN 5/17 (12,10% - sendo Férias = 9,75% e Adicional (1/3) = 3,025%)</t>
    </r>
  </si>
  <si>
    <t>Total</t>
  </si>
  <si>
    <r>
      <t xml:space="preserve">Submódulo 2.2 - Encargos Previdenciários (GPS), Fundo de Garantia por Tempo de Serviço (FGTS) e outras contribuições </t>
    </r>
    <r>
      <rPr>
        <b/>
        <sz val="10"/>
        <color indexed="12"/>
        <rFont val="Arial"/>
        <family val="2"/>
      </rPr>
      <t>(Base de cálculo: Módulo 1 + Submódulo 2.1)</t>
    </r>
  </si>
  <si>
    <t>2.2</t>
  </si>
  <si>
    <t>GPS, FGTS e outras contribuições</t>
  </si>
  <si>
    <t>Percentual (%)</t>
  </si>
  <si>
    <t>Valor
 (R$)</t>
  </si>
  <si>
    <t>INSS</t>
  </si>
  <si>
    <t>Salário Educação</t>
  </si>
  <si>
    <r>
      <t xml:space="preserve">RAT x FAP
</t>
    </r>
    <r>
      <rPr>
        <b/>
        <sz val="10"/>
        <color indexed="10"/>
        <rFont val="Arial"/>
        <family val="2"/>
      </rPr>
      <t>Cálculo do valor: % do RAT x FAP (Fator Acidentário de Prevenção de cada empresa)</t>
    </r>
  </si>
  <si>
    <t>RAT =</t>
  </si>
  <si>
    <t xml:space="preserve"> FAP =</t>
  </si>
  <si>
    <t>SESC ou SESI</t>
  </si>
  <si>
    <t>E</t>
  </si>
  <si>
    <t>SENAC ou SENAI</t>
  </si>
  <si>
    <t>F</t>
  </si>
  <si>
    <t>SEBRAE</t>
  </si>
  <si>
    <t>G</t>
  </si>
  <si>
    <t>INCRA</t>
  </si>
  <si>
    <t>H</t>
  </si>
  <si>
    <t>FGTS</t>
  </si>
  <si>
    <r>
      <t>Nota 1: Os percentuais dos encargos previdenciários, do FGTS e demais contribuições são aqueles estabelecidos pela legislação vigente.
Nota 2: O RAT a depender do grau de risco do serviço irá variar entre 1%, para risco leve, de 2% para risco médio, e de 3% para risco grave.
Nota 3: Esses percentuais incidem sobre o Módulo 1 e Submódulo 2.1</t>
    </r>
    <r>
      <rPr>
        <sz val="8"/>
        <color indexed="19"/>
        <rFont val="Arial"/>
        <family val="2"/>
      </rPr>
      <t>.</t>
    </r>
  </si>
  <si>
    <t>Submódulo 2.3 – Benefícios Mensais e Diários</t>
  </si>
  <si>
    <t>2.3</t>
  </si>
  <si>
    <t>Benefícios Mensais e Diários</t>
  </si>
  <si>
    <r>
      <t xml:space="preserve">Transporte                                               </t>
    </r>
    <r>
      <rPr>
        <b/>
        <sz val="10"/>
        <color indexed="10"/>
        <rFont val="Arial"/>
        <family val="2"/>
      </rPr>
      <t>Cálculo do valor: [(2xVTx21) – (</t>
    </r>
    <r>
      <rPr>
        <b/>
        <sz val="10"/>
        <color indexed="12"/>
        <rFont val="Arial"/>
        <family val="2"/>
      </rPr>
      <t>6%</t>
    </r>
    <r>
      <rPr>
        <b/>
        <sz val="10"/>
        <color indexed="10"/>
        <rFont val="Arial"/>
        <family val="2"/>
      </rPr>
      <t>xSB)]</t>
    </r>
  </si>
  <si>
    <r>
      <t xml:space="preserve">      </t>
    </r>
    <r>
      <rPr>
        <b/>
        <sz val="10"/>
        <color indexed="10"/>
        <rFont val="Arial"/>
        <family val="2"/>
      </rPr>
      <t xml:space="preserve">A.1) Valor da passagem do transporte coletivo no município de prestação dos serviços: </t>
    </r>
  </si>
  <si>
    <t>-</t>
  </si>
  <si>
    <r>
      <t xml:space="preserve">     </t>
    </r>
    <r>
      <rPr>
        <b/>
        <sz val="9"/>
        <color indexed="10"/>
        <rFont val="Arial"/>
        <family val="2"/>
      </rPr>
      <t xml:space="preserve"> A.2) Quantidade de passagens por dia por empregado:</t>
    </r>
  </si>
  <si>
    <r>
      <t xml:space="preserve">      </t>
    </r>
    <r>
      <rPr>
        <b/>
        <sz val="9"/>
        <color indexed="10"/>
        <rFont val="Arial"/>
        <family val="2"/>
      </rPr>
      <t xml:space="preserve">A.3) Quantidade de dias do mês de recebimento de passagens </t>
    </r>
  </si>
  <si>
    <r>
      <t xml:space="preserve">     </t>
    </r>
    <r>
      <rPr>
        <b/>
        <sz val="9"/>
        <color indexed="10"/>
        <rFont val="Arial"/>
        <family val="2"/>
      </rPr>
      <t xml:space="preserve">A.4) Participação do empregado em percentual do salário-base </t>
    </r>
    <r>
      <rPr>
        <b/>
        <sz val="9"/>
        <color indexed="12"/>
        <rFont val="Arial"/>
        <family val="2"/>
      </rPr>
      <t>(Cláus 20 CCT)</t>
    </r>
  </si>
  <si>
    <r>
      <t xml:space="preserve">Auxílio-Refeição/Alimentação </t>
    </r>
    <r>
      <rPr>
        <b/>
        <sz val="10"/>
        <color indexed="10"/>
        <rFont val="Arial"/>
        <family val="2"/>
      </rPr>
      <t>Cálculo do valor = [(21xVA)x(1-</t>
    </r>
    <r>
      <rPr>
        <b/>
        <sz val="10"/>
        <color indexed="12"/>
        <rFont val="Arial"/>
        <family val="2"/>
      </rPr>
      <t>19%</t>
    </r>
    <r>
      <rPr>
        <b/>
        <sz val="10"/>
        <color indexed="10"/>
        <rFont val="Arial"/>
        <family val="2"/>
      </rPr>
      <t>)]</t>
    </r>
  </si>
  <si>
    <r>
      <t xml:space="preserve">      </t>
    </r>
    <r>
      <rPr>
        <b/>
        <sz val="9"/>
        <color indexed="10"/>
        <rFont val="Arial"/>
        <family val="2"/>
      </rPr>
      <t>B.1) Valor do auxílio-alimentação</t>
    </r>
    <r>
      <rPr>
        <b/>
        <sz val="9"/>
        <color indexed="12"/>
        <rFont val="Arial"/>
        <family val="2"/>
      </rPr>
      <t xml:space="preserve"> (Cláusula 18 CCT 2024)</t>
    </r>
  </si>
  <si>
    <r>
      <t xml:space="preserve">    </t>
    </r>
    <r>
      <rPr>
        <b/>
        <sz val="9"/>
        <color indexed="10"/>
        <rFont val="Arial"/>
        <family val="2"/>
      </rPr>
      <t xml:space="preserve">  B.2) Quantidade de dias do mês de recebimento de auxílio-alimentação</t>
    </r>
  </si>
  <si>
    <t xml:space="preserve">     B.3) Participação do empregado em percentual sobre o auxílio-alimentação</t>
  </si>
  <si>
    <t>Assistência Médica e Familiar</t>
  </si>
  <si>
    <r>
      <t xml:space="preserve">Plano de Benefício Familiar </t>
    </r>
    <r>
      <rPr>
        <b/>
        <sz val="10"/>
        <color indexed="12"/>
        <rFont val="Arial"/>
        <family val="2"/>
      </rPr>
      <t xml:space="preserve">(Cláusula 29 CCT 2024)  </t>
    </r>
  </si>
  <si>
    <t>Nota 1: O valor informado deverá ser o custo real do insumo (descontado o valor eventualmente pago pelo empregado).
Nota 2: Observar a previsão dos benefícios contidos em Acordos, Convenções e Dissídios Coletivos de Trabalho e atentar-se ao disposto no artigo 6º desta Instrução Normativa.</t>
  </si>
  <si>
    <t>Quadro-Resumo do Módulo 2 – Encargos e Benefícios Anuais, Mensais e Diários</t>
  </si>
  <si>
    <t>Encargos e Benefícios Anuais, Mensais e Diários</t>
  </si>
  <si>
    <t>13º (décimo terceiro) Salário e Adicional de Férias</t>
  </si>
  <si>
    <t>Módulo 3 - Provisão para Rescisão</t>
  </si>
  <si>
    <t>Provisão para Rescisão</t>
  </si>
  <si>
    <t>Valor  (R$)</t>
  </si>
  <si>
    <r>
      <t xml:space="preserve">Aviso Prévio Indenizado     </t>
    </r>
    <r>
      <rPr>
        <b/>
        <sz val="10"/>
        <color indexed="10"/>
        <rFont val="Arial"/>
        <family val="2"/>
      </rPr>
      <t xml:space="preserve">Cálculo do valor = [Rem/12 + 13º/12 + Férias/12 + (1/3xFérias)/12] x (30/30=1) x 5% de rotatividade anual
Os reflexos de 13º, F e 1/3F são referentes a 1 mês de APInd - </t>
    </r>
    <r>
      <rPr>
        <b/>
        <sz val="10"/>
        <color indexed="12"/>
        <rFont val="Arial"/>
        <family val="2"/>
      </rPr>
      <t>Na prorrogação, poderão ser considerados 3 dias conforme Lei nº 12.506/2011, dependendo da análise do nº de ocorrências deste evento no período.</t>
    </r>
  </si>
  <si>
    <t>Incidência do FGTS sobre o Aviso Prévio Indenizado</t>
  </si>
  <si>
    <r>
      <t xml:space="preserve">Aviso Prévio Trabalhado   </t>
    </r>
    <r>
      <rPr>
        <b/>
        <sz val="10"/>
        <color indexed="10"/>
        <rFont val="Arial"/>
        <family val="2"/>
      </rPr>
      <t>Cálculo do valor= [(Rem/30)x7]/</t>
    </r>
    <r>
      <rPr>
        <b/>
        <sz val="10"/>
        <color indexed="12"/>
        <rFont val="Arial"/>
        <family val="2"/>
      </rPr>
      <t>12</t>
    </r>
    <r>
      <rPr>
        <b/>
        <sz val="10"/>
        <color indexed="10"/>
        <rFont val="Arial"/>
        <family val="2"/>
      </rPr>
      <t xml:space="preserve"> meses do contratox</t>
    </r>
    <r>
      <rPr>
        <b/>
        <sz val="10"/>
        <color indexed="12"/>
        <rFont val="Arial"/>
        <family val="2"/>
      </rPr>
      <t>100%</t>
    </r>
    <r>
      <rPr>
        <b/>
        <sz val="10"/>
        <color indexed="10"/>
        <rFont val="Arial"/>
        <family val="2"/>
      </rPr>
      <t xml:space="preserve"> dos empregados - ao final do contrato -</t>
    </r>
    <r>
      <rPr>
        <b/>
        <sz val="10"/>
        <color indexed="12"/>
        <rFont val="Arial"/>
        <family val="2"/>
      </rPr>
      <t xml:space="preserve"> Negociar extinção/redução na 1ª prorrogação, dependendo da análise do nº de ocorrências deste evento no período.</t>
    </r>
  </si>
  <si>
    <t xml:space="preserve">Incidência de GPS, FGTS e outras contribuições sobre o Aviso Prévio Trabalhado         </t>
  </si>
  <si>
    <r>
      <t xml:space="preserve">Multa sobre o FGTS para as rescisões sem justa causa - </t>
    </r>
    <r>
      <rPr>
        <b/>
        <sz val="10"/>
        <color indexed="10"/>
        <rFont val="Arial"/>
        <family val="2"/>
      </rPr>
      <t>4% sobre o valor do Módulo 1 – Remuneração, conforme Anexo XII da IN Seges nº 5/2017</t>
    </r>
  </si>
  <si>
    <t>Nota 1:  Aviso Prévio Indenizado - Na prorrogação, poderão ser considerados 3 dias conforme Lei nº 12.506/2011, dependendo da análise do nº de ocorrências deste evento no período.
Nota 2: Aviso Prévio Trabalhado - corresponde ao percentual  de 1,94% no primeiro ano; em caso de prorrogação do contrato, poderão ser considerados 3 dias conforme Lei nº 12.506/2011, devendo o percentual máximo dessa parcela ser de até 0,194% a cada ano de prorrogação.</t>
  </si>
  <si>
    <t>Módulo 4 - Custo de Reposição do Profissional Ausente</t>
  </si>
  <si>
    <t xml:space="preserve">Nota 1: Os itens que contemplam o módulo 4 se referem ao custo dos dias trabalhados pelo repositor/substituto quando o empregado alocado na prestação do serviço estiver ausente, conforme as previsões estabelecidas na legislação. </t>
  </si>
  <si>
    <r>
      <t xml:space="preserve">Base de cálculo para o Custo de Reposição do Profissional Ausente (substituto): BCCPA = MÓDULO 1 + MÓDULO 2 (-VA - VT) + FÉRIAS + MÓDULO 3 - </t>
    </r>
    <r>
      <rPr>
        <b/>
        <sz val="10"/>
        <color indexed="10"/>
        <rFont val="Arial"/>
        <family val="2"/>
      </rPr>
      <t>exceto o Substituto na cobertura de Férias e o Afastamento Maternidade, sendo que neste último a Rem e o 13º podem ser compensados pelo INSS, ambos com base de cálculo própria, conforme consta nesses itens de custo.</t>
    </r>
  </si>
  <si>
    <t>MÓD 1 =</t>
  </si>
  <si>
    <r>
      <t xml:space="preserve">MÓD 2 </t>
    </r>
    <r>
      <rPr>
        <b/>
        <sz val="10"/>
        <color indexed="10"/>
        <rFont val="Arial"/>
        <family val="2"/>
      </rPr>
      <t xml:space="preserve">(sem VA e VT) + </t>
    </r>
    <r>
      <rPr>
        <b/>
        <sz val="10"/>
        <color indexed="12"/>
        <rFont val="Arial"/>
        <family val="2"/>
      </rPr>
      <t>Férias =</t>
    </r>
  </si>
  <si>
    <t>MÓD 3 =</t>
  </si>
  <si>
    <t xml:space="preserve">Submódulo 4.1 – Substituto nas Ausências Legais </t>
  </si>
  <si>
    <t>4.1</t>
  </si>
  <si>
    <t>Substituto nas Ausências Legais</t>
  </si>
  <si>
    <r>
      <t>Substituto na cobertura de Férias</t>
    </r>
    <r>
      <rPr>
        <b/>
        <sz val="10"/>
        <color indexed="19"/>
        <rFont val="Arial"/>
        <family val="2"/>
      </rPr>
      <t xml:space="preserve">      </t>
    </r>
    <r>
      <rPr>
        <b/>
        <sz val="10"/>
        <color indexed="10"/>
        <rFont val="Arial"/>
        <family val="2"/>
      </rPr>
      <t xml:space="preserve">  Obrigatória a cotação de 9,075% sobre o valor do (Módulo 1 - Composição da Remuneração </t>
    </r>
    <r>
      <rPr>
        <b/>
        <sz val="10"/>
        <color indexed="39"/>
        <rFont val="Arial"/>
        <family val="2"/>
      </rPr>
      <t xml:space="preserve"> mais</t>
    </r>
    <r>
      <rPr>
        <b/>
        <sz val="10"/>
        <color indexed="10"/>
        <rFont val="Arial"/>
        <family val="2"/>
      </rPr>
      <t xml:space="preserve"> o percentual do Submódulo 2.2 sobre o cálculo anterior, conforme Anexo XII da IN 5/17 (Férias + Adicional = 12,10% = 9,075% + 3,025%) </t>
    </r>
  </si>
  <si>
    <r>
      <t xml:space="preserve">Substituto na cobertura de Ausências Legais 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/30)x1dia]/12</t>
    </r>
  </si>
  <si>
    <r>
      <t xml:space="preserve">Substituto na cobertura de Licença-Paternidade
</t>
    </r>
    <r>
      <rPr>
        <b/>
        <sz val="10"/>
        <color indexed="10"/>
        <rFont val="Arial"/>
        <family val="2"/>
      </rPr>
      <t>Cálculo do valor = {[(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/30)x5dias]/12}x1,5%</t>
    </r>
  </si>
  <si>
    <r>
      <t xml:space="preserve">Substituto na cobertura de Ausência por acidente de trabalho
</t>
    </r>
    <r>
      <rPr>
        <b/>
        <sz val="10"/>
        <color indexed="10"/>
        <rFont val="Arial"/>
        <family val="2"/>
      </rPr>
      <t>Cálculo do valor 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/30)x0,97 dias]/12</t>
    </r>
  </si>
  <si>
    <r>
      <t xml:space="preserve">Substituto na cobertura de Afastamento Maternidade
</t>
    </r>
    <r>
      <rPr>
        <b/>
        <sz val="10"/>
        <color indexed="10"/>
        <rFont val="Arial"/>
        <family val="2"/>
      </rPr>
      <t xml:space="preserve">Cálculo do valor = [((Férias + Férias / 3) + SUB2.2 x (Férias + Férias / 3)) x (4/12)] x 2% + [( FGTS x Rem + SUB 2.2 x 13º + SUB2.3 – VA – VT + MÓD3) x (4/12)] } x 2%     </t>
    </r>
    <r>
      <rPr>
        <b/>
        <sz val="10"/>
        <rFont val="Arial"/>
        <family val="2"/>
      </rPr>
      <t xml:space="preserve">
</t>
    </r>
    <r>
      <rPr>
        <b/>
        <sz val="10"/>
        <color indexed="12"/>
        <rFont val="Arial"/>
        <family val="2"/>
      </rPr>
      <t>Não incide Contribuição Previdenciária Patronal (INSS + 3ªs entidades) sobre a Remuneração da empregada residente nos 4 meses de Afastamento, conforme Solução de Consulta Cosit/RFB nº 27/2023, publicada na pág. 20 da Seção 1 do DOU de 09/02/2023. A Remuneração e o 13º da empregada residente poderão ser compensados, por isso não constam da fórmula.</t>
    </r>
  </si>
  <si>
    <r>
      <t xml:space="preserve">Substituto na cobertura de Ausência por doença
</t>
    </r>
    <r>
      <rPr>
        <b/>
        <sz val="10"/>
        <color indexed="10"/>
        <rFont val="Arial"/>
        <family val="2"/>
      </rPr>
      <t>Cálculo do valor = [(</t>
    </r>
    <r>
      <rPr>
        <b/>
        <sz val="10"/>
        <color indexed="12"/>
        <rFont val="Arial"/>
        <family val="2"/>
      </rPr>
      <t>BCCPA</t>
    </r>
    <r>
      <rPr>
        <b/>
        <sz val="10"/>
        <color indexed="10"/>
        <rFont val="Arial"/>
        <family val="2"/>
      </rPr>
      <t>)/30)x3dias]/12</t>
    </r>
  </si>
  <si>
    <t>Quadro-Resumo do Módulo 4 – Custo de Reposição do Profissional Ausente</t>
  </si>
  <si>
    <t>Custo de Reposição do Profissional Ausente</t>
  </si>
  <si>
    <t>Módulo 5 – Insumos Diversos</t>
  </si>
  <si>
    <t>Insumos diversos</t>
  </si>
  <si>
    <t>Uniformes/EPIs</t>
  </si>
  <si>
    <t>Módulo 6 -  Custos Indiretos, Lucro e Tributos</t>
  </si>
  <si>
    <t xml:space="preserve">Custos Indiretos, Lucro e Tributos </t>
  </si>
  <si>
    <t>Valor
(R$)</t>
  </si>
  <si>
    <t>BASE DE CÁLCULO DOS CUSTOS INDIRETOS 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Diversos)</t>
  </si>
  <si>
    <t>Custos Indiretos</t>
  </si>
  <si>
    <t>BASE DE CÁLCULO DO LUCRO = 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Indiretos)</t>
  </si>
  <si>
    <t>Lucro</t>
  </si>
  <si>
    <t>BASE DE CÁLCULO DOS TRIBUTOS = (Total do Módulo 1 – Composição da  Remuneração + Total do Módulo 2 - Encargos e Benefícios Anuais, Mensais e Diários + Total do Módulo 3 – Provisão da Rescisão + Total do Módulo 4 - Custo de Reposição do Profissional Ausente + Total do Módulo 5 - Insumos Diversos + Custos Indiretos + Lucro)</t>
  </si>
  <si>
    <t>Tributos</t>
  </si>
  <si>
    <t>C.1    Tributos Federais (especificar)</t>
  </si>
  <si>
    <r>
      <t xml:space="preserve">  </t>
    </r>
    <r>
      <rPr>
        <b/>
        <sz val="10"/>
        <rFont val="Arial"/>
        <family val="2"/>
      </rPr>
      <t xml:space="preserve">a) Cofins  </t>
    </r>
    <r>
      <rPr>
        <sz val="10"/>
        <color indexed="10"/>
        <rFont val="Arial"/>
        <family val="2"/>
      </rPr>
      <t>(depende do regime de tributação - utilizada a hipótese de Lucro Real)</t>
    </r>
    <r>
      <rPr>
        <b/>
        <sz val="10"/>
        <color indexed="12"/>
        <rFont val="Arial"/>
        <family val="2"/>
      </rPr>
      <t xml:space="preserve"> Os licitantes optantes ou obrigados ao regime não cumulativo da Cofins devem cotar a alíquota média, com demonstração</t>
    </r>
  </si>
  <si>
    <r>
      <t xml:space="preserve">  </t>
    </r>
    <r>
      <rPr>
        <b/>
        <sz val="10"/>
        <rFont val="Arial"/>
        <family val="2"/>
      </rPr>
      <t xml:space="preserve">b) PIS </t>
    </r>
    <r>
      <rPr>
        <sz val="10"/>
        <color indexed="10"/>
        <rFont val="Arial"/>
        <family val="2"/>
      </rPr>
      <t>(depende do regime de tributação - utilizada a hipótese de Lucro Real)</t>
    </r>
    <r>
      <rPr>
        <sz val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Os licitantes optantes ou obrigados ao regime não cumulativo do PIS devem cotar a alíquota média, com demonstração</t>
    </r>
  </si>
  <si>
    <r>
      <t xml:space="preserve"> c) IRPJ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-  Em face dos Acórdãos TCU nºs 950/2007-P e 205/2018-P, o licitante não pode cotar expressamente este tributo.</t>
    </r>
  </si>
  <si>
    <r>
      <t xml:space="preserve"> d) CSLL </t>
    </r>
    <r>
      <rPr>
        <b/>
        <sz val="10"/>
        <color indexed="12"/>
        <rFont val="Arial"/>
        <family val="2"/>
      </rPr>
      <t>-  Em face dos Acórdãos TCU nºs 950/2007-P e 205/2018-P, o licitante não pode cotar expressamente este tributo.</t>
    </r>
  </si>
  <si>
    <t>C.2   Tributos Estaduais (especificar)</t>
  </si>
  <si>
    <t>C.3   Tributos Municipais (especificar):</t>
  </si>
  <si>
    <r>
      <t xml:space="preserve">  </t>
    </r>
    <r>
      <rPr>
        <b/>
        <sz val="10"/>
        <rFont val="Arial"/>
        <family val="2"/>
      </rPr>
      <t xml:space="preserve">a) ISS              </t>
    </r>
    <r>
      <rPr>
        <sz val="10"/>
        <color indexed="10"/>
        <rFont val="Arial"/>
        <family val="2"/>
      </rPr>
      <t>(Decreto Municipal de Sertão/RS)</t>
    </r>
  </si>
  <si>
    <t xml:space="preserve">Percentual Total e Valor Total de Tributos  </t>
  </si>
  <si>
    <t>Cálculo dos Tributos</t>
  </si>
  <si>
    <t xml:space="preserve">                  Base de Cálculo para os Tributos</t>
  </si>
  <si>
    <t xml:space="preserve"> = ( ---------------------------------------------------------------- ) x Alíquota do Tributo</t>
  </si>
  <si>
    <t xml:space="preserve">         1 - (Total de Tributos em % dividido por 100)</t>
  </si>
  <si>
    <t>Nota 1: Custos Indiretos, Lucro e Tributos por empregado.
Nota 2: O valor referente a tributos é obtido aplicando-se o percentual sobre o valor do faturamento.</t>
  </si>
  <si>
    <t xml:space="preserve">
2. QUADRO-RESUMO DO CUSTO POR EMPREGADO
</t>
  </si>
  <si>
    <t xml:space="preserve"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</si>
  <si>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</si>
  <si>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</si>
  <si>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</si>
  <si>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 xml:space="preserve">Módulo 5 - Insumos Diversos </t>
  </si>
  <si>
    <t>Subtotal (A + B + C + D + E)</t>
  </si>
  <si>
    <t>Módulo 6 - Custos Indiretos, Lucro e Tributos</t>
  </si>
  <si>
    <t>Valor Total por Empregado</t>
  </si>
  <si>
    <t>QUANTIDADE DE PESSOAL ALOCADO NA EXECUÇÃO CONTRATUAL (item 6.2.e do Anexo VII da IN nº 5/2017)</t>
  </si>
  <si>
    <t>Tipo de Mão de Obra</t>
  </si>
  <si>
    <t>Quantidade de Pessoal</t>
  </si>
  <si>
    <t>ENCARREGADO DE SERVENTES DE LIMPEZA</t>
  </si>
  <si>
    <t>Valor Mensal do Serviço (total por empregado x nº de postos)</t>
  </si>
  <si>
    <t>Número de meses do contrato</t>
  </si>
  <si>
    <t>Valor Global da Proposta (valor mensal x nº de meses execução)</t>
  </si>
  <si>
    <r>
      <t xml:space="preserve">ANEXO III  </t>
    </r>
    <r>
      <rPr>
        <b/>
        <sz val="12"/>
        <color indexed="10"/>
        <rFont val="Arial"/>
        <family val="2"/>
      </rPr>
      <t xml:space="preserve">do Pregão IFRS nº 90009/2024 – </t>
    </r>
    <r>
      <rPr>
        <b/>
        <sz val="12"/>
        <color indexed="12"/>
        <rFont val="Arial"/>
        <family val="2"/>
      </rPr>
      <t xml:space="preserve">CONTA VINCULADA 
</t>
    </r>
    <r>
      <rPr>
        <b/>
        <sz val="12"/>
        <rFont val="Arial"/>
        <family val="2"/>
      </rPr>
      <t xml:space="preserve">MODELO DE PLANILHA DE CUSTOS E FORMAÇÃO DE PREÇOS </t>
    </r>
    <r>
      <rPr>
        <b/>
        <sz val="12"/>
        <color indexed="20"/>
        <rFont val="Arial"/>
        <family val="2"/>
      </rPr>
      <t xml:space="preserve"> </t>
    </r>
  </si>
  <si>
    <r>
      <t xml:space="preserve">LIMPEZA - Regime de Tributação: </t>
    </r>
    <r>
      <rPr>
        <b/>
        <sz val="8"/>
        <color indexed="12"/>
        <rFont val="Arial"/>
        <family val="2"/>
      </rPr>
      <t xml:space="preserve">Lucro Real </t>
    </r>
  </si>
  <si>
    <t>Pregão IFRS CAMPUS SERTÃO nº 90009/2024</t>
  </si>
  <si>
    <r>
      <t>Dia: xx</t>
    </r>
    <r>
      <rPr>
        <b/>
        <sz val="8"/>
        <color indexed="10"/>
        <rFont val="Arial"/>
        <family val="2"/>
      </rPr>
      <t xml:space="preserve">/xx/2024 às 09h </t>
    </r>
  </si>
  <si>
    <t>XX/XX/2024</t>
  </si>
  <si>
    <t>SERTÃO/RS</t>
  </si>
  <si>
    <t>01/01/24 a 31/12/24
SEEAC/SINDASSEIO/RS 
(que engloba Sertão)</t>
  </si>
  <si>
    <t xml:space="preserve">Número de meses de execução contratual </t>
  </si>
  <si>
    <t xml:space="preserve">Tipo de Serviço: 
                                Limpeza e Conservação Predial                                                                                                   </t>
  </si>
  <si>
    <t>Unidade
 de 
Medida</t>
  </si>
  <si>
    <t xml:space="preserve">Quantidade total a contratar (Em função da unidade de medida) </t>
  </si>
  <si>
    <t>a) Áreas internas - Pisos acarpetados</t>
  </si>
  <si>
    <t>m2</t>
  </si>
  <si>
    <t>b) Áreas internas - Pisos frios</t>
  </si>
  <si>
    <t>c) Áreas internas - Laboratórios</t>
  </si>
  <si>
    <t>d) Áreas internas - Almoxarifados/galpões</t>
  </si>
  <si>
    <t>e) Áreas internas - Áreas com espaços livres - saguão, hall e salão</t>
  </si>
  <si>
    <t>m-2</t>
  </si>
  <si>
    <t>m-1</t>
  </si>
  <si>
    <t>m0</t>
  </si>
  <si>
    <t>m1</t>
  </si>
  <si>
    <r>
      <t xml:space="preserve">f) Banheiros </t>
    </r>
    <r>
      <rPr>
        <sz val="8"/>
        <rFont val="Arial"/>
        <family val="2"/>
      </rPr>
      <t>(40%)</t>
    </r>
  </si>
  <si>
    <t>TOTAL DA ÁREA INTERNA</t>
  </si>
  <si>
    <t>a) Áreas externas - Pisos pavimentados adjacentes/contíguos às edificações</t>
  </si>
  <si>
    <t>TOTAL DA ÁREA EXTERNA</t>
  </si>
  <si>
    <r>
      <t xml:space="preserve">a) Esquadrias externas - Face externa </t>
    </r>
    <r>
      <rPr>
        <sz val="8"/>
        <color indexed="10"/>
        <rFont val="Arial"/>
        <family val="2"/>
      </rPr>
      <t>com</t>
    </r>
    <r>
      <rPr>
        <sz val="8"/>
        <rFont val="Arial"/>
        <family val="2"/>
      </rPr>
      <t xml:space="preserve"> exposição a situação de risco</t>
    </r>
  </si>
  <si>
    <r>
      <t>b) Esquadrias externas - Face externa</t>
    </r>
    <r>
      <rPr>
        <sz val="8"/>
        <color indexed="10"/>
        <rFont val="Arial"/>
        <family val="2"/>
      </rPr>
      <t xml:space="preserve"> sem </t>
    </r>
    <r>
      <rPr>
        <sz val="8"/>
        <rFont val="Arial"/>
        <family val="2"/>
      </rPr>
      <t>exposição a situação de risco</t>
    </r>
  </si>
  <si>
    <t>c) Esquadrias externas - Face interna</t>
  </si>
  <si>
    <t>TOTAL DA ÁREA DA ESQUADRIA EXTERNA - FACE INTERNA/EXTERNA</t>
  </si>
  <si>
    <t xml:space="preserve">TOTAL GERAL </t>
  </si>
  <si>
    <t xml:space="preserve"> limpeza e conservação</t>
  </si>
  <si>
    <r>
      <t xml:space="preserve">Salário Normativo da Categoria Profissional - </t>
    </r>
    <r>
      <rPr>
        <b/>
        <sz val="8"/>
        <color indexed="12"/>
        <rFont val="Arial"/>
        <family val="2"/>
      </rPr>
      <t>para a jornada de 44 h/sem</t>
    </r>
  </si>
  <si>
    <t xml:space="preserve">      servente de limpeza</t>
  </si>
  <si>
    <t>Nota 1: A planilha será calculada considerando o valor mensal do empregado.</t>
  </si>
  <si>
    <r>
      <t xml:space="preserve">Salário-Base   </t>
    </r>
    <r>
      <rPr>
        <b/>
        <sz val="8"/>
        <color indexed="10"/>
        <rFont val="Arial"/>
        <family val="2"/>
      </rPr>
      <t>(</t>
    </r>
    <r>
      <rPr>
        <b/>
        <sz val="8"/>
        <color indexed="10"/>
        <rFont val="Arial"/>
        <family val="2"/>
      </rPr>
      <t>Cláusula 5ª CCT 2024)</t>
    </r>
  </si>
  <si>
    <r>
      <t xml:space="preserve">Adicional de Insalubridade </t>
    </r>
    <r>
      <rPr>
        <b/>
        <sz val="8"/>
        <color indexed="10"/>
        <rFont val="Arial"/>
        <family val="2"/>
      </rPr>
      <t>(40% do SB - Cláusula 17 alínea "c" CCT 2024)</t>
    </r>
  </si>
  <si>
    <t>Nota1:  O Módulo 1 refere-se ao valor mensal devido ao empregado pela prestação do serviço no período de 12 meses.</t>
  </si>
  <si>
    <r>
      <t>Submódulo 2.1 – 13º (décimo terceiro) Salário</t>
    </r>
    <r>
      <rPr>
        <b/>
        <sz val="8"/>
        <color indexed="19"/>
        <rFont val="Arial"/>
        <family val="2"/>
      </rPr>
      <t xml:space="preserve"> </t>
    </r>
    <r>
      <rPr>
        <b/>
        <sz val="8"/>
        <rFont val="Arial"/>
        <family val="2"/>
      </rPr>
      <t>e Adicional de Férias</t>
    </r>
  </si>
  <si>
    <r>
      <t>13º (décimo terceiro) Salário  -</t>
    </r>
    <r>
      <rPr>
        <b/>
        <sz val="8"/>
        <color indexed="12"/>
        <rFont val="Arial"/>
        <family val="2"/>
      </rPr>
      <t xml:space="preserve"> 8,33%</t>
    </r>
    <r>
      <rPr>
        <b/>
        <sz val="8"/>
        <color indexed="10"/>
        <rFont val="Arial"/>
        <family val="2"/>
      </rPr>
      <t xml:space="preserve"> sobre o valor do Módulo 1 - Composição da Remuneração, conforme Anexo XII da IN 5/17</t>
    </r>
  </si>
  <si>
    <r>
      <t xml:space="preserve">Adicional de Férias - </t>
    </r>
    <r>
      <rPr>
        <b/>
        <sz val="8"/>
        <color indexed="12"/>
        <rFont val="Arial"/>
        <family val="2"/>
      </rPr>
      <t>3,025%</t>
    </r>
    <r>
      <rPr>
        <b/>
        <sz val="8"/>
        <color indexed="10"/>
        <rFont val="Arial"/>
        <family val="2"/>
      </rPr>
      <t xml:space="preserve"> sobre o valor do Módulo 1 - Composição da Remuneração, conforme Anexo XII da IN 5/17 (12,10% - sendo Férias = 9,75% e Adicional (1/3) = 3,025%)</t>
    </r>
  </si>
  <si>
    <r>
      <t xml:space="preserve">Submódulo 2.2 - Encargos Previdenciários (GPS), Fundo de Garantia por Tempo de Serviço (FGTS) e outras contribuições </t>
    </r>
    <r>
      <rPr>
        <b/>
        <sz val="8"/>
        <color indexed="12"/>
        <rFont val="Arial"/>
        <family val="2"/>
      </rPr>
      <t>(Base de cálculo: Módulo 1 + Submódulo 2.1)</t>
    </r>
  </si>
  <si>
    <r>
      <t xml:space="preserve">RAT x FAP
</t>
    </r>
    <r>
      <rPr>
        <b/>
        <sz val="8"/>
        <color indexed="10"/>
        <rFont val="Arial"/>
        <family val="2"/>
      </rPr>
      <t>Cálculo do valor: % do RAT (Riscos Ambientais do Trabalho) x FAP (Fator Acidentário de Prevenção de cada empresa)</t>
    </r>
  </si>
  <si>
    <r>
      <t xml:space="preserve">Transporte                                               </t>
    </r>
    <r>
      <rPr>
        <b/>
        <sz val="8"/>
        <color indexed="10"/>
        <rFont val="Arial"/>
        <family val="2"/>
      </rPr>
      <t>Cálculo do valor: [(2xVTx21) – (</t>
    </r>
    <r>
      <rPr>
        <b/>
        <sz val="8"/>
        <color indexed="12"/>
        <rFont val="Arial"/>
        <family val="2"/>
      </rPr>
      <t>6%</t>
    </r>
    <r>
      <rPr>
        <b/>
        <sz val="8"/>
        <color indexed="10"/>
        <rFont val="Arial"/>
        <family val="2"/>
      </rPr>
      <t>xSB)]</t>
    </r>
  </si>
  <si>
    <r>
      <t xml:space="preserve">      </t>
    </r>
    <r>
      <rPr>
        <b/>
        <sz val="8"/>
        <color indexed="10"/>
        <rFont val="Arial"/>
        <family val="2"/>
      </rPr>
      <t>A.1) Valor da passagem do transporte coletivo no município de prestação dos serviços: (tarifa mínima linha UNESUL)</t>
    </r>
  </si>
  <si>
    <r>
      <t xml:space="preserve">     </t>
    </r>
    <r>
      <rPr>
        <b/>
        <sz val="8"/>
        <color indexed="10"/>
        <rFont val="Arial"/>
        <family val="2"/>
      </rPr>
      <t xml:space="preserve"> A.2) Quantidade de passagens por dia por empregado:</t>
    </r>
  </si>
  <si>
    <r>
      <t xml:space="preserve">      </t>
    </r>
    <r>
      <rPr>
        <b/>
        <sz val="8"/>
        <color indexed="10"/>
        <rFont val="Arial"/>
        <family val="2"/>
      </rPr>
      <t xml:space="preserve">A.3) Quantidade de dias do mês de recebimento de passagens </t>
    </r>
  </si>
  <si>
    <r>
      <t xml:space="preserve">     A.4) Participação do empregado em percentual do salário-base</t>
    </r>
    <r>
      <rPr>
        <b/>
        <sz val="8"/>
        <color indexed="12"/>
        <rFont val="Arial"/>
        <family val="2"/>
      </rPr>
      <t xml:space="preserve"> (cláus. 20 CCT 2024)</t>
    </r>
  </si>
  <si>
    <r>
      <t xml:space="preserve">Auxílio-Refeição/Alimentação </t>
    </r>
    <r>
      <rPr>
        <b/>
        <sz val="8"/>
        <color indexed="10"/>
        <rFont val="Arial"/>
        <family val="2"/>
      </rPr>
      <t>Cálculo do valor = [(21xVA)x(1-</t>
    </r>
    <r>
      <rPr>
        <b/>
        <sz val="8"/>
        <color indexed="12"/>
        <rFont val="Arial"/>
        <family val="2"/>
      </rPr>
      <t>0,19%</t>
    </r>
    <r>
      <rPr>
        <b/>
        <sz val="8"/>
        <color indexed="10"/>
        <rFont val="Arial"/>
        <family val="2"/>
      </rPr>
      <t>)]</t>
    </r>
  </si>
  <si>
    <r>
      <t xml:space="preserve">      </t>
    </r>
    <r>
      <rPr>
        <b/>
        <sz val="8"/>
        <color indexed="10"/>
        <rFont val="Arial"/>
        <family val="2"/>
      </rPr>
      <t>B.1) Valor do auxílio-alimentação</t>
    </r>
    <r>
      <rPr>
        <b/>
        <sz val="8"/>
        <color indexed="12"/>
        <rFont val="Arial"/>
        <family val="2"/>
      </rPr>
      <t xml:space="preserve"> (cláusula 18 da CCT 2024)</t>
    </r>
  </si>
  <si>
    <r>
      <t xml:space="preserve">    </t>
    </r>
    <r>
      <rPr>
        <b/>
        <sz val="8"/>
        <color indexed="10"/>
        <rFont val="Arial"/>
        <family val="2"/>
      </rPr>
      <t xml:space="preserve">  B.2) Quantidade de dias do mês de recebimento de auxílio-alimentação</t>
    </r>
  </si>
  <si>
    <r>
      <t xml:space="preserve">Plano de Benefício Social Familiar </t>
    </r>
    <r>
      <rPr>
        <b/>
        <sz val="8"/>
        <color indexed="12"/>
        <rFont val="Arial"/>
        <family val="2"/>
      </rPr>
      <t>(cláusula 29 da CCT 2024)  Sem participação do empregado</t>
    </r>
  </si>
  <si>
    <r>
      <t>13º (décimo terceiro) Salário</t>
    </r>
    <r>
      <rPr>
        <b/>
        <strike/>
        <sz val="8"/>
        <color indexed="38"/>
        <rFont val="Arial"/>
        <family val="2"/>
      </rPr>
      <t xml:space="preserve"> </t>
    </r>
    <r>
      <rPr>
        <b/>
        <sz val="8"/>
        <rFont val="Arial"/>
        <family val="2"/>
      </rPr>
      <t>e Adicional de Férias</t>
    </r>
  </si>
  <si>
    <r>
      <t xml:space="preserve">Aviso Prévio Indenizado     </t>
    </r>
    <r>
      <rPr>
        <b/>
        <sz val="8"/>
        <color indexed="10"/>
        <rFont val="Arial"/>
        <family val="2"/>
      </rPr>
      <t xml:space="preserve">Cálculo do valor = [Rem/12 + 13º/12 + Férias/12 + (1/3xFérias)/12] x (30/30=1) x 5% de rotatividade anual
Os reflexos de 13º, F e 1/3F são referentes a 1 mês de APInd - </t>
    </r>
    <r>
      <rPr>
        <b/>
        <sz val="8"/>
        <color indexed="12"/>
        <rFont val="Arial"/>
        <family val="2"/>
      </rPr>
      <t>Na prorrogação, poderão ser considerados 3 dias conforme Lei nº 12.506/2011, dependendo da análise do nº de ocorrências deste evento no período.</t>
    </r>
  </si>
  <si>
    <r>
      <t xml:space="preserve">Aviso Prévio Trabalhado   </t>
    </r>
    <r>
      <rPr>
        <b/>
        <sz val="8"/>
        <color indexed="10"/>
        <rFont val="Arial"/>
        <family val="2"/>
      </rPr>
      <t>Cálculo do valor= [(Rem/30)x7]/</t>
    </r>
    <r>
      <rPr>
        <b/>
        <sz val="8"/>
        <color indexed="12"/>
        <rFont val="Arial"/>
        <family val="2"/>
      </rPr>
      <t>12</t>
    </r>
    <r>
      <rPr>
        <b/>
        <sz val="8"/>
        <color indexed="10"/>
        <rFont val="Arial"/>
        <family val="2"/>
      </rPr>
      <t xml:space="preserve"> meses do contratox</t>
    </r>
    <r>
      <rPr>
        <b/>
        <sz val="8"/>
        <color indexed="12"/>
        <rFont val="Arial"/>
        <family val="2"/>
      </rPr>
      <t>100%</t>
    </r>
    <r>
      <rPr>
        <b/>
        <sz val="8"/>
        <color indexed="10"/>
        <rFont val="Arial"/>
        <family val="2"/>
      </rPr>
      <t xml:space="preserve"> dos empregados - ao final do contrato -</t>
    </r>
    <r>
      <rPr>
        <b/>
        <sz val="8"/>
        <color indexed="12"/>
        <rFont val="Arial"/>
        <family val="2"/>
      </rPr>
      <t xml:space="preserve"> Negociar extinção/redução na 1ª prorrogação, dependendo da análise do nº de ocorrências deste evento no período.</t>
    </r>
  </si>
  <si>
    <r>
      <t xml:space="preserve">Multa sobre o FGTS para as rescisões sem justa causa - </t>
    </r>
    <r>
      <rPr>
        <b/>
        <sz val="8"/>
        <color indexed="10"/>
        <rFont val="Arial"/>
        <family val="2"/>
      </rPr>
      <t>4% sobre o valor do Módulo 1 – Remuneração, conforme Anexo XII da IN Seges nº 5/2017</t>
    </r>
  </si>
  <si>
    <r>
      <t xml:space="preserve">Base de cálculo para o Custo de Reposição do Profissional Ausente (substituto): BCCPA = MÓDULO 1 + MÓDULO 2 (-VA - VT) + FÉRIAS + MÓDULO 3 - </t>
    </r>
    <r>
      <rPr>
        <b/>
        <sz val="8"/>
        <color indexed="10"/>
        <rFont val="Arial"/>
        <family val="2"/>
      </rPr>
      <t>exceto o Substituto na cobertura de Férias e o Afastamento Maternidade, sendo que neste último a Rem e o 13º podem ser compensados pelo INSS, ambos com base de cálculo própria, conforme consta nesses itens de custo.</t>
    </r>
  </si>
  <si>
    <r>
      <t xml:space="preserve">MÓD 2 </t>
    </r>
    <r>
      <rPr>
        <b/>
        <sz val="8"/>
        <color indexed="10"/>
        <rFont val="Arial"/>
        <family val="2"/>
      </rPr>
      <t>(sem VA e VT)</t>
    </r>
    <r>
      <rPr>
        <b/>
        <sz val="8"/>
        <color indexed="12"/>
        <rFont val="Arial"/>
        <family val="2"/>
      </rPr>
      <t xml:space="preserve"> + Férias =</t>
    </r>
  </si>
  <si>
    <r>
      <t xml:space="preserve">Substituto na cobertura de Férias </t>
    </r>
    <r>
      <rPr>
        <b/>
        <sz val="8"/>
        <color indexed="10"/>
        <rFont val="Arial"/>
        <family val="2"/>
      </rPr>
      <t xml:space="preserve">Obrigatória a cotação de 9,075% sobre o valor do (Módulo 1 - Composição da Remuneração  </t>
    </r>
    <r>
      <rPr>
        <b/>
        <sz val="8"/>
        <color indexed="39"/>
        <rFont val="Arial"/>
        <family val="2"/>
      </rPr>
      <t>mais o</t>
    </r>
    <r>
      <rPr>
        <b/>
        <sz val="8"/>
        <color indexed="8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percentual do Submódulo 2.2 sobre o cálculo anterior, conforme Anexo XII da IN 5/17 (Férias + Adicional = 12,10% = 9,075% + 3,025%) </t>
    </r>
  </si>
  <si>
    <r>
      <t xml:space="preserve">Substituto na cobertura de Ausências Legais </t>
    </r>
    <r>
      <rPr>
        <b/>
        <sz val="8"/>
        <color indexed="10"/>
        <rFont val="Arial"/>
        <family val="2"/>
      </rPr>
      <t>Cálculo do valor = [(</t>
    </r>
    <r>
      <rPr>
        <b/>
        <sz val="8"/>
        <color indexed="12"/>
        <rFont val="Arial"/>
        <family val="2"/>
      </rPr>
      <t>BCCPA</t>
    </r>
    <r>
      <rPr>
        <b/>
        <sz val="8"/>
        <color indexed="10"/>
        <rFont val="Arial"/>
        <family val="2"/>
      </rPr>
      <t>/30)x1dia]/12</t>
    </r>
  </si>
  <si>
    <r>
      <t xml:space="preserve">Substituto na cobertura de Licença-Paternidade
</t>
    </r>
    <r>
      <rPr>
        <b/>
        <sz val="8"/>
        <color indexed="10"/>
        <rFont val="Arial"/>
        <family val="2"/>
      </rPr>
      <t>Cálculo do valor = {[(</t>
    </r>
    <r>
      <rPr>
        <b/>
        <sz val="8"/>
        <color indexed="12"/>
        <rFont val="Arial"/>
        <family val="2"/>
      </rPr>
      <t>BCCPA</t>
    </r>
    <r>
      <rPr>
        <b/>
        <sz val="8"/>
        <color indexed="10"/>
        <rFont val="Arial"/>
        <family val="2"/>
      </rPr>
      <t>/30)x5dias]/12}x1,5%</t>
    </r>
  </si>
  <si>
    <r>
      <t xml:space="preserve">Substituto na cobertura de Ausência por acidente de trabalho
</t>
    </r>
    <r>
      <rPr>
        <b/>
        <sz val="8"/>
        <color indexed="10"/>
        <rFont val="Arial"/>
        <family val="2"/>
      </rPr>
      <t>Cálculo do valor = [(</t>
    </r>
    <r>
      <rPr>
        <b/>
        <sz val="8"/>
        <color indexed="12"/>
        <rFont val="Arial"/>
        <family val="2"/>
      </rPr>
      <t>BCCPA</t>
    </r>
    <r>
      <rPr>
        <b/>
        <sz val="8"/>
        <color indexed="10"/>
        <rFont val="Arial"/>
        <family val="2"/>
      </rPr>
      <t>)  sobre a Rem)/30x0,97 dias]/12</t>
    </r>
  </si>
  <si>
    <r>
      <t xml:space="preserve">Substituto na cobertura de Afastamento Maternidade
</t>
    </r>
    <r>
      <rPr>
        <b/>
        <sz val="8"/>
        <color indexed="10"/>
        <rFont val="Arial"/>
        <family val="2"/>
      </rPr>
      <t>Cálculo do valor = [((Férias + Férias / 3) + SUB2.2 x (Férias + Férias / 3)) x (4/12)] x 2% + [( FGTS x Rem + SUB 2.2 x 13º</t>
    </r>
    <r>
      <rPr>
        <b/>
        <sz val="8"/>
        <color indexed="39"/>
        <rFont val="Arial"/>
        <family val="2"/>
      </rPr>
      <t xml:space="preserve"> </t>
    </r>
    <r>
      <rPr>
        <b/>
        <sz val="8"/>
        <color indexed="10"/>
        <rFont val="Arial"/>
        <family val="2"/>
      </rPr>
      <t xml:space="preserve">+ SUB2.3 – VA – VT + MÓD3) x (4/12)] } x 2%     
</t>
    </r>
    <r>
      <rPr>
        <b/>
        <sz val="8"/>
        <color indexed="12"/>
        <rFont val="Arial"/>
        <family val="2"/>
      </rPr>
      <t>Não incide Contribuição Previdenciária Patronal (INSS + 3ªs entidades) sobre a Remuneração da empregada residente nos 4 meses de Afastamento, conforme Solução de Consulta Cosit/RFB nº 27/2023, publicada na pág. 20 da Seção 1 do DOU de 09/02/2023. A Remuneração e o 13º da empregada residente poderão ser compensados, por isso não constam da fórmula.</t>
    </r>
  </si>
  <si>
    <r>
      <t>Substituto na cobertura de Ausência por doença</t>
    </r>
    <r>
      <rPr>
        <b/>
        <sz val="8"/>
        <color indexed="12"/>
        <rFont val="Arial"/>
        <family val="2"/>
      </rPr>
      <t xml:space="preserve">
</t>
    </r>
    <r>
      <rPr>
        <b/>
        <sz val="8"/>
        <color indexed="10"/>
        <rFont val="Arial"/>
        <family val="2"/>
      </rPr>
      <t>Cálculo do valor = [(</t>
    </r>
    <r>
      <rPr>
        <b/>
        <sz val="8"/>
        <color indexed="12"/>
        <rFont val="Arial"/>
        <family val="2"/>
      </rPr>
      <t>BCCPA</t>
    </r>
    <r>
      <rPr>
        <b/>
        <sz val="8"/>
        <color indexed="10"/>
        <rFont val="Arial"/>
        <family val="2"/>
      </rPr>
      <t xml:space="preserve">)/30)x3dias]/12 
</t>
    </r>
    <r>
      <rPr>
        <b/>
        <sz val="8"/>
        <color indexed="12"/>
        <rFont val="Arial"/>
        <family val="2"/>
      </rPr>
      <t>Incluído por permissão da IN Seges nº 5/2017, Anexo VII-B, item 1.7, alíneas "b" e "c".5.</t>
    </r>
  </si>
  <si>
    <t xml:space="preserve">Materiais </t>
  </si>
  <si>
    <t>Utensílios</t>
  </si>
  <si>
    <r>
      <t>Equipamentos</t>
    </r>
    <r>
      <rPr>
        <b/>
        <sz val="8"/>
        <color indexed="12"/>
        <rFont val="Arial"/>
        <family val="2"/>
      </rPr>
      <t xml:space="preserve"> </t>
    </r>
  </si>
  <si>
    <t>Relógio Ponto</t>
  </si>
  <si>
    <t>Nota: Valores mensais por empregado.</t>
  </si>
  <si>
    <r>
      <t xml:space="preserve">  </t>
    </r>
    <r>
      <rPr>
        <b/>
        <sz val="8"/>
        <rFont val="Arial"/>
        <family val="2"/>
      </rPr>
      <t xml:space="preserve">a) Cofins  </t>
    </r>
    <r>
      <rPr>
        <sz val="8"/>
        <color indexed="10"/>
        <rFont val="Arial"/>
        <family val="2"/>
      </rPr>
      <t>(depende do regime de tributação - utilizada a hipótese de Lucro Real)</t>
    </r>
    <r>
      <rPr>
        <sz val="8"/>
        <rFont val="Arial"/>
        <family val="2"/>
      </rPr>
      <t xml:space="preserve">
</t>
    </r>
    <r>
      <rPr>
        <b/>
        <sz val="8"/>
        <color indexed="12"/>
        <rFont val="Arial"/>
        <family val="2"/>
      </rPr>
      <t>Os licitantes optantes ou obrigados ao regime não cumulativo da Cofins devem cotar a alíquota média, com demonstração</t>
    </r>
  </si>
  <si>
    <r>
      <t xml:space="preserve">  </t>
    </r>
    <r>
      <rPr>
        <b/>
        <sz val="8"/>
        <rFont val="Arial"/>
        <family val="2"/>
      </rPr>
      <t xml:space="preserve">b) PIS </t>
    </r>
    <r>
      <rPr>
        <sz val="8"/>
        <color indexed="10"/>
        <rFont val="Arial"/>
        <family val="2"/>
      </rPr>
      <t>(depende do regime de tributação - utilizada a hipótese de Lucro Real)</t>
    </r>
    <r>
      <rPr>
        <sz val="8"/>
        <rFont val="Arial"/>
        <family val="2"/>
      </rPr>
      <t xml:space="preserve">
</t>
    </r>
    <r>
      <rPr>
        <b/>
        <sz val="8"/>
        <color indexed="12"/>
        <rFont val="Arial"/>
        <family val="2"/>
      </rPr>
      <t>Os licitantes optantes ou obrigados ao regime não cumulativo do PIS devem cotar a alíquota média, com demonstração</t>
    </r>
  </si>
  <si>
    <r>
      <t xml:space="preserve"> c) IRPJ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2"/>
        <rFont val="Arial"/>
        <family val="2"/>
      </rPr>
      <t>-  Em face dos Acórdãos TCU nºs 950/2007-P e 205/2018-P, os licitante não podem cotar expressamente este tributo.</t>
    </r>
  </si>
  <si>
    <r>
      <t xml:space="preserve"> d) CSLL </t>
    </r>
    <r>
      <rPr>
        <b/>
        <sz val="8"/>
        <color indexed="12"/>
        <rFont val="Arial"/>
        <family val="2"/>
      </rPr>
      <t>-  Em face dos Acórdãos TCU nºs 950/2007-P e 205/2018-P, os licitantes não podem cotar expressamente este tributo.</t>
    </r>
  </si>
  <si>
    <r>
      <t xml:space="preserve">  </t>
    </r>
    <r>
      <rPr>
        <b/>
        <sz val="8"/>
        <rFont val="Arial"/>
        <family val="2"/>
      </rPr>
      <t xml:space="preserve">a) ISS              </t>
    </r>
    <r>
      <rPr>
        <sz val="8"/>
        <color indexed="10"/>
        <rFont val="Arial"/>
        <family val="2"/>
      </rPr>
      <t>(Decreto Municipal de Sertão/RS)</t>
    </r>
  </si>
  <si>
    <t>3.  COMPLEMENTO DOS SERVIÇOS DE LIMPEZA E CONSERVAÇÃO</t>
  </si>
  <si>
    <t>PREÇO MENSAL UNITÁRIO POR M² (metro quadrado)</t>
  </si>
  <si>
    <r>
      <t xml:space="preserve">ÁREA INTERNA (Fórmulas exemplificativas de cálculo para área interna - alíneas "a" e "b" do subitem 3.1 do Anexo VI-B; para as demais alíneas, deverão ser incluídos novos campos na planilha com a metragem adequada).
</t>
    </r>
    <r>
      <rPr>
        <b/>
        <sz val="8"/>
        <color indexed="12"/>
        <rFont val="Arial"/>
        <family val="2"/>
      </rPr>
      <t>Excluir esta observação</t>
    </r>
    <r>
      <rPr>
        <b/>
        <sz val="8"/>
        <rFont val="Arial"/>
        <family val="2"/>
      </rPr>
      <t>)</t>
    </r>
  </si>
  <si>
    <t>MÃO DE OBRA 
       ENCARREGADO / SERVENTE</t>
  </si>
  <si>
    <t>(1) 
PRODUTIVIDADE
(1/M²)</t>
  </si>
  <si>
    <t>(2)
PREÇO HOMEM-MÊS                   (R$)</t>
  </si>
  <si>
    <t>(1 X 2)
SUBTOTAL
(R$/M²)</t>
  </si>
  <si>
    <t>SERV. / Pisos acarpetados</t>
  </si>
  <si>
    <t>1/1200*</t>
  </si>
  <si>
    <t>SERV. / Pisos frios</t>
  </si>
  <si>
    <t>1/2344*</t>
  </si>
  <si>
    <t>SERV. / Laboratórios</t>
  </si>
  <si>
    <t>1/703*</t>
  </si>
  <si>
    <t>SERV./Almoxarifados/galpões</t>
  </si>
  <si>
    <t>1/4688*</t>
  </si>
  <si>
    <t>SERV. / Áreas com espaços livres - saguão, hall e salão</t>
  </si>
  <si>
    <t>1/3375*</t>
  </si>
  <si>
    <t>SERV. / Banheiros</t>
  </si>
  <si>
    <t>1/196*</t>
  </si>
  <si>
    <t>P = produtividade de referência do trabalhador prevista no subitem 3.1.</t>
  </si>
  <si>
    <r>
      <t xml:space="preserve">OBS: </t>
    </r>
    <r>
      <rPr>
        <sz val="8"/>
        <rFont val="Arial"/>
        <family val="2"/>
      </rPr>
      <t xml:space="preserve">No caso de o edital permitir a alteração das produtividades da coluna (1), deve-se, também, proceder à alteração na fórmula das células da coluna (1x2), pois que as frações das células da coluna (1) estão em forma de texto. </t>
    </r>
  </si>
  <si>
    <r>
      <t xml:space="preserve">ÁREA EXTERNA (Fórmulas exemplificativas de cálculo para área externa - alíneas "a", "c" , "d" e "e" do subitem 3.2 do Anexo VI-B; para as demais alíneas, deverão ser incluídos novos campos na planilha com a metragem adequada).
</t>
    </r>
    <r>
      <rPr>
        <b/>
        <sz val="8"/>
        <color indexed="12"/>
        <rFont val="Arial"/>
        <family val="2"/>
      </rPr>
      <t>Excluir esta observação)</t>
    </r>
  </si>
  <si>
    <r>
      <t xml:space="preserve">MÃO DE OBRA 
       </t>
    </r>
    <r>
      <rPr>
        <b/>
        <sz val="8"/>
        <color indexed="8"/>
        <rFont val="Arial"/>
        <family val="2"/>
      </rPr>
      <t>ENCARREGADO / SERVENTE</t>
    </r>
  </si>
  <si>
    <t>(1)
PRODUTIVIDADE
(1/M²)</t>
  </si>
  <si>
    <t>(2)
PREÇO HOMEM-MÊS
(R$)</t>
  </si>
  <si>
    <t>SERV. / Pisos pavimentados adjacentes/contíguos às edificações</t>
  </si>
  <si>
    <t>1/8100*</t>
  </si>
  <si>
    <t>P = produtividade de referência do trabalhador prevista no subitem 3.2.</t>
  </si>
  <si>
    <r>
      <t xml:space="preserve">ESQUADRIA EXTERNA (Fórmulas exemplificativas de cálculo para esquadria externa - alíneas "b" e "c" do subitem 3.3 do Anexo VI-B; para as demais alíneas, deverão ser incluídos novos campos na planilha com a metragem adequada).
</t>
    </r>
    <r>
      <rPr>
        <b/>
        <sz val="8"/>
        <color indexed="12"/>
        <rFont val="Arial"/>
        <family val="2"/>
      </rPr>
      <t>Excluir esta observação)</t>
    </r>
  </si>
  <si>
    <r>
      <t xml:space="preserve">MÃO DE OBRA 
       </t>
    </r>
    <r>
      <rPr>
        <b/>
        <sz val="8"/>
        <color indexed="8"/>
        <rFont val="Arial"/>
        <family val="2"/>
      </rPr>
      <t>ENCARREGADO / SERVENTE</t>
    </r>
  </si>
  <si>
    <t>(1)
PRODUTIVIDADE 
(1/M²)</t>
  </si>
  <si>
    <r>
      <t xml:space="preserve">(2) FREQUÊNCIA NO </t>
    </r>
    <r>
      <rPr>
        <b/>
        <sz val="8"/>
        <color indexed="10"/>
        <rFont val="Arial"/>
        <family val="2"/>
      </rPr>
      <t xml:space="preserve">MÊS </t>
    </r>
    <r>
      <rPr>
        <b/>
        <sz val="8"/>
        <rFont val="Arial"/>
        <family val="2"/>
      </rPr>
      <t>(HORAS)</t>
    </r>
  </si>
  <si>
    <r>
      <t xml:space="preserve">(3)
 JORNADA DE TRABALHO NO </t>
    </r>
    <r>
      <rPr>
        <b/>
        <sz val="8"/>
        <color indexed="10"/>
        <rFont val="Arial"/>
        <family val="2"/>
      </rPr>
      <t xml:space="preserve">MÊS
</t>
    </r>
    <r>
      <rPr>
        <b/>
        <sz val="8"/>
        <rFont val="Arial"/>
        <family val="2"/>
      </rPr>
      <t xml:space="preserve"> (HORAS)</t>
    </r>
  </si>
  <si>
    <t>(4) 
= (1 X 2 X 3)
Ki****</t>
  </si>
  <si>
    <t>(5)
PREÇO HOMEM-MÊS 
(R$)</t>
  </si>
  <si>
    <t>(6) = (4 X 5)
 SUBTOTAL
 (R$/M²)</t>
  </si>
  <si>
    <t>SERV. / Face externa com exposição a situação de risco</t>
  </si>
  <si>
    <t>1/320*</t>
  </si>
  <si>
    <t>16***</t>
  </si>
  <si>
    <t>1/188,76</t>
  </si>
  <si>
    <t>SERV. / Face externa sem exposição a situação de risco</t>
  </si>
  <si>
    <t>1/760*</t>
  </si>
  <si>
    <t>SERV. / Face interna</t>
  </si>
  <si>
    <t>1/380*</t>
  </si>
  <si>
    <t>P = produtividade de referência do trabalhador prevista no subitem 3.3.</t>
  </si>
  <si>
    <r>
      <t xml:space="preserve">OBS: </t>
    </r>
    <r>
      <rPr>
        <sz val="8"/>
        <rFont val="Arial"/>
        <family val="2"/>
      </rPr>
      <t xml:space="preserve">No caso de alteração das produtividades da coluna (1) e da jornada de trabalho da coluna (3), deve-se, também, proceder à alteração na fórmula das células da coluna (4), pois que as frações das células das colunas (1) e (3) estão em forma de texto.  </t>
    </r>
  </si>
  <si>
    <t>4. VALOR MENSAL DOS SERVIÇOS</t>
  </si>
  <si>
    <t>TIPO DE ÁREA</t>
  </si>
  <si>
    <t>PREÇO MENSAL UNITÁRIO (R$/M²)</t>
  </si>
  <si>
    <t>ÁREA
(M²)</t>
  </si>
  <si>
    <t>SUBTOTAL
(R$)</t>
  </si>
  <si>
    <t xml:space="preserve">f) Áreas internas -  Banheiros </t>
  </si>
  <si>
    <t>a) Esquadrias externas - Face externa com exposição a situação de risco</t>
  </si>
  <si>
    <t>b) Áreas externas - Face externa sem exposição a situação de risco</t>
  </si>
  <si>
    <t>c) Áreas externas - Face interna</t>
  </si>
  <si>
    <t>TOTAL DA ESQUADRIA EXTERNA</t>
  </si>
  <si>
    <t>TOTAL</t>
  </si>
  <si>
    <t>Valor mensal do serviço</t>
  </si>
  <si>
    <t>Valor global da proposta (valor mensal do serviço x nº de meses do contrato)</t>
  </si>
  <si>
    <r>
      <t xml:space="preserve">QUANTIDADE DE PESSOAL ALOCADO NA EXECUÇÃO CONTRATUAL (item 6.2.e do Anexo VII da IN nº 5/2017  e </t>
    </r>
    <r>
      <rPr>
        <b/>
        <sz val="8"/>
        <color indexed="10"/>
        <rFont val="Arial"/>
        <family val="2"/>
      </rPr>
      <t>item 6.5.4.e do edital</t>
    </r>
    <r>
      <rPr>
        <b/>
        <sz val="8"/>
        <rFont val="Arial"/>
        <family val="2"/>
      </rPr>
      <t>)</t>
    </r>
  </si>
  <si>
    <t>Servente</t>
  </si>
  <si>
    <t>tipo de piso</t>
  </si>
  <si>
    <r>
      <t xml:space="preserve">produtividade (m² /             serv x mês)    de 44h semanais    (8h diárias) </t>
    </r>
    <r>
      <rPr>
        <b/>
        <sz val="10"/>
        <color indexed="10"/>
        <rFont val="Arial"/>
        <family val="2"/>
      </rPr>
      <t>PREENCHER</t>
    </r>
  </si>
  <si>
    <r>
      <rPr>
        <sz val="10"/>
        <rFont val="Arial"/>
        <family val="2"/>
      </rPr>
      <t xml:space="preserve">área (m²) a ser contratada </t>
    </r>
    <r>
      <rPr>
        <b/>
        <sz val="10"/>
        <color indexed="12"/>
        <rFont val="Arial"/>
        <family val="2"/>
      </rPr>
      <t>PREENCHER</t>
    </r>
  </si>
  <si>
    <t>(1)                  número de empregados necessários para a execução da tarefa</t>
  </si>
  <si>
    <t xml:space="preserve">(2)                             exclusão dos empregados que cumprem integralmente a jornada diária  </t>
  </si>
  <si>
    <t>(3) empregado que cumprirá jornada diária menor</t>
  </si>
  <si>
    <t>(4)                   jornada diária em minutos do empregado que completará a execução da tarefa</t>
  </si>
  <si>
    <t>(5) Número de empregados que a contratada deverá alocar para a prestação dos serviços</t>
  </si>
  <si>
    <t>ÁREAS INTERNAS</t>
  </si>
  <si>
    <t>pisos acarpetados</t>
  </si>
  <si>
    <t>empregados com jornada diária de</t>
  </si>
  <si>
    <t xml:space="preserve">horas e mais </t>
  </si>
  <si>
    <t>empregado com jornada diária de</t>
  </si>
  <si>
    <t>minutos.</t>
  </si>
  <si>
    <t>pisos frios</t>
  </si>
  <si>
    <t>laboratórios</t>
  </si>
  <si>
    <t>almoxarifados/ galpões</t>
  </si>
  <si>
    <t>oficinas</t>
  </si>
  <si>
    <t>áreas com espaços livres - saguão, hall e salão</t>
  </si>
  <si>
    <t>banheiros</t>
  </si>
  <si>
    <t>ÁREAS EXTERNAS</t>
  </si>
  <si>
    <t>pisos pavimentados adjacentes/contíguos às edificações</t>
  </si>
  <si>
    <t>varrição de passeios e arruamentos</t>
  </si>
  <si>
    <t>pátios e áreas verdes com alta frequência</t>
  </si>
  <si>
    <t>pátios e áreas verdes com média frequência</t>
  </si>
  <si>
    <t>pátios e áreas verdes com baixa frequência</t>
  </si>
  <si>
    <t>coleta de detritos em pátios e áreas verdes com frequência diária</t>
  </si>
  <si>
    <t>ESQUADRIAS EXTERNAS</t>
  </si>
  <si>
    <r>
      <rPr>
        <sz val="10"/>
        <rFont val="Arial"/>
        <family val="2"/>
      </rPr>
      <t xml:space="preserve">face externa </t>
    </r>
    <r>
      <rPr>
        <b/>
        <sz val="10"/>
        <rFont val="Arial"/>
        <family val="2"/>
      </rPr>
      <t>com</t>
    </r>
    <r>
      <rPr>
        <sz val="10"/>
        <rFont val="Arial"/>
        <family val="2"/>
      </rPr>
      <t xml:space="preserve"> exposição a situação de risco</t>
    </r>
  </si>
  <si>
    <r>
      <rPr>
        <sz val="10"/>
        <rFont val="Arial"/>
        <family val="2"/>
      </rPr>
      <t xml:space="preserve">face externa </t>
    </r>
    <r>
      <rPr>
        <b/>
        <sz val="10"/>
        <rFont val="Arial"/>
        <family val="2"/>
      </rPr>
      <t xml:space="preserve">sem </t>
    </r>
    <r>
      <rPr>
        <sz val="10"/>
        <rFont val="Arial"/>
        <family val="2"/>
      </rPr>
      <t>exposição a situação de risco</t>
    </r>
  </si>
  <si>
    <t>face interna</t>
  </si>
  <si>
    <t>FACHADAS ENVIDRAÇADAS</t>
  </si>
  <si>
    <t>fachadas envidraçadas</t>
  </si>
  <si>
    <t>ÁREAS HOSPITALARES E ASSEMELHADAS</t>
  </si>
  <si>
    <t>áreas hospitalares e assemelhadas</t>
  </si>
  <si>
    <t>TOTAL (TODAS AS ÁREAS NO MESMO PRÉDIO)</t>
  </si>
  <si>
    <t>Aproximadamente 
2,43 horas</t>
  </si>
  <si>
    <t>JORNADA DIÁRIA (HORAS)</t>
  </si>
  <si>
    <t>horas</t>
  </si>
  <si>
    <t>NÚMERO TOTAL DE SERVENTES EM JORNADA DE 8 HORAS</t>
  </si>
  <si>
    <t>Cálculo total do nº de serventes = (preço mensal dos serviços / valor do homem-mês) = R$ ----------- / ---------- = 10,36 = -------</t>
  </si>
  <si>
    <t>Notas Explicativas:</t>
  </si>
  <si>
    <t>1) coluna (5) - número de empregados necessários para a execução da tarefa: cada número inteiro significa um empregado. Quando há fração significa que além dos empregados que cumprem integralmente a jornada diária contratada, é necessário empregado com jornada diária menor.</t>
  </si>
  <si>
    <r>
      <rPr>
        <sz val="14"/>
        <rFont val="Arial"/>
        <family val="2"/>
      </rPr>
      <t xml:space="preserve">3) A produtividade da </t>
    </r>
    <r>
      <rPr>
        <b/>
        <sz val="14"/>
        <rFont val="Arial"/>
        <family val="2"/>
      </rPr>
      <t>esquadria externa</t>
    </r>
    <r>
      <rPr>
        <sz val="14"/>
        <rFont val="Arial"/>
        <family val="2"/>
      </rPr>
      <t xml:space="preserve"> deve ser calculada considerando a metodologia de trabalho que, no Anexo VII-D da IN 5/17 que prevê incidência </t>
    </r>
    <r>
      <rPr>
        <b/>
        <sz val="14"/>
        <rFont val="Arial"/>
        <family val="2"/>
      </rPr>
      <t>quinzenal</t>
    </r>
    <r>
      <rPr>
        <sz val="14"/>
        <rFont val="Arial"/>
        <family val="2"/>
      </rPr>
      <t xml:space="preserve"> para a limpeza desse tipo de área. </t>
    </r>
  </si>
  <si>
    <r>
      <rPr>
        <sz val="14"/>
        <rFont val="Arial"/>
        <family val="2"/>
      </rPr>
      <t xml:space="preserve">4) A produtividade da </t>
    </r>
    <r>
      <rPr>
        <b/>
        <sz val="14"/>
        <rFont val="Arial"/>
        <family val="2"/>
      </rPr>
      <t>fachada envidraçada</t>
    </r>
    <r>
      <rPr>
        <sz val="14"/>
        <rFont val="Arial"/>
        <family val="2"/>
      </rPr>
      <t xml:space="preserve"> deve ser calculada considerando a metodologia de trabalho que, no Anexo VII-D da IN 5/17 que prevê incidência </t>
    </r>
    <r>
      <rPr>
        <b/>
        <sz val="14"/>
        <rFont val="Arial"/>
        <family val="2"/>
      </rPr>
      <t>semestral</t>
    </r>
    <r>
      <rPr>
        <sz val="14"/>
        <rFont val="Arial"/>
        <family val="2"/>
      </rPr>
      <t xml:space="preserve"> para a limpeza desse tipo de área. </t>
    </r>
  </si>
  <si>
    <t>Observações:</t>
  </si>
  <si>
    <t>Deve ser preenchida uma planilha para cada local de prestação de serviços (ISSQN, VT, VA, Insalubridade/periculosidade e horários poderão ser diferenciados, além da quantidade de serventes)</t>
  </si>
  <si>
    <t>Preencher somente as células das seguintes colunas: C (produtividade) e D (área)</t>
  </si>
  <si>
    <t xml:space="preserve">Se as áreas se localizarem em prédios/locais diferentes, cada linha trará o seu próprio totalizador. </t>
  </si>
  <si>
    <t xml:space="preserve"> Em destaque  o número de empregados que a contratada deve disponibilizar para a prestação dos serviços tarefa a tarefa, em cada tipo de área, com suas respectivas jornadas diárias.</t>
  </si>
  <si>
    <t xml:space="preserve">Área Interna 1ª linha - Metodologia - Coluna 5 = (2.000 / 800) = 2,5 empregados                                               Coluna 8 = 0,5 x 8 horas x 60 minutos = 240 minutos </t>
  </si>
  <si>
    <t>Esquadrias Externas 1ª linha - Metodologia - Coluna 5 = (100/130)*(16/188,76) = 0,06520286 empregados             Coluna 8 = 0,06520286 x 8 horas x 60 minutos = 31,2973739547 minutos (deveria ser semestral e não quinzenal)</t>
  </si>
  <si>
    <t xml:space="preserve">Fachadas Envidraçadas - Metodologia - Coluna 5 = (70/130)*(8/1132,6) =  0,003803366      Coluna 8 = 0,003803366  x 8 horas x 60 minutos = 1,8256156699 minutos </t>
  </si>
  <si>
    <t>Cálculo total do nº de serventes = (preço mensal dos serviços / valor do homem-mês)</t>
  </si>
  <si>
    <t xml:space="preserve">Planilha desenvolvida por Diógenes Felipe Fuques Carvalho (DRF-Santa Maria/RS) e José Hélio Justo (Superintendência da RFB da 10ª RF / Porto Alegre) </t>
  </si>
  <si>
    <t>Serviço Público Federal</t>
  </si>
  <si>
    <t>Ministério da Educação</t>
  </si>
  <si>
    <t>Secretaria de Educação Profissional e Tecnológica</t>
  </si>
  <si>
    <t>Instituto Federal de Educação, Ciência e Tecnologia do Rio Grande do Sul</t>
  </si>
  <si>
    <t>Câmpus Sertão</t>
  </si>
  <si>
    <t>Diretoria de Administração e Planejamento - Coordenadoria de Compras e Licitações</t>
  </si>
  <si>
    <t>Levantamento do Custo referente INSUMOS DIVERSOS - MÓDULO 5 DA PLANILHA DE CUSTOS 90009/2024 (SERVIÇOS DE LIMPEZA)</t>
  </si>
  <si>
    <t>Item</t>
  </si>
  <si>
    <t>Materiais de Limpeza – SANEANTES DOMISSANITÁRIOS</t>
  </si>
  <si>
    <t>Unidade</t>
  </si>
  <si>
    <t>Quantidade Mensal</t>
  </si>
  <si>
    <t>Quantidade Anual</t>
  </si>
  <si>
    <t>VALOR UNITÁRIO</t>
  </si>
  <si>
    <t>VALOR TOTAL ANO</t>
  </si>
  <si>
    <t>Água sanitátria (2-2,5% de hipoclorito). Frasco de 1L.</t>
  </si>
  <si>
    <t>unidade</t>
  </si>
  <si>
    <t>Álcool, 70º GL. Embalagem de 1L.</t>
  </si>
  <si>
    <t>Álcool em gel. Embalagem de 500mL.</t>
  </si>
  <si>
    <t>Ácido muriático;Frasco 1L.</t>
  </si>
  <si>
    <t>Cera acrílica; alto brilho;não necessita enceradeira; antiderrapante;para pisos externos e internos;indicada para pisos cerâmicos e madeiras. Cores conforme a necessidade (vermelha/incolor).</t>
  </si>
  <si>
    <t>litro</t>
  </si>
  <si>
    <t>Desinfetante;Tampa com bico dosador; Frasco 500mL.Aroma (intenso) eucalipto.</t>
  </si>
  <si>
    <t>Detergente de uso geral; neutro; Tampa com bico dosador;Fasco 500mL.</t>
  </si>
  <si>
    <t>Desengraxante alcalino limpeza pesada; frasco 500 mL..</t>
  </si>
  <si>
    <t>Detergente multiuso; Tampa com bico dosador;Fasco 500mL. Aroma original.</t>
  </si>
  <si>
    <t>Detergente limpa pedras e pisos. Alto poder de remoção de sujidades. Bombona 5L</t>
  </si>
  <si>
    <t>bombona</t>
  </si>
  <si>
    <t>Hipoclorito de sódio (5% de cloro ativo); bombona 5L.</t>
  </si>
  <si>
    <t>Limpa vidros.Tampa com bico dosador;Fasco 500mL.</t>
  </si>
  <si>
    <t>Removedor de ceras e impermeabilizantes, galão de 5 litros</t>
  </si>
  <si>
    <t>Saponáceo cremoso;Tampa com bico dosador;Fasco 250mL. Aroma limão.</t>
  </si>
  <si>
    <t>Sabão em pó multi-ação - 1kg</t>
  </si>
  <si>
    <t>Saponáceo pó;Frasco 300g. Aroma limão.</t>
  </si>
  <si>
    <t>CUSTO ANUAL DOS MATERIAIS SANEANTES DOMINISSANITÁRIOS</t>
  </si>
  <si>
    <t>CUSTO MENSAL DOS MATERIAIS SANEANTES DOMINISSANITÁRIOS</t>
  </si>
  <si>
    <t>UTENSÍLIOS</t>
  </si>
  <si>
    <t>Quantidade a disponibilizar</t>
  </si>
  <si>
    <t>Vida Útil (em meses)</t>
  </si>
  <si>
    <t>Balde plástico, 20 litros;Reforçado.</t>
  </si>
  <si>
    <t>Balde plástico, 10 litros;Reforçado.</t>
  </si>
  <si>
    <t>Gatilho borrifador;adaptável em garrafa PET.</t>
  </si>
  <si>
    <t>Escova lavatina de nylon ; Formato bola sem suporte.</t>
  </si>
  <si>
    <t>Esfregão MOP Vassoura tira pó a seco, rodo mágico com cabo retrátil</t>
  </si>
  <si>
    <t>Suporte para MOP pó; largura 60cm; completo com rosca e cabo</t>
  </si>
  <si>
    <t>Suporte para fibra de limpeza(esponja abrasiva); roscável;sem cabo;tamanho mínimo : 9x22cm</t>
  </si>
  <si>
    <t>Esponja dupla face; Tamanho: 10x7,1x2,1cm.</t>
  </si>
  <si>
    <t>Esponja abrasiva, verde; Tamanho : 26x10x1cm</t>
  </si>
  <si>
    <t>Engate rápido para lava jato+ mangueira 1/2"</t>
  </si>
  <si>
    <t>Esguicho com engate rosqueado; para mangueira de jardim 1/2";reforçado</t>
  </si>
  <si>
    <t>Pano multiuso; flanelinha(50% celulose+50% poliester) tamanho mínimo : 30x50cm. Pacote com 5 unidades. Descartável.</t>
  </si>
  <si>
    <t>pacote</t>
  </si>
  <si>
    <t>Pano para chão; em algodão; grosso; alvejado; Tamanho mínimo 60x80cm;</t>
  </si>
  <si>
    <t>Cabo de vassoura; comprimento : 1,5m; rosca plástica.</t>
  </si>
  <si>
    <t>Rodo tipo bola; largura:30cm;roscável; sem cabo.</t>
  </si>
  <si>
    <t>Refil mop pó; 60 cm; Material algodão.</t>
  </si>
  <si>
    <t>Rodo base dupla; largura 40 cm; roscável;reforçado;sem cabo.</t>
  </si>
  <si>
    <t>Rodo base dupla; largura 60 cm; roscável;reforçado;sem cabo.</t>
  </si>
  <si>
    <t>Rodo espuma passa cera; Espessura mínima da espuma 4 cm; roscável</t>
  </si>
  <si>
    <t>Saco para lixo : capacidade: 100L; resistente. Cor : preto</t>
  </si>
  <si>
    <t>Saco para lixo : capacidade: 50L; resistente. Cor : preto</t>
  </si>
  <si>
    <t>Saco para lixo : capacidade: 30L; resistente. Cor : preto</t>
  </si>
  <si>
    <t>Saco para aspirador de pó, embalagem com 3 unidades</t>
  </si>
  <si>
    <t>Vassoura cerdas médias; De 1º qualidade.</t>
  </si>
  <si>
    <t>Placa sinalizadora "piso molhado"; tipo cavalete</t>
  </si>
  <si>
    <t>Placa sinalizadora "limpeza em andamento"; tipo cavalete</t>
  </si>
  <si>
    <t>CUSTOS ANUAL DOS UTENSÍLIOS</t>
  </si>
  <si>
    <t>CUSTO MENSAL DOS UTENSÍLIOS</t>
  </si>
  <si>
    <t>EQUIPAMENTOS</t>
  </si>
  <si>
    <t>Depreciação (em meses)</t>
  </si>
  <si>
    <t>Aspirador de pó / água</t>
  </si>
  <si>
    <t>Pulverizador costal ;10L; completo.</t>
  </si>
  <si>
    <t>Kit Carrinho MOP, balde espremedor Am 30 litros, placa</t>
  </si>
  <si>
    <t>Escada 7 degraus; em alumínio; com apoio;degrau largo para acomodação dos pés; abre e fecha; degraus antiderrapante; sapata antiderrapante</t>
  </si>
  <si>
    <t>Lavadora de alta pressão profissional; com carrinho de transporte; 220V;pressão de trabalho mínima: 320 PSI; motor de potência mínima; 1 HP de alta rotação; bomba de pistão; mangueira de no mínimo 10 metros inclusa; Equipamento completo para uso.</t>
  </si>
  <si>
    <t>Lavadora de alta pressão profissional; 220V;pressão máxima:2300PSI;potência mínima:2200W;vazão mínima: 400L/H;mangueira emborrachada; Com acessórios; Equipamento completo para uso.</t>
  </si>
  <si>
    <t>CUSTO ANUAL DOS EQUIPAMENTOS</t>
  </si>
  <si>
    <t>CUSTO MENSAL DOS EQUIPAMENTOS</t>
  </si>
  <si>
    <r>
      <t xml:space="preserve">UNIFORMES/EPIs </t>
    </r>
    <r>
      <rPr>
        <b/>
        <sz val="14"/>
        <rFont val="Calibri"/>
        <family val="2"/>
      </rPr>
      <t>(SERVENTE)</t>
    </r>
  </si>
  <si>
    <t>VALOR TOTAL ANO POR COLABORADOR</t>
  </si>
  <si>
    <t>Avental de PVC; branco</t>
  </si>
  <si>
    <t>Blusão de lâ</t>
  </si>
  <si>
    <t>Bota de borracha cano médio</t>
  </si>
  <si>
    <t>par</t>
  </si>
  <si>
    <t>Botina segurança ; numeração conforme a necessidade;produto de qualidade.</t>
  </si>
  <si>
    <t>Capa de chuva PVC grossa; tamanho conforme a necessidade</t>
  </si>
  <si>
    <t>Camiseta gola redonda</t>
  </si>
  <si>
    <t>Conjunto de calça e jaleco em microfibra gabardine</t>
  </si>
  <si>
    <t>conjunto</t>
  </si>
  <si>
    <t>Jaqueta/Japona de Nylon</t>
  </si>
  <si>
    <t>Luva nitrílica/latéx; com forro; comprimento mínimo :30 cm; reforçada; MARCA REFERÊNCIA: VOLK (ÓDIGO 10.65.018.03 E CÓDIGO 10.85.018.30)</t>
  </si>
  <si>
    <t>Máscara com respirador descartável;com válvula.</t>
  </si>
  <si>
    <t>Máscara; 1/4 facial; com filtro; proteção contra gases e vapores; completa</t>
  </si>
  <si>
    <t>Meias de algodão (pacote com 3 unidades)</t>
  </si>
  <si>
    <t>Óculos de proteção; lente cristal antiembaçante.</t>
  </si>
  <si>
    <t>Protetor facial; com viseira cristal e reguragem para o crânio. Para partículas líquidas</t>
  </si>
  <si>
    <t>CUSTO ANUAL DO UNIFORMES/EPIs (SERVENTE)</t>
  </si>
  <si>
    <t>CUSTO MENSAL DO UNIFORME/EPIs (SERVENTE)</t>
  </si>
  <si>
    <t>QUADRO RESUMO</t>
  </si>
  <si>
    <t>CUSTO ANUAL</t>
  </si>
  <si>
    <t>CUSTO MENSAL</t>
  </si>
  <si>
    <t>Custo Mensal por SERVENTE</t>
  </si>
  <si>
    <t xml:space="preserve">Materiais de Limpeza – SANEANTES DOMISSANITÁRIOS </t>
  </si>
  <si>
    <t>Materiais de Limpeza – UTENSÍLIOS</t>
  </si>
  <si>
    <t>MATERIAIS</t>
  </si>
  <si>
    <t>UNIFORMES</t>
  </si>
  <si>
    <t>TOTAIS</t>
  </si>
  <si>
    <t>Quantidade da mão de obra alocada na prestação dos serviços (informação oriunda da aba 'cálculo de serventes')</t>
  </si>
  <si>
    <t>UNIFORMES/EPIs (ENCARREGADO)</t>
  </si>
  <si>
    <t>CUSTO ANUAL DO UNIFORMES/EPIs (ENCARREGADO)</t>
  </si>
  <si>
    <t>CUSTO MENSAL DO UNIFORME/EPIs (ENCARREGADO)</t>
  </si>
  <si>
    <t>Nº Item</t>
  </si>
  <si>
    <t>Descrição Detalhada (RELÓGIO PONTO)</t>
  </si>
  <si>
    <t>UND</t>
  </si>
  <si>
    <t>QDT</t>
  </si>
  <si>
    <t>Média de Valores (A)</t>
  </si>
  <si>
    <t>Vida Útil/Anos (B)</t>
  </si>
  <si>
    <t>Valor Residual (C)</t>
  </si>
  <si>
    <t>Valor Residual/Vida  Útil (D)</t>
  </si>
  <si>
    <t>Valor Final (E)</t>
  </si>
  <si>
    <t>(A-10%)</t>
  </si>
  <si>
    <t>(C/B)</t>
  </si>
  <si>
    <t>(D/12)</t>
  </si>
  <si>
    <t>PONTO ELETRÔNICO CFE PORTARIA 1510/2009</t>
  </si>
  <si>
    <t>UN</t>
  </si>
</sst>
</file>

<file path=xl/styles.xml><?xml version="1.0" encoding="utf-8"?>
<styleSheet xmlns="http://schemas.openxmlformats.org/spreadsheetml/2006/main">
  <numFmts count="26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(* #,##0.00_);_(* \(#,##0.00\);_(* \-??_);_(@_)"/>
    <numFmt numFmtId="177" formatCode="_(&quot;R$ &quot;* #,##0.00_);_(&quot;R$ &quot;* \(#,##0.00\);_(&quot;R$ &quot;* \-??_);_(@_)"/>
    <numFmt numFmtId="178" formatCode="_-* #,##0_-;\-* #,##0_-;_-* &quot;-&quot;_-;_-@_-"/>
    <numFmt numFmtId="179" formatCode="_-&quot;R$&quot;\ * #,##0_-;\-&quot;R$&quot;\ * #,##0_-;_-&quot;R$&quot;\ * &quot;-&quot;_-;_-@_-"/>
    <numFmt numFmtId="180" formatCode="&quot;R$&quot;\ #,##0.00_);[Red]\(&quot;R$&quot;\ #,###.00\)"/>
    <numFmt numFmtId="181" formatCode="&quot;R$&quot;\ #,##0.00"/>
    <numFmt numFmtId="182" formatCode="0.0"/>
    <numFmt numFmtId="183" formatCode="&quot;R$ &quot;#,##0.00"/>
    <numFmt numFmtId="184" formatCode="0;[Red]\-0"/>
    <numFmt numFmtId="185" formatCode="0.000%"/>
    <numFmt numFmtId="186" formatCode="0.0000"/>
    <numFmt numFmtId="187" formatCode="0.0000%"/>
    <numFmt numFmtId="188" formatCode="#,##0.0000000"/>
    <numFmt numFmtId="189" formatCode="#,##0.00;\-#,##0.00"/>
  </numFmts>
  <fonts count="94">
    <font>
      <sz val="10"/>
      <name val="Arial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15"/>
      <color indexed="18"/>
      <name val="Arial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8"/>
      <name val="Arial"/>
      <family val="2"/>
    </font>
    <font>
      <b/>
      <sz val="14"/>
      <name val="Calibri"/>
      <family val="2"/>
    </font>
    <font>
      <b/>
      <sz val="10"/>
      <color indexed="8"/>
      <name val="Calibri"/>
      <family val="2"/>
    </font>
    <font>
      <b/>
      <sz val="14"/>
      <color indexed="18"/>
      <name val="Arial"/>
      <family val="2"/>
    </font>
    <font>
      <b/>
      <sz val="15"/>
      <color indexed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5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sz val="8"/>
      <color indexed="19"/>
      <name val="Arial"/>
      <family val="2"/>
    </font>
    <font>
      <b/>
      <strike/>
      <sz val="8"/>
      <color indexed="10"/>
      <name val="Arial"/>
      <family val="2"/>
    </font>
    <font>
      <b/>
      <strike/>
      <sz val="8"/>
      <color indexed="19"/>
      <name val="Arial"/>
      <family val="2"/>
    </font>
    <font>
      <b/>
      <sz val="8"/>
      <color indexed="19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sz val="8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19"/>
      <name val="Arial"/>
      <family val="2"/>
    </font>
    <font>
      <b/>
      <strike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trike/>
      <sz val="10"/>
      <color indexed="19"/>
      <name val="Arial"/>
      <family val="2"/>
    </font>
    <font>
      <b/>
      <sz val="9"/>
      <color indexed="10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1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trike/>
      <sz val="8"/>
      <color indexed="38"/>
      <name val="Arial"/>
      <family val="2"/>
    </font>
    <font>
      <b/>
      <sz val="8"/>
      <color indexed="39"/>
      <name val="Arial"/>
      <family val="2"/>
    </font>
    <font>
      <b/>
      <sz val="10"/>
      <color indexed="62"/>
      <name val="Arial"/>
      <family val="2"/>
    </font>
    <font>
      <b/>
      <sz val="9"/>
      <color indexed="12"/>
      <name val="Arial"/>
      <family val="2"/>
    </font>
    <font>
      <b/>
      <sz val="10"/>
      <color indexed="3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0"/>
      <color rgb="FFFF0000"/>
      <name val="Calibri"/>
      <family val="2"/>
    </font>
    <font>
      <b/>
      <sz val="10"/>
      <color rgb="FFC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47FF"/>
      <name val="Arial"/>
      <family val="2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  <font>
      <b/>
      <sz val="16"/>
      <color rgb="FFC00000"/>
      <name val="Arial"/>
      <family val="2"/>
    </font>
    <font>
      <b/>
      <sz val="10"/>
      <color rgb="FF7030A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rgb="FF000000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177" fontId="0" fillId="0" borderId="0" applyFill="0" applyBorder="0" applyAlignment="0" applyProtection="0"/>
    <xf numFmtId="9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2" borderId="1" applyNumberFormat="0" applyAlignment="0" applyProtection="0"/>
    <xf numFmtId="0" fontId="5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3" borderId="5" applyNumberFormat="0" applyAlignment="0" applyProtection="0"/>
    <xf numFmtId="0" fontId="61" fillId="4" borderId="6" applyNumberFormat="0" applyAlignment="0" applyProtection="0"/>
    <xf numFmtId="0" fontId="62" fillId="4" borderId="5" applyNumberFormat="0" applyAlignment="0" applyProtection="0"/>
    <xf numFmtId="0" fontId="63" fillId="5" borderId="7" applyNumberFormat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6" borderId="0" applyNumberFormat="0" applyBorder="0" applyAlignment="0" applyProtection="0"/>
    <xf numFmtId="0" fontId="67" fillId="7" borderId="0" applyNumberFormat="0" applyBorder="0" applyAlignment="0" applyProtection="0"/>
    <xf numFmtId="0" fontId="84" fillId="8" borderId="0" applyNumberFormat="0" applyBorder="0" applyAlignment="0" applyProtection="0"/>
    <xf numFmtId="0" fontId="69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7" borderId="0" applyNumberFormat="0" applyBorder="0" applyAlignment="0" applyProtection="0"/>
    <xf numFmtId="0" fontId="70" fillId="14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70" fillId="6" borderId="0" applyNumberFormat="0" applyBorder="0" applyAlignment="0" applyProtection="0"/>
    <xf numFmtId="0" fontId="70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8" borderId="0" applyNumberFormat="0" applyBorder="0" applyAlignment="0" applyProtection="0"/>
    <xf numFmtId="0" fontId="69" fillId="17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1" borderId="0" applyNumberFormat="0" applyBorder="0" applyAlignment="0" applyProtection="0"/>
    <xf numFmtId="0" fontId="69" fillId="19" borderId="0" applyNumberFormat="0" applyBorder="0" applyAlignment="0" applyProtection="0"/>
    <xf numFmtId="0" fontId="69" fillId="21" borderId="0" applyNumberFormat="0" applyBorder="0" applyAlignment="0" applyProtection="0"/>
    <xf numFmtId="0" fontId="70" fillId="3" borderId="0" applyNumberFormat="0" applyBorder="0" applyAlignment="0" applyProtection="0"/>
    <xf numFmtId="0" fontId="70" fillId="22" borderId="0" applyNumberFormat="0" applyBorder="0" applyAlignment="0" applyProtection="0"/>
    <xf numFmtId="0" fontId="69" fillId="23" borderId="0" applyNumberFormat="0" applyBorder="0" applyAlignment="0" applyProtection="0"/>
    <xf numFmtId="0" fontId="68" fillId="24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wrapText="1"/>
    </xf>
    <xf numFmtId="180" fontId="1" fillId="26" borderId="11" xfId="0" applyNumberFormat="1" applyFont="1" applyFill="1" applyBorder="1" applyAlignment="1">
      <alignment horizontal="center" vertical="center" wrapText="1"/>
    </xf>
    <xf numFmtId="181" fontId="1" fillId="26" borderId="10" xfId="0" applyNumberFormat="1" applyFont="1" applyFill="1" applyBorder="1" applyAlignment="1">
      <alignment horizontal="center" vertical="center" wrapText="1"/>
    </xf>
    <xf numFmtId="181" fontId="1" fillId="26" borderId="0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right" vertical="top" wrapText="1"/>
    </xf>
    <xf numFmtId="180" fontId="85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 wrapText="1"/>
    </xf>
    <xf numFmtId="181" fontId="1" fillId="0" borderId="0" xfId="0" applyNumberFormat="1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left" wrapText="1"/>
    </xf>
    <xf numFmtId="181" fontId="3" fillId="0" borderId="10" xfId="0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 horizontal="left" vertical="center" wrapText="1"/>
    </xf>
    <xf numFmtId="0" fontId="85" fillId="0" borderId="10" xfId="0" applyFont="1" applyFill="1" applyBorder="1" applyAlignment="1">
      <alignment horizontal="center" vertical="center"/>
    </xf>
    <xf numFmtId="0" fontId="85" fillId="0" borderId="10" xfId="0" applyFont="1" applyFill="1" applyBorder="1" applyAlignment="1">
      <alignment horizontal="right"/>
    </xf>
    <xf numFmtId="180" fontId="85" fillId="0" borderId="10" xfId="0" applyNumberFormat="1" applyFont="1" applyFill="1" applyBorder="1" applyAlignment="1">
      <alignment horizontal="right"/>
    </xf>
    <xf numFmtId="181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82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right" vertical="center" wrapText="1"/>
    </xf>
    <xf numFmtId="0" fontId="86" fillId="0" borderId="10" xfId="0" applyFont="1" applyFill="1" applyBorder="1" applyAlignment="1">
      <alignment horizontal="right" vertical="top" wrapText="1"/>
    </xf>
    <xf numFmtId="180" fontId="86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right" vertical="top" wrapText="1"/>
    </xf>
    <xf numFmtId="0" fontId="1" fillId="0" borderId="14" xfId="0" applyFont="1" applyFill="1" applyBorder="1" applyAlignment="1">
      <alignment horizontal="right" vertical="top" wrapText="1"/>
    </xf>
    <xf numFmtId="181" fontId="3" fillId="26" borderId="10" xfId="0" applyNumberFormat="1" applyFont="1" applyFill="1" applyBorder="1" applyAlignment="1">
      <alignment horizontal="center" vertical="center" wrapText="1"/>
    </xf>
    <xf numFmtId="0" fontId="86" fillId="0" borderId="11" xfId="0" applyFont="1" applyFill="1" applyBorder="1" applyAlignment="1">
      <alignment horizontal="right" vertical="center" wrapText="1"/>
    </xf>
    <xf numFmtId="0" fontId="86" fillId="0" borderId="13" xfId="0" applyFont="1" applyFill="1" applyBorder="1" applyAlignment="1">
      <alignment horizontal="right" vertical="top" wrapText="1"/>
    </xf>
    <xf numFmtId="0" fontId="86" fillId="0" borderId="15" xfId="0" applyFont="1" applyFill="1" applyBorder="1" applyAlignment="1">
      <alignment horizontal="right" vertical="top" wrapText="1"/>
    </xf>
    <xf numFmtId="181" fontId="86" fillId="0" borderId="10" xfId="0" applyNumberFormat="1" applyFont="1" applyFill="1" applyBorder="1" applyAlignment="1">
      <alignment horizontal="center"/>
    </xf>
    <xf numFmtId="181" fontId="87" fillId="26" borderId="0" xfId="0" applyNumberFormat="1" applyFont="1" applyFill="1" applyBorder="1" applyAlignment="1">
      <alignment horizontal="center" vertical="center" wrapText="1"/>
    </xf>
    <xf numFmtId="181" fontId="86" fillId="0" borderId="10" xfId="0" applyNumberFormat="1" applyFont="1" applyFill="1" applyBorder="1" applyAlignment="1">
      <alignment horizontal="right" vertical="center"/>
    </xf>
    <xf numFmtId="181" fontId="86" fillId="0" borderId="1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Border="1" applyAlignment="1">
      <alignment horizontal="center" vertical="center"/>
    </xf>
    <xf numFmtId="0" fontId="11" fillId="27" borderId="16" xfId="0" applyFont="1" applyFill="1" applyBorder="1" applyAlignment="1">
      <alignment horizontal="center" vertical="center"/>
    </xf>
    <xf numFmtId="0" fontId="11" fillId="27" borderId="16" xfId="0" applyFont="1" applyFill="1" applyBorder="1" applyAlignment="1">
      <alignment horizontal="center" vertical="center" wrapText="1"/>
    </xf>
    <xf numFmtId="4" fontId="0" fillId="0" borderId="16" xfId="0" applyNumberFormat="1" applyBorder="1" applyAlignment="1">
      <alignment vertical="center"/>
    </xf>
    <xf numFmtId="4" fontId="0" fillId="0" borderId="16" xfId="0" applyNumberFormat="1" applyBorder="1" applyAlignment="1">
      <alignment horizontal="right" vertical="center"/>
    </xf>
    <xf numFmtId="176" fontId="0" fillId="0" borderId="16" xfId="15" applyFont="1" applyFill="1" applyBorder="1" applyAlignment="1" applyProtection="1">
      <alignment horizontal="center" vertical="center"/>
      <protection/>
    </xf>
    <xf numFmtId="4" fontId="13" fillId="27" borderId="16" xfId="0" applyNumberFormat="1" applyFont="1" applyFill="1" applyBorder="1" applyAlignment="1">
      <alignment vertical="center"/>
    </xf>
    <xf numFmtId="4" fontId="13" fillId="27" borderId="16" xfId="0" applyNumberFormat="1" applyFont="1" applyFill="1" applyBorder="1" applyAlignment="1">
      <alignment horizontal="right" vertical="center"/>
    </xf>
    <xf numFmtId="176" fontId="13" fillId="27" borderId="16" xfId="15" applyFont="1" applyFill="1" applyBorder="1" applyAlignment="1" applyProtection="1">
      <alignment horizontal="center" vertical="center"/>
      <protection/>
    </xf>
    <xf numFmtId="4" fontId="0" fillId="0" borderId="16" xfId="0" applyNumberFormat="1" applyBorder="1" applyAlignment="1">
      <alignment horizontal="center" vertical="center"/>
    </xf>
    <xf numFmtId="4" fontId="13" fillId="0" borderId="16" xfId="0" applyNumberFormat="1" applyFont="1" applyBorder="1" applyAlignment="1">
      <alignment horizontal="center" vertical="center"/>
    </xf>
    <xf numFmtId="4" fontId="6" fillId="27" borderId="16" xfId="0" applyNumberFormat="1" applyFont="1" applyFill="1" applyBorder="1" applyAlignment="1">
      <alignment horizontal="right" vertical="center"/>
    </xf>
    <xf numFmtId="176" fontId="14" fillId="27" borderId="16" xfId="15" applyFont="1" applyFill="1" applyBorder="1" applyAlignment="1" applyProtection="1">
      <alignment horizontal="center" vertical="center"/>
      <protection/>
    </xf>
    <xf numFmtId="4" fontId="13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176" fontId="0" fillId="0" borderId="0" xfId="15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15" fillId="27" borderId="16" xfId="0" applyFont="1" applyFill="1" applyBorder="1" applyAlignment="1">
      <alignment horizontal="center" vertical="center" wrapText="1"/>
    </xf>
    <xf numFmtId="0" fontId="16" fillId="25" borderId="10" xfId="0" applyFont="1" applyFill="1" applyBorder="1" applyAlignment="1">
      <alignment horizontal="center" vertical="center" wrapText="1"/>
    </xf>
    <xf numFmtId="0" fontId="88" fillId="28" borderId="17" xfId="0" applyFont="1" applyFill="1" applyBorder="1" applyAlignment="1">
      <alignment horizontal="center" vertical="center" wrapText="1"/>
    </xf>
    <xf numFmtId="0" fontId="88" fillId="28" borderId="18" xfId="0" applyFont="1" applyFill="1" applyBorder="1" applyAlignment="1">
      <alignment horizontal="center" vertical="center" wrapText="1"/>
    </xf>
    <xf numFmtId="0" fontId="88" fillId="28" borderId="19" xfId="0" applyFont="1" applyFill="1" applyBorder="1" applyAlignment="1">
      <alignment horizontal="center" vertical="center" wrapText="1"/>
    </xf>
    <xf numFmtId="0" fontId="88" fillId="28" borderId="20" xfId="0" applyFont="1" applyFill="1" applyBorder="1" applyAlignment="1">
      <alignment horizontal="center" vertical="center" wrapText="1"/>
    </xf>
    <xf numFmtId="0" fontId="88" fillId="28" borderId="21" xfId="0" applyFont="1" applyFill="1" applyBorder="1" applyAlignment="1">
      <alignment horizontal="center" vertical="center" wrapText="1"/>
    </xf>
    <xf numFmtId="0" fontId="88" fillId="28" borderId="22" xfId="0" applyFont="1" applyFill="1" applyBorder="1" applyAlignment="1">
      <alignment horizontal="center" vertical="center" wrapText="1"/>
    </xf>
    <xf numFmtId="0" fontId="88" fillId="28" borderId="23" xfId="0" applyFont="1" applyFill="1" applyBorder="1" applyAlignment="1">
      <alignment horizontal="center" vertical="center" wrapText="1"/>
    </xf>
    <xf numFmtId="0" fontId="88" fillId="28" borderId="24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 wrapText="1"/>
    </xf>
    <xf numFmtId="0" fontId="87" fillId="26" borderId="24" xfId="0" applyFont="1" applyFill="1" applyBorder="1" applyAlignment="1">
      <alignment horizontal="left" vertical="center" wrapText="1"/>
    </xf>
    <xf numFmtId="0" fontId="87" fillId="26" borderId="24" xfId="0" applyFont="1" applyFill="1" applyBorder="1" applyAlignment="1">
      <alignment horizontal="center" vertical="center" wrapText="1"/>
    </xf>
    <xf numFmtId="0" fontId="88" fillId="26" borderId="24" xfId="0" applyFont="1" applyFill="1" applyBorder="1" applyAlignment="1">
      <alignment horizontal="center" vertical="center" wrapText="1"/>
    </xf>
    <xf numFmtId="181" fontId="88" fillId="26" borderId="24" xfId="0" applyNumberFormat="1" applyFont="1" applyFill="1" applyBorder="1" applyAlignment="1">
      <alignment horizontal="center" vertical="center" wrapText="1"/>
    </xf>
    <xf numFmtId="0" fontId="87" fillId="26" borderId="24" xfId="0" applyNumberFormat="1" applyFont="1" applyFill="1" applyBorder="1" applyAlignment="1">
      <alignment horizontal="center" vertical="center" wrapText="1"/>
    </xf>
    <xf numFmtId="181" fontId="87" fillId="26" borderId="24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27" borderId="16" xfId="0" applyFont="1" applyFill="1" applyBorder="1" applyAlignment="1">
      <alignment vertical="center"/>
    </xf>
    <xf numFmtId="0" fontId="87" fillId="28" borderId="20" xfId="0" applyFont="1" applyFill="1" applyBorder="1" applyAlignment="1">
      <alignment horizontal="center" vertical="center" wrapText="1"/>
    </xf>
    <xf numFmtId="0" fontId="87" fillId="28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3" fontId="21" fillId="0" borderId="25" xfId="0" applyNumberFormat="1" applyFont="1" applyBorder="1" applyAlignment="1">
      <alignment vertical="center"/>
    </xf>
    <xf numFmtId="4" fontId="22" fillId="0" borderId="25" xfId="0" applyNumberFormat="1" applyFont="1" applyBorder="1" applyAlignment="1">
      <alignment vertical="center"/>
    </xf>
    <xf numFmtId="0" fontId="23" fillId="0" borderId="25" xfId="0" applyFont="1" applyBorder="1" applyAlignment="1">
      <alignment horizontal="center" vertical="center"/>
    </xf>
    <xf numFmtId="3" fontId="21" fillId="0" borderId="25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21" fillId="0" borderId="25" xfId="0" applyFont="1" applyBorder="1" applyAlignment="1">
      <alignment vertical="center"/>
    </xf>
    <xf numFmtId="0" fontId="21" fillId="0" borderId="2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" fontId="22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0" fillId="0" borderId="25" xfId="0" applyFont="1" applyBorder="1" applyAlignment="1">
      <alignment horizontal="left" vertical="center" wrapText="1"/>
    </xf>
    <xf numFmtId="0" fontId="25" fillId="0" borderId="25" xfId="0" applyFont="1" applyBorder="1" applyAlignment="1">
      <alignment horizontal="center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29" borderId="16" xfId="0" applyFont="1" applyFill="1" applyBorder="1" applyAlignment="1">
      <alignment horizontal="right" vertical="center"/>
    </xf>
    <xf numFmtId="0" fontId="26" fillId="29" borderId="16" xfId="0" applyFont="1" applyFill="1" applyBorder="1" applyAlignment="1">
      <alignment horizontal="center" vertical="center"/>
    </xf>
    <xf numFmtId="0" fontId="23" fillId="29" borderId="16" xfId="0" applyFont="1" applyFill="1" applyBorder="1" applyAlignment="1">
      <alignment horizontal="left" vertical="center"/>
    </xf>
    <xf numFmtId="0" fontId="23" fillId="30" borderId="16" xfId="0" applyFont="1" applyFill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  <xf numFmtId="0" fontId="27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24" borderId="0" xfId="0" applyFont="1" applyFill="1" applyAlignment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24" borderId="25" xfId="0" applyFont="1" applyFill="1" applyBorder="1" applyAlignment="1">
      <alignment horizontal="center" vertical="center" wrapText="1"/>
    </xf>
    <xf numFmtId="0" fontId="26" fillId="30" borderId="16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9" fillId="0" borderId="26" xfId="0" applyFont="1" applyBorder="1" applyAlignment="1">
      <alignment horizontal="justify" vertical="top"/>
    </xf>
    <xf numFmtId="0" fontId="9" fillId="0" borderId="0" xfId="0" applyFont="1" applyAlignment="1">
      <alignment/>
    </xf>
    <xf numFmtId="0" fontId="9" fillId="31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left" vertical="center" wrapText="1"/>
    </xf>
    <xf numFmtId="0" fontId="31" fillId="0" borderId="27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horizontal="center" vertical="center" wrapText="1"/>
    </xf>
    <xf numFmtId="58" fontId="31" fillId="0" borderId="25" xfId="0" applyNumberFormat="1" applyFont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24" borderId="28" xfId="0" applyFont="1" applyFill="1" applyBorder="1" applyAlignment="1">
      <alignment horizontal="center" vertical="center" wrapText="1"/>
    </xf>
    <xf numFmtId="0" fontId="29" fillId="24" borderId="25" xfId="0" applyFont="1" applyFill="1" applyBorder="1" applyAlignment="1">
      <alignment horizontal="center" vertical="center" wrapText="1"/>
    </xf>
    <xf numFmtId="0" fontId="29" fillId="24" borderId="25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2" fontId="29" fillId="0" borderId="25" xfId="0" applyNumberFormat="1" applyFont="1" applyBorder="1" applyAlignment="1">
      <alignment horizontal="right" vertical="center" wrapText="1"/>
    </xf>
    <xf numFmtId="0" fontId="89" fillId="0" borderId="2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1" fillId="24" borderId="25" xfId="0" applyFont="1" applyFill="1" applyBorder="1" applyAlignment="1">
      <alignment horizontal="right" vertical="center" wrapText="1"/>
    </xf>
    <xf numFmtId="4" fontId="31" fillId="24" borderId="25" xfId="0" applyNumberFormat="1" applyFont="1" applyFill="1" applyBorder="1" applyAlignment="1">
      <alignment horizontal="right" vertical="center" wrapText="1"/>
    </xf>
    <xf numFmtId="0" fontId="29" fillId="29" borderId="25" xfId="0" applyFont="1" applyFill="1" applyBorder="1" applyAlignment="1">
      <alignment horizontal="center" vertical="center" wrapText="1"/>
    </xf>
    <xf numFmtId="4" fontId="29" fillId="0" borderId="25" xfId="0" applyNumberFormat="1" applyFont="1" applyBorder="1" applyAlignment="1">
      <alignment horizontal="right" vertical="center" wrapText="1"/>
    </xf>
    <xf numFmtId="0" fontId="31" fillId="24" borderId="25" xfId="0" applyFont="1" applyFill="1" applyBorder="1" applyAlignment="1">
      <alignment horizontal="right" vertical="center"/>
    </xf>
    <xf numFmtId="0" fontId="9" fillId="29" borderId="25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right" vertical="center" wrapText="1"/>
    </xf>
    <xf numFmtId="4" fontId="31" fillId="0" borderId="25" xfId="15" applyNumberFormat="1" applyFont="1" applyFill="1" applyBorder="1" applyAlignment="1" applyProtection="1">
      <alignment horizontal="right" vertical="center"/>
      <protection/>
    </xf>
    <xf numFmtId="0" fontId="29" fillId="29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left" vertical="center" wrapText="1"/>
    </xf>
    <xf numFmtId="183" fontId="31" fillId="0" borderId="25" xfId="0" applyNumberFormat="1" applyFont="1" applyFill="1" applyBorder="1" applyAlignment="1">
      <alignment horizontal="right" vertical="center"/>
    </xf>
    <xf numFmtId="184" fontId="29" fillId="0" borderId="25" xfId="0" applyNumberFormat="1" applyFont="1" applyFill="1" applyBorder="1" applyAlignment="1">
      <alignment horizontal="right" vertical="center"/>
    </xf>
    <xf numFmtId="58" fontId="31" fillId="0" borderId="25" xfId="0" applyNumberFormat="1" applyFont="1" applyFill="1" applyBorder="1" applyAlignment="1">
      <alignment horizontal="right" vertical="center" wrapText="1"/>
    </xf>
    <xf numFmtId="0" fontId="9" fillId="29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29" fillId="29" borderId="25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vertical="center" wrapText="1"/>
    </xf>
    <xf numFmtId="0" fontId="29" fillId="24" borderId="27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justify" vertical="center" wrapText="1"/>
    </xf>
    <xf numFmtId="10" fontId="29" fillId="0" borderId="25" xfId="0" applyNumberFormat="1" applyFont="1" applyFill="1" applyBorder="1" applyAlignment="1">
      <alignment vertical="center"/>
    </xf>
    <xf numFmtId="0" fontId="29" fillId="24" borderId="25" xfId="0" applyFont="1" applyFill="1" applyBorder="1" applyAlignment="1">
      <alignment horizontal="right" vertical="center" wrapText="1"/>
    </xf>
    <xf numFmtId="0" fontId="29" fillId="29" borderId="25" xfId="0" applyFont="1" applyFill="1" applyBorder="1" applyAlignment="1">
      <alignment horizontal="right" vertical="center" wrapText="1"/>
    </xf>
    <xf numFmtId="0" fontId="9" fillId="31" borderId="25" xfId="0" applyFont="1" applyFill="1" applyBorder="1" applyAlignment="1">
      <alignment horizontal="justify" vertical="center" wrapText="1"/>
    </xf>
    <xf numFmtId="0" fontId="33" fillId="29" borderId="25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/>
    </xf>
    <xf numFmtId="0" fontId="29" fillId="24" borderId="25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justify" vertical="center" wrapText="1"/>
    </xf>
    <xf numFmtId="10" fontId="29" fillId="0" borderId="25" xfId="0" applyNumberFormat="1" applyFont="1" applyFill="1" applyBorder="1" applyAlignment="1">
      <alignment horizontal="center" vertical="center"/>
    </xf>
    <xf numFmtId="10" fontId="29" fillId="0" borderId="25" xfId="0" applyNumberFormat="1" applyFont="1" applyFill="1" applyBorder="1" applyAlignment="1">
      <alignment horizontal="justify" vertical="center" wrapText="1"/>
    </xf>
    <xf numFmtId="10" fontId="34" fillId="0" borderId="25" xfId="0" applyNumberFormat="1" applyFont="1" applyFill="1" applyBorder="1" applyAlignment="1">
      <alignment horizontal="justify" vertical="center" wrapText="1"/>
    </xf>
    <xf numFmtId="185" fontId="29" fillId="0" borderId="25" xfId="0" applyNumberFormat="1" applyFont="1" applyFill="1" applyBorder="1" applyAlignment="1">
      <alignment horizontal="center" vertical="center"/>
    </xf>
    <xf numFmtId="0" fontId="29" fillId="24" borderId="25" xfId="0" applyFont="1" applyFill="1" applyBorder="1" applyAlignment="1">
      <alignment horizontal="right" vertical="center"/>
    </xf>
    <xf numFmtId="0" fontId="29" fillId="24" borderId="28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10" fontId="29" fillId="0" borderId="25" xfId="0" applyNumberFormat="1" applyFont="1" applyFill="1" applyBorder="1" applyAlignment="1">
      <alignment horizontal="right" vertical="center"/>
    </xf>
    <xf numFmtId="10" fontId="29" fillId="0" borderId="25" xfId="0" applyNumberFormat="1" applyFont="1" applyBorder="1" applyAlignment="1">
      <alignment horizontal="right" vertical="center"/>
    </xf>
    <xf numFmtId="0" fontId="29" fillId="0" borderId="25" xfId="0" applyFont="1" applyBorder="1" applyAlignment="1">
      <alignment horizontal="right" vertical="center" wrapText="1"/>
    </xf>
    <xf numFmtId="9" fontId="29" fillId="0" borderId="25" xfId="0" applyNumberFormat="1" applyFont="1" applyBorder="1" applyAlignment="1">
      <alignment horizontal="center" vertical="center" wrapText="1"/>
    </xf>
    <xf numFmtId="186" fontId="29" fillId="0" borderId="25" xfId="0" applyNumberFormat="1" applyFont="1" applyBorder="1" applyAlignment="1">
      <alignment horizontal="center" vertical="center" wrapText="1"/>
    </xf>
    <xf numFmtId="187" fontId="29" fillId="0" borderId="25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4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9" fillId="0" borderId="0" xfId="0" applyFont="1" applyFill="1" applyBorder="1" applyAlignment="1">
      <alignment vertical="center"/>
    </xf>
    <xf numFmtId="10" fontId="9" fillId="0" borderId="0" xfId="15" applyNumberFormat="1" applyFont="1" applyFill="1" applyBorder="1" applyAlignment="1" applyProtection="1">
      <alignment horizontal="center" vertical="center"/>
      <protection/>
    </xf>
    <xf numFmtId="177" fontId="9" fillId="0" borderId="0" xfId="16" applyFont="1" applyFill="1" applyBorder="1" applyAlignment="1" applyProtection="1">
      <alignment vertical="center"/>
      <protection/>
    </xf>
    <xf numFmtId="4" fontId="29" fillId="0" borderId="25" xfId="0" applyNumberFormat="1" applyFont="1" applyFill="1" applyBorder="1" applyAlignment="1">
      <alignment vertical="center"/>
    </xf>
    <xf numFmtId="4" fontId="29" fillId="24" borderId="25" xfId="0" applyNumberFormat="1" applyFont="1" applyFill="1" applyBorder="1" applyAlignment="1">
      <alignment vertical="center"/>
    </xf>
    <xf numFmtId="2" fontId="29" fillId="0" borderId="25" xfId="0" applyNumberFormat="1" applyFont="1" applyFill="1" applyBorder="1" applyAlignment="1">
      <alignment horizontal="right" vertical="center" wrapText="1"/>
    </xf>
    <xf numFmtId="2" fontId="29" fillId="24" borderId="25" xfId="0" applyNumberFormat="1" applyFont="1" applyFill="1" applyBorder="1" applyAlignment="1">
      <alignment horizontal="right" vertical="center"/>
    </xf>
    <xf numFmtId="4" fontId="29" fillId="0" borderId="25" xfId="0" applyNumberFormat="1" applyFont="1" applyFill="1" applyBorder="1" applyAlignment="1">
      <alignment horizontal="right" vertical="center"/>
    </xf>
    <xf numFmtId="187" fontId="29" fillId="24" borderId="25" xfId="0" applyNumberFormat="1" applyFont="1" applyFill="1" applyBorder="1" applyAlignment="1">
      <alignment horizontal="right" vertical="center"/>
    </xf>
    <xf numFmtId="0" fontId="29" fillId="29" borderId="28" xfId="0" applyFont="1" applyFill="1" applyBorder="1" applyAlignment="1">
      <alignment horizontal="right" vertical="center"/>
    </xf>
    <xf numFmtId="0" fontId="9" fillId="29" borderId="30" xfId="0" applyFont="1" applyFill="1" applyBorder="1" applyAlignment="1">
      <alignment horizontal="right" vertical="center"/>
    </xf>
    <xf numFmtId="10" fontId="29" fillId="29" borderId="30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justify" vertical="center" wrapText="1"/>
    </xf>
    <xf numFmtId="0" fontId="29" fillId="24" borderId="25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left" vertical="center" wrapText="1"/>
    </xf>
    <xf numFmtId="183" fontId="31" fillId="0" borderId="25" xfId="0" applyNumberFormat="1" applyFont="1" applyBorder="1" applyAlignment="1">
      <alignment vertical="center"/>
    </xf>
    <xf numFmtId="4" fontId="31" fillId="0" borderId="25" xfId="0" applyNumberFormat="1" applyFont="1" applyBorder="1" applyAlignment="1" applyProtection="1">
      <alignment vertical="center"/>
      <protection/>
    </xf>
    <xf numFmtId="3" fontId="31" fillId="0" borderId="25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wrapText="1"/>
    </xf>
    <xf numFmtId="10" fontId="31" fillId="0" borderId="25" xfId="0" applyNumberFormat="1" applyFont="1" applyBorder="1" applyAlignment="1">
      <alignment horizontal="right" vertical="center" wrapText="1"/>
    </xf>
    <xf numFmtId="0" fontId="35" fillId="0" borderId="25" xfId="0" applyFont="1" applyFill="1" applyBorder="1" applyAlignment="1">
      <alignment horizontal="center" vertical="center"/>
    </xf>
    <xf numFmtId="3" fontId="31" fillId="0" borderId="25" xfId="0" applyNumberFormat="1" applyFont="1" applyBorder="1" applyAlignment="1">
      <alignment vertical="center"/>
    </xf>
    <xf numFmtId="0" fontId="31" fillId="0" borderId="28" xfId="0" applyFont="1" applyBorder="1" applyAlignment="1">
      <alignment horizontal="left" vertical="center" wrapText="1"/>
    </xf>
    <xf numFmtId="10" fontId="31" fillId="0" borderId="25" xfId="0" applyNumberFormat="1" applyFont="1" applyBorder="1" applyAlignment="1">
      <alignment vertical="center"/>
    </xf>
    <xf numFmtId="0" fontId="9" fillId="24" borderId="25" xfId="0" applyFont="1" applyFill="1" applyBorder="1" applyAlignment="1">
      <alignment horizontal="center" vertical="center"/>
    </xf>
    <xf numFmtId="0" fontId="36" fillId="29" borderId="25" xfId="0" applyFont="1" applyFill="1" applyBorder="1" applyAlignment="1">
      <alignment horizontal="center" vertical="center" wrapText="1"/>
    </xf>
    <xf numFmtId="10" fontId="37" fillId="0" borderId="25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justify" vertical="center"/>
    </xf>
    <xf numFmtId="0" fontId="37" fillId="0" borderId="25" xfId="0" applyFont="1" applyFill="1" applyBorder="1" applyAlignment="1">
      <alignment horizontal="justify" vertical="center" wrapText="1"/>
    </xf>
    <xf numFmtId="0" fontId="29" fillId="29" borderId="25" xfId="0" applyFont="1" applyFill="1" applyBorder="1" applyAlignment="1">
      <alignment horizontal="justify" vertical="center" wrapText="1"/>
    </xf>
    <xf numFmtId="0" fontId="37" fillId="0" borderId="31" xfId="0" applyFont="1" applyFill="1" applyBorder="1" applyAlignment="1">
      <alignment horizontal="right" vertical="center" wrapText="1"/>
    </xf>
    <xf numFmtId="4" fontId="37" fillId="0" borderId="31" xfId="0" applyNumberFormat="1" applyFont="1" applyFill="1" applyBorder="1" applyAlignment="1">
      <alignment horizontal="left" vertical="center" wrapText="1"/>
    </xf>
    <xf numFmtId="0" fontId="37" fillId="29" borderId="31" xfId="0" applyFont="1" applyFill="1" applyBorder="1" applyAlignment="1">
      <alignment horizontal="right" vertical="center" wrapText="1"/>
    </xf>
    <xf numFmtId="0" fontId="37" fillId="29" borderId="31" xfId="0" applyFont="1" applyFill="1" applyBorder="1" applyAlignment="1">
      <alignment horizontal="justify" vertical="center" wrapText="1"/>
    </xf>
    <xf numFmtId="0" fontId="37" fillId="29" borderId="25" xfId="0" applyFont="1" applyFill="1" applyBorder="1" applyAlignment="1">
      <alignment horizontal="right" vertical="center" wrapText="1"/>
    </xf>
    <xf numFmtId="0" fontId="29" fillId="24" borderId="25" xfId="0" applyFont="1" applyFill="1" applyBorder="1" applyAlignment="1">
      <alignment horizontal="center"/>
    </xf>
    <xf numFmtId="0" fontId="38" fillId="0" borderId="32" xfId="0" applyFont="1" applyBorder="1" applyAlignment="1">
      <alignment horizontal="justify" vertical="center" wrapText="1"/>
    </xf>
    <xf numFmtId="0" fontId="9" fillId="0" borderId="33" xfId="0" applyFont="1" applyBorder="1" applyAlignment="1">
      <alignment horizontal="justify" vertical="center" wrapText="1"/>
    </xf>
    <xf numFmtId="185" fontId="90" fillId="0" borderId="34" xfId="0" applyNumberFormat="1" applyFont="1" applyBorder="1" applyAlignment="1">
      <alignment horizontal="center" vertical="center" wrapText="1"/>
    </xf>
    <xf numFmtId="10" fontId="90" fillId="0" borderId="34" xfId="0" applyNumberFormat="1" applyFont="1" applyBorder="1" applyAlignment="1">
      <alignment vertical="center" wrapText="1"/>
    </xf>
    <xf numFmtId="0" fontId="38" fillId="0" borderId="34" xfId="0" applyFont="1" applyBorder="1" applyAlignment="1">
      <alignment horizontal="left" vertical="center" wrapText="1"/>
    </xf>
    <xf numFmtId="0" fontId="91" fillId="0" borderId="34" xfId="0" applyFont="1" applyBorder="1" applyAlignment="1">
      <alignment horizontal="left" vertical="center" wrapText="1"/>
    </xf>
    <xf numFmtId="0" fontId="29" fillId="0" borderId="35" xfId="0" applyFont="1" applyBorder="1" applyAlignment="1">
      <alignment horizontal="left" vertical="center" wrapText="1"/>
    </xf>
    <xf numFmtId="0" fontId="91" fillId="0" borderId="33" xfId="0" applyFont="1" applyBorder="1" applyAlignment="1">
      <alignment horizontal="left" vertical="center" wrapText="1"/>
    </xf>
    <xf numFmtId="0" fontId="91" fillId="0" borderId="36" xfId="0" applyFont="1" applyBorder="1" applyAlignment="1">
      <alignment horizontal="left" vertical="center" wrapText="1"/>
    </xf>
    <xf numFmtId="0" fontId="29" fillId="0" borderId="25" xfId="0" applyFont="1" applyBorder="1" applyAlignment="1">
      <alignment horizontal="center" vertical="center"/>
    </xf>
    <xf numFmtId="0" fontId="38" fillId="0" borderId="35" xfId="0" applyFont="1" applyBorder="1" applyAlignment="1">
      <alignment horizontal="left" vertical="center" wrapText="1"/>
    </xf>
    <xf numFmtId="0" fontId="38" fillId="0" borderId="25" xfId="0" applyFont="1" applyFill="1" applyBorder="1" applyAlignment="1">
      <alignment horizontal="center" vertical="center"/>
    </xf>
    <xf numFmtId="0" fontId="29" fillId="0" borderId="37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29" borderId="25" xfId="0" applyFont="1" applyFill="1" applyBorder="1" applyAlignment="1">
      <alignment horizontal="right" vertical="center"/>
    </xf>
    <xf numFmtId="4" fontId="29" fillId="24" borderId="25" xfId="0" applyNumberFormat="1" applyFont="1" applyFill="1" applyBorder="1" applyAlignment="1">
      <alignment horizontal="right" vertical="center"/>
    </xf>
    <xf numFmtId="4" fontId="29" fillId="29" borderId="29" xfId="0" applyNumberFormat="1" applyFont="1" applyFill="1" applyBorder="1" applyAlignment="1">
      <alignment horizontal="right" vertical="center"/>
    </xf>
    <xf numFmtId="4" fontId="29" fillId="0" borderId="25" xfId="0" applyNumberFormat="1" applyFont="1" applyBorder="1" applyAlignment="1">
      <alignment horizontal="right" vertical="center"/>
    </xf>
    <xf numFmtId="4" fontId="29" fillId="0" borderId="25" xfId="0" applyNumberFormat="1" applyFont="1" applyBorder="1" applyAlignment="1">
      <alignment horizontal="center" vertical="center"/>
    </xf>
    <xf numFmtId="4" fontId="29" fillId="24" borderId="25" xfId="0" applyNumberFormat="1" applyFont="1" applyFill="1" applyBorder="1" applyAlignment="1">
      <alignment horizontal="right" vertical="center" wrapText="1"/>
    </xf>
    <xf numFmtId="4" fontId="29" fillId="0" borderId="31" xfId="0" applyNumberFormat="1" applyFont="1" applyFill="1" applyBorder="1" applyAlignment="1">
      <alignment horizontal="right" vertical="center" wrapText="1"/>
    </xf>
    <xf numFmtId="4" fontId="29" fillId="24" borderId="25" xfId="0" applyNumberFormat="1" applyFont="1" applyFill="1" applyBorder="1" applyAlignment="1">
      <alignment horizontal="right"/>
    </xf>
    <xf numFmtId="4" fontId="29" fillId="24" borderId="25" xfId="0" applyNumberFormat="1" applyFont="1" applyFill="1" applyBorder="1" applyAlignment="1">
      <alignment horizontal="center" vertical="center"/>
    </xf>
    <xf numFmtId="0" fontId="29" fillId="0" borderId="25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29" fillId="0" borderId="30" xfId="0" applyFont="1" applyBorder="1" applyAlignment="1">
      <alignment horizontal="left" vertical="center"/>
    </xf>
    <xf numFmtId="0" fontId="29" fillId="0" borderId="29" xfId="0" applyFont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/>
    </xf>
    <xf numFmtId="0" fontId="29" fillId="29" borderId="28" xfId="0" applyFont="1" applyFill="1" applyBorder="1" applyAlignment="1">
      <alignment horizontal="center" vertical="center"/>
    </xf>
    <xf numFmtId="0" fontId="9" fillId="29" borderId="30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justify" vertical="center" wrapText="1"/>
    </xf>
    <xf numFmtId="0" fontId="31" fillId="0" borderId="25" xfId="0" applyFont="1" applyFill="1" applyBorder="1" applyAlignment="1">
      <alignment horizontal="center" vertical="center"/>
    </xf>
    <xf numFmtId="10" fontId="31" fillId="0" borderId="25" xfId="0" applyNumberFormat="1" applyFont="1" applyBorder="1" applyAlignment="1">
      <alignment horizontal="center" vertical="center"/>
    </xf>
    <xf numFmtId="10" fontId="29" fillId="0" borderId="25" xfId="0" applyNumberFormat="1" applyFont="1" applyBorder="1" applyAlignment="1">
      <alignment horizontal="center" vertical="center"/>
    </xf>
    <xf numFmtId="10" fontId="29" fillId="0" borderId="25" xfId="0" applyNumberFormat="1" applyFont="1" applyBorder="1" applyAlignment="1">
      <alignment horizontal="right" vertical="center" wrapText="1"/>
    </xf>
    <xf numFmtId="10" fontId="29" fillId="0" borderId="25" xfId="0" applyNumberFormat="1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10" fontId="31" fillId="0" borderId="25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left" vertical="center"/>
    </xf>
    <xf numFmtId="0" fontId="40" fillId="29" borderId="28" xfId="0" applyFont="1" applyFill="1" applyBorder="1" applyAlignment="1">
      <alignment vertical="center"/>
    </xf>
    <xf numFmtId="49" fontId="29" fillId="0" borderId="25" xfId="0" applyNumberFormat="1" applyFont="1" applyBorder="1" applyAlignment="1">
      <alignment horizontal="left" vertical="center" wrapText="1"/>
    </xf>
    <xf numFmtId="49" fontId="29" fillId="0" borderId="25" xfId="0" applyNumberFormat="1" applyFont="1" applyBorder="1" applyAlignment="1">
      <alignment horizontal="center" vertical="center" wrapText="1"/>
    </xf>
    <xf numFmtId="49" fontId="29" fillId="24" borderId="28" xfId="0" applyNumberFormat="1" applyFont="1" applyFill="1" applyBorder="1" applyAlignment="1">
      <alignment horizontal="right" vertical="center" wrapText="1"/>
    </xf>
    <xf numFmtId="49" fontId="29" fillId="0" borderId="28" xfId="0" applyNumberFormat="1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176" fontId="31" fillId="0" borderId="0" xfId="0" applyNumberFormat="1" applyFont="1" applyBorder="1" applyAlignment="1">
      <alignment horizontal="left"/>
    </xf>
    <xf numFmtId="0" fontId="29" fillId="24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left" vertical="center" wrapText="1"/>
    </xf>
    <xf numFmtId="0" fontId="29" fillId="0" borderId="26" xfId="0" applyFont="1" applyBorder="1" applyAlignment="1">
      <alignment horizontal="justify" wrapText="1"/>
    </xf>
    <xf numFmtId="0" fontId="9" fillId="0" borderId="25" xfId="0" applyFont="1" applyBorder="1" applyAlignment="1">
      <alignment horizontal="left" wrapText="1"/>
    </xf>
    <xf numFmtId="0" fontId="31" fillId="0" borderId="25" xfId="0" applyNumberFormat="1" applyFont="1" applyBorder="1" applyAlignment="1">
      <alignment horizontal="center" vertical="center"/>
    </xf>
    <xf numFmtId="4" fontId="31" fillId="0" borderId="25" xfId="0" applyNumberFormat="1" applyFont="1" applyBorder="1" applyAlignment="1">
      <alignment horizontal="center" vertical="center" wrapText="1"/>
    </xf>
    <xf numFmtId="2" fontId="31" fillId="0" borderId="25" xfId="0" applyNumberFormat="1" applyFont="1" applyBorder="1" applyAlignment="1">
      <alignment horizontal="center" vertical="center" wrapText="1"/>
    </xf>
    <xf numFmtId="4" fontId="31" fillId="0" borderId="25" xfId="0" applyNumberFormat="1" applyFont="1" applyBorder="1" applyAlignment="1">
      <alignment horizontal="center" vertical="center"/>
    </xf>
    <xf numFmtId="2" fontId="31" fillId="0" borderId="25" xfId="0" applyNumberFormat="1" applyFont="1" applyBorder="1" applyAlignment="1">
      <alignment horizontal="center" vertical="center"/>
    </xf>
    <xf numFmtId="0" fontId="29" fillId="29" borderId="25" xfId="0" applyFont="1" applyFill="1" applyBorder="1" applyAlignment="1">
      <alignment horizontal="left"/>
    </xf>
    <xf numFmtId="0" fontId="29" fillId="29" borderId="31" xfId="0" applyFont="1" applyFill="1" applyBorder="1" applyAlignment="1">
      <alignment horizontal="righ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31" fillId="0" borderId="31" xfId="0" applyFont="1" applyFill="1" applyBorder="1" applyAlignment="1">
      <alignment horizontal="center" vertical="center" wrapText="1"/>
    </xf>
    <xf numFmtId="2" fontId="31" fillId="0" borderId="25" xfId="0" applyNumberFormat="1" applyFont="1" applyFill="1" applyBorder="1" applyAlignment="1">
      <alignment horizontal="center" vertical="center" wrapText="1"/>
    </xf>
    <xf numFmtId="0" fontId="29" fillId="29" borderId="25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justify"/>
    </xf>
    <xf numFmtId="4" fontId="29" fillId="0" borderId="25" xfId="0" applyNumberFormat="1" applyFont="1" applyFill="1" applyBorder="1" applyAlignment="1">
      <alignment horizontal="right" vertical="center" wrapText="1"/>
    </xf>
    <xf numFmtId="0" fontId="9" fillId="29" borderId="29" xfId="0" applyFont="1" applyFill="1" applyBorder="1" applyAlignment="1">
      <alignment horizontal="center" vertical="center"/>
    </xf>
    <xf numFmtId="4" fontId="29" fillId="24" borderId="25" xfId="0" applyNumberFormat="1" applyFont="1" applyFill="1" applyBorder="1" applyAlignment="1">
      <alignment horizontal="center" vertical="center" wrapText="1"/>
    </xf>
    <xf numFmtId="4" fontId="31" fillId="0" borderId="25" xfId="0" applyNumberFormat="1" applyFont="1" applyFill="1" applyBorder="1" applyAlignment="1">
      <alignment horizontal="right" vertical="center"/>
    </xf>
    <xf numFmtId="4" fontId="29" fillId="0" borderId="25" xfId="0" applyNumberFormat="1" applyFont="1" applyFill="1" applyBorder="1" applyAlignment="1">
      <alignment horizontal="center" vertical="center"/>
    </xf>
    <xf numFmtId="4" fontId="31" fillId="0" borderId="25" xfId="0" applyNumberFormat="1" applyFont="1" applyBorder="1" applyAlignment="1">
      <alignment horizontal="right" vertical="center"/>
    </xf>
    <xf numFmtId="0" fontId="9" fillId="24" borderId="0" xfId="0" applyFont="1" applyFill="1" applyAlignment="1">
      <alignment/>
    </xf>
    <xf numFmtId="176" fontId="31" fillId="31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176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176" fontId="9" fillId="0" borderId="0" xfId="0" applyNumberFormat="1" applyFont="1" applyAlignment="1">
      <alignment vertical="center"/>
    </xf>
    <xf numFmtId="0" fontId="29" fillId="31" borderId="0" xfId="0" applyFont="1" applyFill="1" applyAlignment="1">
      <alignment/>
    </xf>
    <xf numFmtId="0" fontId="29" fillId="0" borderId="0" xfId="0" applyFont="1" applyBorder="1" applyAlignment="1">
      <alignment horizontal="justify" vertical="top"/>
    </xf>
    <xf numFmtId="0" fontId="29" fillId="0" borderId="30" xfId="0" applyFont="1" applyBorder="1" applyAlignment="1">
      <alignment horizontal="justify" wrapText="1"/>
    </xf>
    <xf numFmtId="49" fontId="31" fillId="0" borderId="25" xfId="0" applyNumberFormat="1" applyFont="1" applyBorder="1" applyAlignment="1">
      <alignment horizontal="center" vertical="center"/>
    </xf>
    <xf numFmtId="0" fontId="29" fillId="29" borderId="25" xfId="0" applyFont="1" applyFill="1" applyBorder="1" applyAlignment="1">
      <alignment horizontal="left" vertical="center" wrapText="1"/>
    </xf>
    <xf numFmtId="0" fontId="29" fillId="24" borderId="25" xfId="0" applyFont="1" applyFill="1" applyBorder="1" applyAlignment="1">
      <alignment horizontal="center" vertical="top" wrapText="1"/>
    </xf>
    <xf numFmtId="0" fontId="31" fillId="0" borderId="25" xfId="0" applyFont="1" applyBorder="1" applyAlignment="1">
      <alignment horizontal="center" vertical="center"/>
    </xf>
    <xf numFmtId="49" fontId="31" fillId="0" borderId="25" xfId="0" applyNumberFormat="1" applyFont="1" applyFill="1" applyBorder="1" applyAlignment="1">
      <alignment horizontal="center" vertical="center" wrapText="1"/>
    </xf>
    <xf numFmtId="188" fontId="31" fillId="0" borderId="25" xfId="0" applyNumberFormat="1" applyFont="1" applyBorder="1" applyAlignment="1">
      <alignment horizontal="center" vertical="center"/>
    </xf>
    <xf numFmtId="0" fontId="29" fillId="29" borderId="25" xfId="0" applyFont="1" applyFill="1" applyBorder="1" applyAlignment="1">
      <alignment wrapText="1"/>
    </xf>
    <xf numFmtId="49" fontId="31" fillId="0" borderId="25" xfId="0" applyNumberFormat="1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29" fillId="0" borderId="25" xfId="0" applyFont="1" applyFill="1" applyBorder="1" applyAlignment="1">
      <alignment horizontal="justify" wrapText="1"/>
    </xf>
    <xf numFmtId="0" fontId="29" fillId="24" borderId="27" xfId="0" applyFont="1" applyFill="1" applyBorder="1" applyAlignment="1">
      <alignment horizontal="center" vertical="center"/>
    </xf>
    <xf numFmtId="0" fontId="29" fillId="0" borderId="25" xfId="0" applyFont="1" applyBorder="1" applyAlignment="1">
      <alignment horizontal="left"/>
    </xf>
    <xf numFmtId="4" fontId="29" fillId="0" borderId="25" xfId="0" applyNumberFormat="1" applyFont="1" applyBorder="1" applyAlignment="1">
      <alignment horizontal="center"/>
    </xf>
    <xf numFmtId="189" fontId="29" fillId="0" borderId="25" xfId="0" applyNumberFormat="1" applyFont="1" applyBorder="1" applyAlignment="1">
      <alignment horizontal="right"/>
    </xf>
    <xf numFmtId="0" fontId="29" fillId="0" borderId="25" xfId="0" applyFont="1" applyBorder="1" applyAlignment="1">
      <alignment horizontal="left" wrapText="1"/>
    </xf>
    <xf numFmtId="189" fontId="29" fillId="0" borderId="25" xfId="0" applyNumberFormat="1" applyFont="1" applyBorder="1" applyAlignment="1">
      <alignment horizontal="right" vertical="center"/>
    </xf>
    <xf numFmtId="0" fontId="31" fillId="24" borderId="25" xfId="0" applyFont="1" applyFill="1" applyBorder="1" applyAlignment="1">
      <alignment horizontal="right" wrapText="1"/>
    </xf>
    <xf numFmtId="189" fontId="31" fillId="24" borderId="25" xfId="0" applyNumberFormat="1" applyFont="1" applyFill="1" applyBorder="1" applyAlignment="1">
      <alignment horizontal="right"/>
    </xf>
    <xf numFmtId="0" fontId="29" fillId="29" borderId="25" xfId="0" applyFont="1" applyFill="1" applyBorder="1" applyAlignment="1">
      <alignment horizontal="right" wrapText="1"/>
    </xf>
    <xf numFmtId="0" fontId="29" fillId="0" borderId="27" xfId="0" applyFont="1" applyBorder="1" applyAlignment="1">
      <alignment horizontal="left" wrapText="1"/>
    </xf>
    <xf numFmtId="4" fontId="29" fillId="0" borderId="27" xfId="0" applyNumberFormat="1" applyFont="1" applyBorder="1" applyAlignment="1">
      <alignment horizontal="center"/>
    </xf>
    <xf numFmtId="4" fontId="29" fillId="0" borderId="27" xfId="0" applyNumberFormat="1" applyFont="1" applyBorder="1" applyAlignment="1">
      <alignment horizontal="right" wrapText="1"/>
    </xf>
    <xf numFmtId="189" fontId="31" fillId="24" borderId="25" xfId="0" applyNumberFormat="1" applyFont="1" applyFill="1" applyBorder="1" applyAlignment="1">
      <alignment horizontal="right" vertical="center"/>
    </xf>
    <xf numFmtId="0" fontId="31" fillId="29" borderId="25" xfId="0" applyFont="1" applyFill="1" applyBorder="1" applyAlignment="1">
      <alignment horizontal="right" wrapText="1"/>
    </xf>
    <xf numFmtId="0" fontId="29" fillId="0" borderId="27" xfId="0" applyFont="1" applyBorder="1" applyAlignment="1">
      <alignment horizontal="justify" wrapText="1"/>
    </xf>
    <xf numFmtId="189" fontId="29" fillId="0" borderId="27" xfId="0" applyNumberFormat="1" applyFont="1" applyBorder="1" applyAlignment="1">
      <alignment horizontal="right"/>
    </xf>
    <xf numFmtId="0" fontId="29" fillId="0" borderId="25" xfId="0" applyFont="1" applyBorder="1" applyAlignment="1">
      <alignment horizontal="justify" wrapText="1"/>
    </xf>
    <xf numFmtId="0" fontId="29" fillId="29" borderId="25" xfId="0" applyFont="1" applyFill="1" applyBorder="1" applyAlignment="1">
      <alignment horizontal="justify" wrapText="1"/>
    </xf>
    <xf numFmtId="0" fontId="31" fillId="0" borderId="41" xfId="0" applyFont="1" applyBorder="1" applyAlignment="1">
      <alignment horizontal="right" wrapText="1"/>
    </xf>
    <xf numFmtId="189" fontId="31" fillId="0" borderId="27" xfId="0" applyNumberFormat="1" applyFont="1" applyBorder="1" applyAlignment="1">
      <alignment horizontal="right"/>
    </xf>
    <xf numFmtId="4" fontId="31" fillId="0" borderId="25" xfId="0" applyNumberFormat="1" applyFont="1" applyBorder="1" applyAlignment="1">
      <alignment horizontal="right" vertical="center" wrapText="1"/>
    </xf>
    <xf numFmtId="183" fontId="31" fillId="0" borderId="25" xfId="0" applyNumberFormat="1" applyFont="1" applyFill="1" applyBorder="1" applyAlignment="1">
      <alignment horizontal="center" vertical="center" wrapText="1"/>
    </xf>
    <xf numFmtId="0" fontId="29" fillId="29" borderId="42" xfId="0" applyFont="1" applyFill="1" applyBorder="1" applyAlignment="1">
      <alignment horizontal="center"/>
    </xf>
    <xf numFmtId="0" fontId="29" fillId="29" borderId="30" xfId="0" applyFont="1" applyFill="1" applyBorder="1" applyAlignment="1">
      <alignment horizontal="left" vertical="center" wrapText="1"/>
    </xf>
    <xf numFmtId="0" fontId="29" fillId="0" borderId="25" xfId="0" applyFont="1" applyBorder="1" applyAlignment="1">
      <alignment horizontal="justify" vertical="center" wrapText="1"/>
    </xf>
    <xf numFmtId="183" fontId="31" fillId="0" borderId="25" xfId="0" applyNumberFormat="1" applyFont="1" applyFill="1" applyBorder="1" applyAlignment="1">
      <alignment horizontal="center" vertical="center"/>
    </xf>
    <xf numFmtId="0" fontId="29" fillId="0" borderId="25" xfId="0" applyFont="1" applyBorder="1" applyAlignment="1">
      <alignment horizontal="justify" vertical="top"/>
    </xf>
    <xf numFmtId="0" fontId="9" fillId="0" borderId="25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9" fillId="0" borderId="0" xfId="0" applyFont="1" applyAlignment="1">
      <alignment horizontal="justify" vertical="top"/>
    </xf>
    <xf numFmtId="0" fontId="92" fillId="0" borderId="10" xfId="0" applyFont="1" applyBorder="1" applyAlignment="1">
      <alignment horizontal="center" vertical="center" wrapText="1"/>
    </xf>
    <xf numFmtId="0" fontId="93" fillId="0" borderId="1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center" vertical="center" wrapText="1"/>
    </xf>
    <xf numFmtId="0" fontId="13" fillId="24" borderId="25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58" fontId="24" fillId="0" borderId="25" xfId="0" applyNumberFormat="1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29" borderId="25" xfId="0" applyFont="1" applyFill="1" applyBorder="1" applyAlignment="1">
      <alignment horizontal="center" vertical="center"/>
    </xf>
    <xf numFmtId="0" fontId="13" fillId="29" borderId="25" xfId="0" applyFont="1" applyFill="1" applyBorder="1" applyAlignment="1">
      <alignment horizontal="center" vertical="center" wrapText="1"/>
    </xf>
    <xf numFmtId="183" fontId="24" fillId="0" borderId="25" xfId="0" applyNumberFormat="1" applyFont="1" applyFill="1" applyBorder="1" applyAlignment="1">
      <alignment horizontal="right" vertical="center"/>
    </xf>
    <xf numFmtId="184" fontId="13" fillId="0" borderId="25" xfId="0" applyNumberFormat="1" applyFont="1" applyFill="1" applyBorder="1" applyAlignment="1">
      <alignment horizontal="right" vertical="center"/>
    </xf>
    <xf numFmtId="58" fontId="24" fillId="0" borderId="25" xfId="0" applyNumberFormat="1" applyFont="1" applyFill="1" applyBorder="1" applyAlignment="1">
      <alignment horizontal="right" vertical="center" wrapText="1"/>
    </xf>
    <xf numFmtId="0" fontId="0" fillId="29" borderId="25" xfId="0" applyFont="1" applyFill="1" applyBorder="1" applyAlignment="1">
      <alignment horizontal="center" vertical="center"/>
    </xf>
    <xf numFmtId="0" fontId="13" fillId="24" borderId="27" xfId="0" applyFont="1" applyFill="1" applyBorder="1" applyAlignment="1">
      <alignment horizontal="center" vertical="center" wrapText="1"/>
    </xf>
    <xf numFmtId="0" fontId="13" fillId="24" borderId="25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justify" vertical="center" wrapText="1"/>
    </xf>
    <xf numFmtId="10" fontId="13" fillId="0" borderId="25" xfId="0" applyNumberFormat="1" applyFont="1" applyFill="1" applyBorder="1" applyAlignment="1">
      <alignment vertical="center"/>
    </xf>
    <xf numFmtId="0" fontId="13" fillId="24" borderId="25" xfId="0" applyFont="1" applyFill="1" applyBorder="1" applyAlignment="1">
      <alignment horizontal="right" vertical="center" wrapText="1"/>
    </xf>
    <xf numFmtId="0" fontId="43" fillId="29" borderId="2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/>
    </xf>
    <xf numFmtId="0" fontId="13" fillId="24" borderId="25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justify" vertical="center" wrapText="1"/>
    </xf>
    <xf numFmtId="10" fontId="1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justify" vertical="center" wrapText="1"/>
    </xf>
    <xf numFmtId="10" fontId="44" fillId="0" borderId="25" xfId="0" applyNumberFormat="1" applyFont="1" applyFill="1" applyBorder="1" applyAlignment="1">
      <alignment horizontal="justify" vertical="center" wrapText="1"/>
    </xf>
    <xf numFmtId="185" fontId="13" fillId="0" borderId="25" xfId="0" applyNumberFormat="1" applyFont="1" applyFill="1" applyBorder="1" applyAlignment="1">
      <alignment horizontal="center" vertical="center"/>
    </xf>
    <xf numFmtId="0" fontId="13" fillId="24" borderId="25" xfId="0" applyFont="1" applyFill="1" applyBorder="1" applyAlignment="1">
      <alignment horizontal="right" vertical="center"/>
    </xf>
    <xf numFmtId="0" fontId="13" fillId="24" borderId="28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right" vertical="center"/>
    </xf>
    <xf numFmtId="10" fontId="13" fillId="0" borderId="25" xfId="0" applyNumberFormat="1" applyFont="1" applyBorder="1" applyAlignment="1">
      <alignment horizontal="right" vertical="center"/>
    </xf>
    <xf numFmtId="0" fontId="13" fillId="0" borderId="25" xfId="0" applyFont="1" applyBorder="1" applyAlignment="1">
      <alignment horizontal="right" vertical="center" wrapText="1"/>
    </xf>
    <xf numFmtId="9" fontId="13" fillId="0" borderId="25" xfId="0" applyNumberFormat="1" applyFont="1" applyBorder="1" applyAlignment="1">
      <alignment horizontal="center" vertical="center" wrapText="1"/>
    </xf>
    <xf numFmtId="186" fontId="13" fillId="0" borderId="25" xfId="0" applyNumberFormat="1" applyFont="1" applyBorder="1" applyAlignment="1">
      <alignment horizontal="center" vertical="center" wrapText="1"/>
    </xf>
    <xf numFmtId="187" fontId="13" fillId="0" borderId="25" xfId="0" applyNumberFormat="1" applyFont="1" applyBorder="1" applyAlignment="1">
      <alignment horizontal="right" vertical="center"/>
    </xf>
    <xf numFmtId="187" fontId="13" fillId="24" borderId="25" xfId="0" applyNumberFormat="1" applyFont="1" applyFill="1" applyBorder="1" applyAlignment="1">
      <alignment horizontal="right" vertical="center"/>
    </xf>
    <xf numFmtId="0" fontId="13" fillId="29" borderId="28" xfId="0" applyFont="1" applyFill="1" applyBorder="1" applyAlignment="1">
      <alignment horizontal="right" vertical="center"/>
    </xf>
    <xf numFmtId="0" fontId="0" fillId="29" borderId="30" xfId="0" applyFont="1" applyFill="1" applyBorder="1" applyAlignment="1">
      <alignment horizontal="right" vertical="center"/>
    </xf>
    <xf numFmtId="10" fontId="13" fillId="29" borderId="30" xfId="0" applyNumberFormat="1" applyFont="1" applyFill="1" applyBorder="1" applyAlignment="1">
      <alignment horizontal="right" vertical="center"/>
    </xf>
    <xf numFmtId="0" fontId="13" fillId="24" borderId="25" xfId="0" applyFont="1" applyFill="1" applyBorder="1" applyAlignment="1">
      <alignment horizontal="center" vertical="center"/>
    </xf>
    <xf numFmtId="0" fontId="13" fillId="0" borderId="28" xfId="0" applyFont="1" applyBorder="1" applyAlignment="1">
      <alignment horizontal="left" vertical="center" wrapText="1"/>
    </xf>
    <xf numFmtId="183" fontId="24" fillId="0" borderId="25" xfId="0" applyNumberFormat="1" applyFont="1" applyBorder="1" applyAlignment="1">
      <alignment vertical="center"/>
    </xf>
    <xf numFmtId="0" fontId="45" fillId="0" borderId="25" xfId="0" applyFont="1" applyBorder="1" applyAlignment="1">
      <alignment horizontal="left" vertical="center" wrapText="1"/>
    </xf>
    <xf numFmtId="4" fontId="24" fillId="0" borderId="25" xfId="0" applyNumberFormat="1" applyFont="1" applyBorder="1" applyAlignment="1" applyProtection="1">
      <alignment vertical="center"/>
      <protection/>
    </xf>
    <xf numFmtId="3" fontId="24" fillId="0" borderId="25" xfId="0" applyNumberFormat="1" applyFont="1" applyBorder="1" applyAlignment="1" applyProtection="1">
      <alignment vertical="center"/>
      <protection/>
    </xf>
    <xf numFmtId="0" fontId="46" fillId="0" borderId="0" xfId="0" applyFont="1" applyBorder="1" applyAlignment="1">
      <alignment/>
    </xf>
    <xf numFmtId="10" fontId="24" fillId="0" borderId="25" xfId="0" applyNumberFormat="1" applyFont="1" applyBorder="1" applyAlignment="1">
      <alignment horizontal="right" vertical="center" wrapText="1"/>
    </xf>
    <xf numFmtId="0" fontId="45" fillId="0" borderId="28" xfId="0" applyFont="1" applyBorder="1" applyAlignment="1">
      <alignment horizontal="left" vertical="center" wrapText="1"/>
    </xf>
    <xf numFmtId="0" fontId="47" fillId="0" borderId="25" xfId="0" applyFont="1" applyFill="1" applyBorder="1" applyAlignment="1">
      <alignment horizontal="center" vertical="center"/>
    </xf>
    <xf numFmtId="3" fontId="24" fillId="0" borderId="25" xfId="0" applyNumberFormat="1" applyFont="1" applyBorder="1" applyAlignment="1">
      <alignment vertical="center"/>
    </xf>
    <xf numFmtId="0" fontId="48" fillId="0" borderId="28" xfId="0" applyFont="1" applyBorder="1" applyAlignment="1">
      <alignment horizontal="left" vertical="center" wrapText="1"/>
    </xf>
    <xf numFmtId="10" fontId="24" fillId="0" borderId="25" xfId="0" applyNumberFormat="1" applyFont="1" applyBorder="1" applyAlignment="1">
      <alignment vertical="center"/>
    </xf>
    <xf numFmtId="0" fontId="0" fillId="24" borderId="25" xfId="0" applyFont="1" applyFill="1" applyBorder="1" applyAlignment="1">
      <alignment horizontal="center" vertical="center"/>
    </xf>
    <xf numFmtId="4" fontId="13" fillId="0" borderId="25" xfId="0" applyNumberFormat="1" applyFont="1" applyFill="1" applyBorder="1" applyAlignment="1">
      <alignment vertical="center"/>
    </xf>
    <xf numFmtId="4" fontId="13" fillId="24" borderId="25" xfId="0" applyNumberFormat="1" applyFont="1" applyFill="1" applyBorder="1" applyAlignment="1">
      <alignment vertical="center"/>
    </xf>
    <xf numFmtId="2" fontId="13" fillId="0" borderId="25" xfId="0" applyNumberFormat="1" applyFont="1" applyFill="1" applyBorder="1" applyAlignment="1">
      <alignment horizontal="right" vertical="center" wrapText="1"/>
    </xf>
    <xf numFmtId="2" fontId="13" fillId="24" borderId="25" xfId="0" applyNumberFormat="1" applyFont="1" applyFill="1" applyBorder="1" applyAlignment="1">
      <alignment horizontal="right" vertical="center"/>
    </xf>
    <xf numFmtId="4" fontId="13" fillId="0" borderId="25" xfId="0" applyNumberFormat="1" applyFont="1" applyFill="1" applyBorder="1" applyAlignment="1">
      <alignment horizontal="right" vertical="center"/>
    </xf>
    <xf numFmtId="4" fontId="13" fillId="24" borderId="25" xfId="0" applyNumberFormat="1" applyFont="1" applyFill="1" applyBorder="1" applyAlignment="1">
      <alignment horizontal="right" vertical="center"/>
    </xf>
    <xf numFmtId="4" fontId="13" fillId="29" borderId="29" xfId="0" applyNumberFormat="1" applyFont="1" applyFill="1" applyBorder="1" applyAlignment="1">
      <alignment horizontal="right" vertical="center"/>
    </xf>
    <xf numFmtId="4" fontId="13" fillId="0" borderId="25" xfId="0" applyNumberFormat="1" applyFont="1" applyBorder="1" applyAlignment="1">
      <alignment horizontal="right" vertical="center"/>
    </xf>
    <xf numFmtId="4" fontId="13" fillId="0" borderId="25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right" vertical="center" wrapText="1"/>
    </xf>
    <xf numFmtId="0" fontId="49" fillId="29" borderId="25" xfId="0" applyFont="1" applyFill="1" applyBorder="1" applyAlignment="1">
      <alignment horizontal="center" vertical="center" wrapText="1"/>
    </xf>
    <xf numFmtId="10" fontId="14" fillId="0" borderId="25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justify" vertical="center" wrapText="1"/>
    </xf>
    <xf numFmtId="0" fontId="13" fillId="29" borderId="25" xfId="0" applyFont="1" applyFill="1" applyBorder="1" applyAlignment="1">
      <alignment horizontal="justify" vertical="center" wrapText="1"/>
    </xf>
    <xf numFmtId="0" fontId="14" fillId="0" borderId="31" xfId="0" applyFont="1" applyFill="1" applyBorder="1" applyAlignment="1">
      <alignment horizontal="right" vertical="center" wrapText="1"/>
    </xf>
    <xf numFmtId="4" fontId="14" fillId="0" borderId="31" xfId="0" applyNumberFormat="1" applyFont="1" applyFill="1" applyBorder="1" applyAlignment="1">
      <alignment horizontal="center" vertical="center" wrapText="1"/>
    </xf>
    <xf numFmtId="0" fontId="14" fillId="29" borderId="31" xfId="0" applyFont="1" applyFill="1" applyBorder="1" applyAlignment="1">
      <alignment horizontal="right" vertical="center" wrapText="1"/>
    </xf>
    <xf numFmtId="0" fontId="14" fillId="29" borderId="31" xfId="0" applyFont="1" applyFill="1" applyBorder="1" applyAlignment="1">
      <alignment horizontal="justify" vertical="center" wrapText="1"/>
    </xf>
    <xf numFmtId="0" fontId="14" fillId="29" borderId="25" xfId="0" applyFont="1" applyFill="1" applyBorder="1" applyAlignment="1">
      <alignment horizontal="right" vertical="center" wrapText="1"/>
    </xf>
    <xf numFmtId="0" fontId="13" fillId="24" borderId="25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justify" vertical="center" wrapText="1"/>
    </xf>
    <xf numFmtId="0" fontId="13" fillId="0" borderId="30" xfId="0" applyFont="1" applyFill="1" applyBorder="1" applyAlignment="1">
      <alignment horizontal="justify" vertical="center" wrapText="1"/>
    </xf>
    <xf numFmtId="0" fontId="13" fillId="0" borderId="29" xfId="0" applyFont="1" applyFill="1" applyBorder="1" applyAlignment="1">
      <alignment horizontal="justify" vertical="center" wrapText="1"/>
    </xf>
    <xf numFmtId="185" fontId="13" fillId="0" borderId="25" xfId="0" applyNumberFormat="1" applyFont="1" applyBorder="1" applyAlignment="1">
      <alignment horizontal="center" vertical="center" wrapText="1"/>
    </xf>
    <xf numFmtId="10" fontId="13" fillId="0" borderId="25" xfId="0" applyNumberFormat="1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50" fillId="0" borderId="25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left" vertical="center" wrapText="1"/>
    </xf>
    <xf numFmtId="0" fontId="0" fillId="24" borderId="30" xfId="0" applyFont="1" applyFill="1" applyBorder="1" applyAlignment="1">
      <alignment horizontal="left" vertical="center" wrapText="1"/>
    </xf>
    <xf numFmtId="0" fontId="13" fillId="24" borderId="30" xfId="0" applyFont="1" applyFill="1" applyBorder="1" applyAlignment="1">
      <alignment horizontal="center" vertical="center"/>
    </xf>
    <xf numFmtId="0" fontId="13" fillId="24" borderId="2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left" vertical="center"/>
    </xf>
    <xf numFmtId="0" fontId="13" fillId="0" borderId="30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 vertical="center"/>
    </xf>
    <xf numFmtId="0" fontId="13" fillId="24" borderId="28" xfId="0" applyFont="1" applyFill="1" applyBorder="1" applyAlignment="1">
      <alignment horizontal="right" vertical="center" wrapText="1"/>
    </xf>
    <xf numFmtId="0" fontId="13" fillId="24" borderId="30" xfId="0" applyFont="1" applyFill="1" applyBorder="1" applyAlignment="1">
      <alignment horizontal="right" vertical="center" wrapText="1"/>
    </xf>
    <xf numFmtId="0" fontId="13" fillId="24" borderId="29" xfId="0" applyFont="1" applyFill="1" applyBorder="1" applyAlignment="1">
      <alignment horizontal="right" vertical="center" wrapText="1"/>
    </xf>
    <xf numFmtId="0" fontId="13" fillId="29" borderId="25" xfId="0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justify" vertical="center" wrapText="1"/>
    </xf>
    <xf numFmtId="0" fontId="24" fillId="0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/>
    </xf>
    <xf numFmtId="10" fontId="24" fillId="0" borderId="25" xfId="0" applyNumberFormat="1" applyFont="1" applyBorder="1" applyAlignment="1">
      <alignment horizontal="center" vertical="center"/>
    </xf>
    <xf numFmtId="10" fontId="13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wrapText="1"/>
    </xf>
    <xf numFmtId="10" fontId="13" fillId="0" borderId="25" xfId="0" applyNumberFormat="1" applyFont="1" applyBorder="1" applyAlignment="1">
      <alignment horizontal="right" vertical="center" wrapText="1"/>
    </xf>
    <xf numFmtId="10" fontId="13" fillId="0" borderId="25" xfId="0" applyNumberFormat="1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right" vertical="center" wrapText="1"/>
    </xf>
    <xf numFmtId="10" fontId="24" fillId="0" borderId="25" xfId="0" applyNumberFormat="1" applyFont="1" applyBorder="1" applyAlignment="1">
      <alignment horizontal="right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4" fontId="13" fillId="24" borderId="25" xfId="0" applyNumberFormat="1" applyFont="1" applyFill="1" applyBorder="1" applyAlignment="1">
      <alignment horizontal="right" vertical="center" wrapText="1"/>
    </xf>
    <xf numFmtId="4" fontId="13" fillId="0" borderId="31" xfId="0" applyNumberFormat="1" applyFont="1" applyFill="1" applyBorder="1" applyAlignment="1">
      <alignment horizontal="right" vertical="center" wrapText="1"/>
    </xf>
    <xf numFmtId="4" fontId="13" fillId="24" borderId="25" xfId="0" applyNumberFormat="1" applyFont="1" applyFill="1" applyBorder="1" applyAlignment="1">
      <alignment horizontal="right"/>
    </xf>
    <xf numFmtId="0" fontId="0" fillId="24" borderId="29" xfId="0" applyFont="1" applyFill="1" applyBorder="1" applyAlignment="1">
      <alignment horizontal="left" vertical="center" wrapText="1"/>
    </xf>
    <xf numFmtId="4" fontId="13" fillId="24" borderId="25" xfId="0" applyNumberFormat="1" applyFont="1" applyFill="1" applyBorder="1" applyAlignment="1">
      <alignment horizontal="center" vertical="center"/>
    </xf>
    <xf numFmtId="4" fontId="13" fillId="32" borderId="25" xfId="0" applyNumberFormat="1" applyFont="1" applyFill="1" applyBorder="1" applyAlignment="1">
      <alignment horizontal="right" vertical="center"/>
    </xf>
    <xf numFmtId="4" fontId="13" fillId="24" borderId="25" xfId="0" applyNumberFormat="1" applyFont="1" applyFill="1" applyBorder="1" applyAlignment="1">
      <alignment horizontal="center" vertical="center" wrapText="1"/>
    </xf>
    <xf numFmtId="4" fontId="24" fillId="0" borderId="25" xfId="0" applyNumberFormat="1" applyFont="1" applyFill="1" applyBorder="1" applyAlignment="1">
      <alignment horizontal="right" vertical="center"/>
    </xf>
    <xf numFmtId="4" fontId="13" fillId="0" borderId="25" xfId="0" applyNumberFormat="1" applyFont="1" applyFill="1" applyBorder="1" applyAlignment="1">
      <alignment horizontal="center" vertical="center"/>
    </xf>
    <xf numFmtId="4" fontId="24" fillId="0" borderId="25" xfId="0" applyNumberFormat="1" applyFont="1" applyBorder="1" applyAlignment="1">
      <alignment horizontal="right" vertical="center"/>
    </xf>
    <xf numFmtId="0" fontId="24" fillId="0" borderId="26" xfId="0" applyFont="1" applyFill="1" applyBorder="1" applyAlignment="1">
      <alignment horizontal="left" vertical="center"/>
    </xf>
    <xf numFmtId="0" fontId="51" fillId="29" borderId="28" xfId="0" applyFont="1" applyFill="1" applyBorder="1" applyAlignment="1">
      <alignment vertical="center"/>
    </xf>
    <xf numFmtId="49" fontId="13" fillId="0" borderId="25" xfId="0" applyNumberFormat="1" applyFont="1" applyBorder="1" applyAlignment="1">
      <alignment horizontal="left" vertical="center" wrapText="1"/>
    </xf>
    <xf numFmtId="49" fontId="13" fillId="0" borderId="25" xfId="0" applyNumberFormat="1" applyFont="1" applyBorder="1" applyAlignment="1">
      <alignment horizontal="center" vertical="center" wrapText="1"/>
    </xf>
    <xf numFmtId="49" fontId="13" fillId="24" borderId="28" xfId="0" applyNumberFormat="1" applyFont="1" applyFill="1" applyBorder="1" applyAlignment="1">
      <alignment horizontal="right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29" borderId="25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176" fontId="24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justify" vertical="top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center"/>
    </xf>
    <xf numFmtId="0" fontId="13" fillId="29" borderId="30" xfId="0" applyFont="1" applyFill="1" applyBorder="1" applyAlignment="1">
      <alignment horizontal="left" vertical="center" wrapText="1"/>
    </xf>
    <xf numFmtId="0" fontId="13" fillId="0" borderId="31" xfId="0" applyFont="1" applyBorder="1" applyAlignment="1">
      <alignment horizontal="justify" vertical="center" wrapText="1"/>
    </xf>
    <xf numFmtId="183" fontId="24" fillId="0" borderId="31" xfId="0" applyNumberFormat="1" applyFont="1" applyFill="1" applyBorder="1" applyAlignment="1">
      <alignment horizontal="center" vertical="center"/>
    </xf>
    <xf numFmtId="0" fontId="13" fillId="0" borderId="43" xfId="0" applyFont="1" applyBorder="1" applyAlignment="1">
      <alignment horizontal="justify" vertical="center" wrapText="1"/>
    </xf>
    <xf numFmtId="183" fontId="24" fillId="0" borderId="43" xfId="0" applyNumberFormat="1" applyFont="1" applyFill="1" applyBorder="1" applyAlignment="1">
      <alignment horizontal="center" vertical="center"/>
    </xf>
    <xf numFmtId="176" fontId="24" fillId="31" borderId="0" xfId="0" applyNumberFormat="1" applyFont="1" applyFill="1" applyBorder="1" applyAlignment="1">
      <alignment horizontal="left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Observação" xfId="22"/>
    <cellStyle name="Texto de Aviso" xfId="23"/>
    <cellStyle name="Título" xfId="24"/>
    <cellStyle name="Texto Explicativo" xfId="25"/>
    <cellStyle name="Título 1" xfId="26"/>
    <cellStyle name="Título 2" xfId="27"/>
    <cellStyle name="Título 3" xfId="28"/>
    <cellStyle name="Título 4" xfId="29"/>
    <cellStyle name="Entrada" xfId="30"/>
    <cellStyle name="Saída" xfId="31"/>
    <cellStyle name="Cálculo" xfId="32"/>
    <cellStyle name="Célula de Verificação" xfId="33"/>
    <cellStyle name="Célula Vinculada" xfId="34"/>
    <cellStyle name="Total" xfId="35"/>
    <cellStyle name="Bom" xfId="36"/>
    <cellStyle name="Ruim" xfId="37"/>
    <cellStyle name="Neutro" xfId="38"/>
    <cellStyle name="Ênfase 1" xfId="39"/>
    <cellStyle name="20% - Ênfase 1" xfId="40"/>
    <cellStyle name="40% - Ênfase 1" xfId="41"/>
    <cellStyle name="60% - Ênfase 1" xfId="42"/>
    <cellStyle name="Ênfase 2" xfId="43"/>
    <cellStyle name="20% - Ênfase 2" xfId="44"/>
    <cellStyle name="40% - Ênfase 2" xfId="45"/>
    <cellStyle name="60% - Ênfase 2" xfId="46"/>
    <cellStyle name="Ênfase 3" xfId="47"/>
    <cellStyle name="20% - Ênfase 3" xfId="48"/>
    <cellStyle name="40% - Ênfase 3" xfId="49"/>
    <cellStyle name="60% - Ênfase 3" xfId="50"/>
    <cellStyle name="Ênfase 4" xfId="51"/>
    <cellStyle name="20% - Ênfase 4" xfId="52"/>
    <cellStyle name="40% - Ênfase 4" xfId="53"/>
    <cellStyle name="60% - Ênfase 4" xfId="54"/>
    <cellStyle name="Ênfase 5" xfId="55"/>
    <cellStyle name="20% - Ênfase 5" xfId="56"/>
    <cellStyle name="40% - Ênfase 5" xfId="57"/>
    <cellStyle name="60% - Ênfase 5" xfId="58"/>
    <cellStyle name="Ênfase 6" xfId="59"/>
    <cellStyle name="20% - Ênfase 6" xfId="60"/>
    <cellStyle name="40% - Ênfase 6" xfId="61"/>
    <cellStyle name="60% - Ênfase 6" xfId="62"/>
    <cellStyle name="Neutra" xfId="63"/>
    <cellStyle name="Título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009900"/>
      <rgbColor rgb="00800080"/>
      <rgbColor rgb="00006B6B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9933"/>
      <rgbColor rgb="0033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228600</xdr:rowOff>
    </xdr:from>
    <xdr:to>
      <xdr:col>1</xdr:col>
      <xdr:colOff>2971800</xdr:colOff>
      <xdr:row>1</xdr:row>
      <xdr:rowOff>95250</xdr:rowOff>
    </xdr:to>
    <xdr:pic>
      <xdr:nvPicPr>
        <xdr:cNvPr id="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"/>
          <a:ext cx="3143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390525</xdr:colOff>
      <xdr:row>0</xdr:row>
      <xdr:rowOff>38100</xdr:rowOff>
    </xdr:from>
    <xdr:to>
      <xdr:col>4</xdr:col>
      <xdr:colOff>152400</xdr:colOff>
      <xdr:row>0</xdr:row>
      <xdr:rowOff>676275</xdr:rowOff>
    </xdr:to>
    <xdr:pic>
      <xdr:nvPicPr>
        <xdr:cNvPr id="2" name="Picture 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91125" y="3810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view="pageBreakPreview" zoomScaleSheetLayoutView="100" workbookViewId="0" topLeftCell="A63">
      <selection activeCell="J25" sqref="J25"/>
    </sheetView>
  </sheetViews>
  <sheetFormatPr defaultColWidth="9.140625" defaultRowHeight="12.75"/>
  <cols>
    <col min="1" max="1" width="11.421875" style="0" customWidth="1"/>
    <col min="2" max="2" width="8.7109375" style="0" customWidth="1"/>
    <col min="3" max="3" width="17.28125" style="0" customWidth="1"/>
    <col min="4" max="4" width="14.421875" style="0" customWidth="1"/>
    <col min="5" max="5" width="14.140625" style="0" customWidth="1"/>
    <col min="6" max="6" width="17.28125" style="0" customWidth="1"/>
    <col min="7" max="7" width="21.7109375" style="0" customWidth="1"/>
    <col min="8" max="9" width="9.57421875" style="0" customWidth="1"/>
  </cols>
  <sheetData>
    <row r="1" spans="1:9" ht="87" customHeight="1">
      <c r="A1" s="383" t="s">
        <v>0</v>
      </c>
      <c r="B1" s="384"/>
      <c r="C1" s="384"/>
      <c r="D1" s="384"/>
      <c r="E1" s="384"/>
      <c r="F1" s="384"/>
      <c r="G1" s="384"/>
      <c r="H1" s="384"/>
      <c r="I1" s="384"/>
    </row>
    <row r="2" spans="1:9" ht="12.75">
      <c r="A2" s="385" t="s">
        <v>1</v>
      </c>
      <c r="B2" s="385"/>
      <c r="C2" s="385"/>
      <c r="D2" s="385"/>
      <c r="E2" s="385"/>
      <c r="F2" s="386" t="s">
        <v>2</v>
      </c>
      <c r="G2" s="386"/>
      <c r="H2" s="386"/>
      <c r="I2" s="386"/>
    </row>
    <row r="3" spans="1:9" ht="12.75">
      <c r="A3" s="387" t="s">
        <v>3</v>
      </c>
      <c r="B3" s="387"/>
      <c r="C3" s="387"/>
      <c r="D3" s="387"/>
      <c r="E3" s="387"/>
      <c r="F3" s="388" t="s">
        <v>4</v>
      </c>
      <c r="G3" s="388"/>
      <c r="H3" s="388"/>
      <c r="I3" s="388"/>
    </row>
    <row r="4" spans="1:9" ht="12.75">
      <c r="A4" s="387" t="s">
        <v>5</v>
      </c>
      <c r="B4" s="387"/>
      <c r="C4" s="387"/>
      <c r="D4" s="387"/>
      <c r="E4" s="387"/>
      <c r="F4" s="387"/>
      <c r="G4" s="387"/>
      <c r="H4" s="387"/>
      <c r="I4" s="387"/>
    </row>
    <row r="5" spans="1:9" ht="12.75">
      <c r="A5" s="389" t="s">
        <v>6</v>
      </c>
      <c r="B5" s="389"/>
      <c r="C5" s="389"/>
      <c r="D5" s="389"/>
      <c r="E5" s="389"/>
      <c r="F5" s="389"/>
      <c r="G5" s="389"/>
      <c r="H5" s="389"/>
      <c r="I5" s="389"/>
    </row>
    <row r="6" spans="1:9" ht="12.75">
      <c r="A6" s="390" t="s">
        <v>7</v>
      </c>
      <c r="B6" s="387" t="s">
        <v>8</v>
      </c>
      <c r="C6" s="387"/>
      <c r="D6" s="387"/>
      <c r="E6" s="387"/>
      <c r="F6" s="387"/>
      <c r="G6" s="387"/>
      <c r="H6" s="391" t="s">
        <v>9</v>
      </c>
      <c r="I6" s="391"/>
    </row>
    <row r="7" spans="1:9" ht="12.75">
      <c r="A7" s="390" t="s">
        <v>10</v>
      </c>
      <c r="B7" s="387" t="s">
        <v>11</v>
      </c>
      <c r="C7" s="387"/>
      <c r="D7" s="387"/>
      <c r="E7" s="387"/>
      <c r="F7" s="387"/>
      <c r="G7" s="387"/>
      <c r="H7" s="388" t="s">
        <v>12</v>
      </c>
      <c r="I7" s="388"/>
    </row>
    <row r="8" spans="1:9" ht="66" customHeight="1">
      <c r="A8" s="390" t="s">
        <v>13</v>
      </c>
      <c r="B8" s="387" t="s">
        <v>14</v>
      </c>
      <c r="C8" s="387"/>
      <c r="D8" s="387"/>
      <c r="E8" s="387"/>
      <c r="F8" s="387"/>
      <c r="G8" s="387"/>
      <c r="H8" s="388" t="s">
        <v>15</v>
      </c>
      <c r="I8" s="388"/>
    </row>
    <row r="9" spans="1:9" ht="12.75">
      <c r="A9" s="390" t="s">
        <v>16</v>
      </c>
      <c r="B9" s="387" t="s">
        <v>17</v>
      </c>
      <c r="C9" s="387"/>
      <c r="D9" s="387"/>
      <c r="E9" s="387"/>
      <c r="F9" s="387"/>
      <c r="G9" s="387"/>
      <c r="H9" s="388">
        <v>12</v>
      </c>
      <c r="I9" s="388"/>
    </row>
    <row r="10" spans="1:9" ht="12.75">
      <c r="A10" s="392" t="s">
        <v>18</v>
      </c>
      <c r="B10" s="392"/>
      <c r="C10" s="392"/>
      <c r="D10" s="392"/>
      <c r="E10" s="392"/>
      <c r="F10" s="392"/>
      <c r="G10" s="392"/>
      <c r="H10" s="392"/>
      <c r="I10" s="392"/>
    </row>
    <row r="11" spans="1:9" ht="12.75">
      <c r="A11" s="393"/>
      <c r="B11" s="393"/>
      <c r="C11" s="393"/>
      <c r="D11" s="393"/>
      <c r="E11" s="393"/>
      <c r="F11" s="393"/>
      <c r="G11" s="393"/>
      <c r="H11" s="393"/>
      <c r="I11" s="393"/>
    </row>
    <row r="12" spans="1:9" ht="12.75">
      <c r="A12" s="191" t="s">
        <v>19</v>
      </c>
      <c r="B12" s="191"/>
      <c r="C12" s="191"/>
      <c r="D12" s="191"/>
      <c r="E12" s="191"/>
      <c r="F12" s="191"/>
      <c r="G12" s="191"/>
      <c r="H12" s="191"/>
      <c r="I12" s="191"/>
    </row>
    <row r="13" spans="1:9" ht="12.75">
      <c r="A13" s="394"/>
      <c r="B13" s="394"/>
      <c r="C13" s="394"/>
      <c r="D13" s="394"/>
      <c r="E13" s="394"/>
      <c r="F13" s="394"/>
      <c r="G13" s="394"/>
      <c r="H13" s="394"/>
      <c r="I13" s="394"/>
    </row>
    <row r="14" spans="1:9" ht="12.75">
      <c r="A14" s="389" t="s">
        <v>20</v>
      </c>
      <c r="B14" s="389"/>
      <c r="C14" s="389"/>
      <c r="D14" s="389"/>
      <c r="E14" s="389"/>
      <c r="F14" s="389"/>
      <c r="G14" s="389"/>
      <c r="H14" s="389"/>
      <c r="I14" s="389"/>
    </row>
    <row r="15" spans="1:9" ht="12.75">
      <c r="A15" s="390">
        <v>1</v>
      </c>
      <c r="B15" s="387" t="s">
        <v>21</v>
      </c>
      <c r="C15" s="387"/>
      <c r="D15" s="387"/>
      <c r="E15" s="387"/>
      <c r="F15" s="387"/>
      <c r="G15" s="387"/>
      <c r="H15" s="395" t="s">
        <v>22</v>
      </c>
      <c r="I15" s="395"/>
    </row>
    <row r="16" spans="1:9" ht="12.75">
      <c r="A16" s="390">
        <v>2</v>
      </c>
      <c r="B16" s="387" t="s">
        <v>23</v>
      </c>
      <c r="C16" s="387"/>
      <c r="D16" s="387"/>
      <c r="E16" s="387"/>
      <c r="F16" s="387"/>
      <c r="G16" s="387"/>
      <c r="H16" s="396">
        <v>5143</v>
      </c>
      <c r="I16" s="396"/>
    </row>
    <row r="17" spans="1:9" ht="12.75">
      <c r="A17" s="390">
        <v>3</v>
      </c>
      <c r="B17" s="387" t="s">
        <v>24</v>
      </c>
      <c r="C17" s="387"/>
      <c r="D17" s="387"/>
      <c r="E17" s="387"/>
      <c r="F17" s="387"/>
      <c r="G17" s="387"/>
      <c r="H17" s="395">
        <v>2193.07</v>
      </c>
      <c r="I17" s="395"/>
    </row>
    <row r="18" spans="1:9" ht="25.5" customHeight="1">
      <c r="A18" s="390">
        <v>4</v>
      </c>
      <c r="B18" s="387" t="s">
        <v>25</v>
      </c>
      <c r="C18" s="387"/>
      <c r="D18" s="387"/>
      <c r="E18" s="387"/>
      <c r="F18" s="387"/>
      <c r="G18" s="387"/>
      <c r="H18" s="397" t="s">
        <v>26</v>
      </c>
      <c r="I18" s="397"/>
    </row>
    <row r="19" spans="1:9" ht="12.75">
      <c r="A19" s="390">
        <v>5</v>
      </c>
      <c r="B19" s="387" t="s">
        <v>27</v>
      </c>
      <c r="C19" s="387"/>
      <c r="D19" s="387"/>
      <c r="E19" s="387"/>
      <c r="F19" s="387"/>
      <c r="G19" s="387"/>
      <c r="H19" s="397" t="s">
        <v>28</v>
      </c>
      <c r="I19" s="397"/>
    </row>
    <row r="20" spans="1:9" ht="12.75">
      <c r="A20" s="398"/>
      <c r="B20" s="398"/>
      <c r="C20" s="398"/>
      <c r="D20" s="398"/>
      <c r="E20" s="398"/>
      <c r="F20" s="398"/>
      <c r="G20" s="398"/>
      <c r="H20" s="398"/>
      <c r="I20" s="398"/>
    </row>
    <row r="21" spans="1:9" ht="12.75">
      <c r="A21" s="191" t="s">
        <v>29</v>
      </c>
      <c r="B21" s="191"/>
      <c r="C21" s="191"/>
      <c r="D21" s="191"/>
      <c r="E21" s="191"/>
      <c r="F21" s="191"/>
      <c r="G21" s="191"/>
      <c r="H21" s="191"/>
      <c r="I21" s="191"/>
    </row>
    <row r="22" spans="1:9" ht="38.25">
      <c r="A22" s="399">
        <v>1</v>
      </c>
      <c r="B22" s="400" t="s">
        <v>30</v>
      </c>
      <c r="C22" s="400"/>
      <c r="D22" s="400"/>
      <c r="E22" s="400"/>
      <c r="F22" s="400"/>
      <c r="G22" s="400"/>
      <c r="H22" s="399" t="s">
        <v>31</v>
      </c>
      <c r="I22" s="399" t="s">
        <v>32</v>
      </c>
    </row>
    <row r="23" spans="1:9" ht="21" customHeight="1">
      <c r="A23" s="390" t="s">
        <v>7</v>
      </c>
      <c r="B23" s="387" t="s">
        <v>33</v>
      </c>
      <c r="C23" s="387"/>
      <c r="D23" s="387"/>
      <c r="E23" s="387"/>
      <c r="F23" s="387"/>
      <c r="G23" s="387"/>
      <c r="H23" s="387"/>
      <c r="I23" s="440">
        <v>2193.07</v>
      </c>
    </row>
    <row r="24" spans="1:9" ht="21.75" customHeight="1">
      <c r="A24" s="390" t="s">
        <v>10</v>
      </c>
      <c r="B24" s="401" t="s">
        <v>34</v>
      </c>
      <c r="C24" s="401"/>
      <c r="D24" s="401"/>
      <c r="E24" s="401"/>
      <c r="F24" s="401"/>
      <c r="G24" s="401"/>
      <c r="H24" s="402"/>
      <c r="I24" s="440">
        <f>ROUND(H24*I23,2)</f>
        <v>0</v>
      </c>
    </row>
    <row r="25" spans="1:9" s="159" customFormat="1" ht="96" customHeight="1">
      <c r="A25" s="238" t="s">
        <v>35</v>
      </c>
      <c r="B25" s="253"/>
      <c r="C25" s="253"/>
      <c r="D25" s="253"/>
      <c r="E25" s="253"/>
      <c r="F25" s="253"/>
      <c r="G25" s="253"/>
      <c r="H25" s="253"/>
      <c r="I25" s="253"/>
    </row>
    <row r="26" spans="1:9" ht="12.75">
      <c r="A26" s="403" t="s">
        <v>36</v>
      </c>
      <c r="B26" s="403"/>
      <c r="C26" s="403"/>
      <c r="D26" s="403"/>
      <c r="E26" s="403"/>
      <c r="F26" s="403"/>
      <c r="G26" s="403"/>
      <c r="H26" s="403"/>
      <c r="I26" s="441">
        <f>SUM(I23:I25)</f>
        <v>2193.07</v>
      </c>
    </row>
    <row r="27" spans="1:9" ht="12.75">
      <c r="A27" s="404"/>
      <c r="B27" s="404"/>
      <c r="C27" s="404"/>
      <c r="D27" s="404"/>
      <c r="E27" s="404"/>
      <c r="F27" s="404"/>
      <c r="G27" s="404"/>
      <c r="H27" s="404"/>
      <c r="I27" s="404"/>
    </row>
    <row r="28" spans="1:9" ht="12.75">
      <c r="A28" s="405" t="s">
        <v>37</v>
      </c>
      <c r="B28" s="405"/>
      <c r="C28" s="405"/>
      <c r="D28" s="405"/>
      <c r="E28" s="405"/>
      <c r="F28" s="405"/>
      <c r="G28" s="405"/>
      <c r="H28" s="405"/>
      <c r="I28" s="405"/>
    </row>
    <row r="29" spans="1:9" ht="12.75">
      <c r="A29" s="406" t="s">
        <v>38</v>
      </c>
      <c r="B29" s="406"/>
      <c r="C29" s="406"/>
      <c r="D29" s="406"/>
      <c r="E29" s="406"/>
      <c r="F29" s="406"/>
      <c r="G29" s="406"/>
      <c r="H29" s="406"/>
      <c r="I29" s="406"/>
    </row>
    <row r="30" spans="1:9" ht="12.75">
      <c r="A30" s="407" t="s">
        <v>39</v>
      </c>
      <c r="B30" s="407" t="s">
        <v>40</v>
      </c>
      <c r="C30" s="407"/>
      <c r="D30" s="407"/>
      <c r="E30" s="407"/>
      <c r="F30" s="407"/>
      <c r="G30" s="407"/>
      <c r="H30" s="407"/>
      <c r="I30" s="392" t="s">
        <v>41</v>
      </c>
    </row>
    <row r="31" spans="1:9" ht="32.25" customHeight="1">
      <c r="A31" s="407" t="s">
        <v>7</v>
      </c>
      <c r="B31" s="408" t="s">
        <v>42</v>
      </c>
      <c r="C31" s="408"/>
      <c r="D31" s="408"/>
      <c r="E31" s="408"/>
      <c r="F31" s="408"/>
      <c r="G31" s="408"/>
      <c r="H31" s="409">
        <v>0.0833</v>
      </c>
      <c r="I31" s="442">
        <f>ROUND($I$26*H31,2)</f>
        <v>182.68</v>
      </c>
    </row>
    <row r="32" spans="1:9" ht="30" customHeight="1">
      <c r="A32" s="407" t="s">
        <v>10</v>
      </c>
      <c r="B32" s="410" t="s">
        <v>43</v>
      </c>
      <c r="C32" s="411"/>
      <c r="D32" s="411"/>
      <c r="E32" s="411"/>
      <c r="F32" s="411"/>
      <c r="G32" s="411"/>
      <c r="H32" s="412">
        <v>0.03025</v>
      </c>
      <c r="I32" s="442">
        <f>ROUND($I$26*H32,2)</f>
        <v>66.34</v>
      </c>
    </row>
    <row r="33" spans="1:9" ht="12.75">
      <c r="A33" s="413" t="s">
        <v>44</v>
      </c>
      <c r="B33" s="413"/>
      <c r="C33" s="413"/>
      <c r="D33" s="413"/>
      <c r="E33" s="413"/>
      <c r="F33" s="413"/>
      <c r="G33" s="413"/>
      <c r="H33" s="413"/>
      <c r="I33" s="443">
        <f>SUM(I31+I32)</f>
        <v>249.02</v>
      </c>
    </row>
    <row r="34" spans="1:9" ht="39" customHeight="1">
      <c r="A34" s="408" t="s">
        <v>45</v>
      </c>
      <c r="B34" s="408"/>
      <c r="C34" s="408"/>
      <c r="D34" s="408"/>
      <c r="E34" s="408"/>
      <c r="F34" s="408"/>
      <c r="G34" s="408"/>
      <c r="H34" s="408"/>
      <c r="I34" s="408"/>
    </row>
    <row r="35" spans="1:9" ht="25.5">
      <c r="A35" s="414" t="s">
        <v>46</v>
      </c>
      <c r="B35" s="400" t="s">
        <v>47</v>
      </c>
      <c r="C35" s="400"/>
      <c r="D35" s="400"/>
      <c r="E35" s="400"/>
      <c r="F35" s="400"/>
      <c r="G35" s="400"/>
      <c r="H35" s="400" t="s">
        <v>48</v>
      </c>
      <c r="I35" s="400" t="s">
        <v>49</v>
      </c>
    </row>
    <row r="36" spans="1:9" ht="12.75">
      <c r="A36" s="415" t="s">
        <v>7</v>
      </c>
      <c r="B36" s="191" t="s">
        <v>50</v>
      </c>
      <c r="C36" s="191"/>
      <c r="D36" s="191"/>
      <c r="E36" s="191"/>
      <c r="F36" s="191"/>
      <c r="G36" s="191"/>
      <c r="H36" s="416">
        <v>0.2</v>
      </c>
      <c r="I36" s="444">
        <f aca="true" t="shared" si="0" ref="I36:I43">ROUND(($I$26+$I$33)*H36,2)</f>
        <v>488.42</v>
      </c>
    </row>
    <row r="37" spans="1:9" ht="12.75">
      <c r="A37" s="415" t="s">
        <v>10</v>
      </c>
      <c r="B37" s="387" t="s">
        <v>51</v>
      </c>
      <c r="C37" s="387"/>
      <c r="D37" s="387"/>
      <c r="E37" s="387"/>
      <c r="F37" s="387"/>
      <c r="G37" s="387"/>
      <c r="H37" s="417">
        <v>0.025</v>
      </c>
      <c r="I37" s="444">
        <f t="shared" si="0"/>
        <v>61.05</v>
      </c>
    </row>
    <row r="38" spans="1:9" ht="69.75" customHeight="1">
      <c r="A38" s="415" t="s">
        <v>13</v>
      </c>
      <c r="B38" s="387" t="s">
        <v>52</v>
      </c>
      <c r="C38" s="387"/>
      <c r="D38" s="418" t="s">
        <v>53</v>
      </c>
      <c r="E38" s="419">
        <v>0.03</v>
      </c>
      <c r="F38" s="418" t="s">
        <v>54</v>
      </c>
      <c r="G38" s="420">
        <v>1</v>
      </c>
      <c r="H38" s="421">
        <f>ROUND((E38*G38),6)</f>
        <v>0.03</v>
      </c>
      <c r="I38" s="444">
        <f t="shared" si="0"/>
        <v>73.26</v>
      </c>
    </row>
    <row r="39" spans="1:9" ht="12.75">
      <c r="A39" s="415" t="s">
        <v>16</v>
      </c>
      <c r="B39" s="191" t="s">
        <v>55</v>
      </c>
      <c r="C39" s="191"/>
      <c r="D39" s="191"/>
      <c r="E39" s="191"/>
      <c r="F39" s="191"/>
      <c r="G39" s="191"/>
      <c r="H39" s="416">
        <v>0.015</v>
      </c>
      <c r="I39" s="444">
        <f t="shared" si="0"/>
        <v>36.63</v>
      </c>
    </row>
    <row r="40" spans="1:9" ht="12.75">
      <c r="A40" s="415" t="s">
        <v>56</v>
      </c>
      <c r="B40" s="191" t="s">
        <v>57</v>
      </c>
      <c r="C40" s="191"/>
      <c r="D40" s="191"/>
      <c r="E40" s="191"/>
      <c r="F40" s="191"/>
      <c r="G40" s="191"/>
      <c r="H40" s="416">
        <v>0.01</v>
      </c>
      <c r="I40" s="444">
        <f t="shared" si="0"/>
        <v>24.42</v>
      </c>
    </row>
    <row r="41" spans="1:9" ht="12.75">
      <c r="A41" s="415" t="s">
        <v>58</v>
      </c>
      <c r="B41" s="387" t="s">
        <v>59</v>
      </c>
      <c r="C41" s="387"/>
      <c r="D41" s="387"/>
      <c r="E41" s="387"/>
      <c r="F41" s="387"/>
      <c r="G41" s="387"/>
      <c r="H41" s="417">
        <v>0.006</v>
      </c>
      <c r="I41" s="444">
        <f t="shared" si="0"/>
        <v>14.65</v>
      </c>
    </row>
    <row r="42" spans="1:9" ht="12.75">
      <c r="A42" s="415" t="s">
        <v>60</v>
      </c>
      <c r="B42" s="191" t="s">
        <v>61</v>
      </c>
      <c r="C42" s="191"/>
      <c r="D42" s="191"/>
      <c r="E42" s="191"/>
      <c r="F42" s="191"/>
      <c r="G42" s="191"/>
      <c r="H42" s="416">
        <v>0.002</v>
      </c>
      <c r="I42" s="444">
        <f t="shared" si="0"/>
        <v>4.88</v>
      </c>
    </row>
    <row r="43" spans="1:9" ht="12.75">
      <c r="A43" s="415" t="s">
        <v>62</v>
      </c>
      <c r="B43" s="387" t="s">
        <v>63</v>
      </c>
      <c r="C43" s="387"/>
      <c r="D43" s="387"/>
      <c r="E43" s="387"/>
      <c r="F43" s="387"/>
      <c r="G43" s="387"/>
      <c r="H43" s="417">
        <v>0.08</v>
      </c>
      <c r="I43" s="444">
        <f t="shared" si="0"/>
        <v>195.37</v>
      </c>
    </row>
    <row r="44" spans="1:9" ht="12.75">
      <c r="A44" s="413" t="s">
        <v>44</v>
      </c>
      <c r="B44" s="413"/>
      <c r="C44" s="413"/>
      <c r="D44" s="413"/>
      <c r="E44" s="413"/>
      <c r="F44" s="413"/>
      <c r="G44" s="413"/>
      <c r="H44" s="422">
        <f>SUM(H36:H43)</f>
        <v>0.36800000000000005</v>
      </c>
      <c r="I44" s="445">
        <f>SUM(I36:I43)</f>
        <v>898.68</v>
      </c>
    </row>
    <row r="45" spans="1:9" ht="12.75">
      <c r="A45" s="423"/>
      <c r="B45" s="424"/>
      <c r="C45" s="424"/>
      <c r="D45" s="424"/>
      <c r="E45" s="424"/>
      <c r="F45" s="424"/>
      <c r="G45" s="424"/>
      <c r="H45" s="425"/>
      <c r="I45" s="446"/>
    </row>
    <row r="46" spans="1:9" ht="38.25" customHeight="1">
      <c r="A46" s="238" t="s">
        <v>64</v>
      </c>
      <c r="B46" s="238"/>
      <c r="C46" s="238"/>
      <c r="D46" s="238"/>
      <c r="E46" s="238"/>
      <c r="F46" s="238"/>
      <c r="G46" s="238"/>
      <c r="H46" s="238"/>
      <c r="I46" s="238"/>
    </row>
    <row r="47" spans="1:9" ht="12.75">
      <c r="A47" s="393"/>
      <c r="B47" s="393"/>
      <c r="C47" s="393"/>
      <c r="D47" s="393"/>
      <c r="E47" s="393"/>
      <c r="F47" s="393"/>
      <c r="G47" s="393"/>
      <c r="H47" s="393"/>
      <c r="I47" s="393"/>
    </row>
    <row r="48" spans="1:9" ht="12.75">
      <c r="A48" s="405" t="s">
        <v>65</v>
      </c>
      <c r="B48" s="405"/>
      <c r="C48" s="405"/>
      <c r="D48" s="405"/>
      <c r="E48" s="405"/>
      <c r="F48" s="405"/>
      <c r="G48" s="405"/>
      <c r="H48" s="405"/>
      <c r="I48" s="405"/>
    </row>
    <row r="49" spans="1:9" ht="12.75">
      <c r="A49" s="426" t="s">
        <v>66</v>
      </c>
      <c r="B49" s="400" t="s">
        <v>67</v>
      </c>
      <c r="C49" s="400"/>
      <c r="D49" s="400"/>
      <c r="E49" s="400"/>
      <c r="F49" s="400"/>
      <c r="G49" s="400"/>
      <c r="H49" s="400"/>
      <c r="I49" s="400" t="s">
        <v>41</v>
      </c>
    </row>
    <row r="50" spans="1:9" ht="12.75">
      <c r="A50" s="407" t="s">
        <v>7</v>
      </c>
      <c r="B50" s="427" t="s">
        <v>68</v>
      </c>
      <c r="C50" s="427"/>
      <c r="D50" s="427"/>
      <c r="E50" s="427"/>
      <c r="F50" s="427"/>
      <c r="G50" s="427"/>
      <c r="H50" s="427"/>
      <c r="I50" s="447">
        <f>IF(ROUND((H53*H51*H52)-(I23*H54),2)&lt;0,0,ROUND((H53*H51*H52)-(I23*H54),2))</f>
        <v>204.42</v>
      </c>
    </row>
    <row r="51" spans="1:9" ht="12.75">
      <c r="A51" s="407"/>
      <c r="B51" s="427" t="s">
        <v>69</v>
      </c>
      <c r="C51" s="427"/>
      <c r="D51" s="427"/>
      <c r="E51" s="427"/>
      <c r="F51" s="427"/>
      <c r="G51" s="427"/>
      <c r="H51" s="428">
        <v>8</v>
      </c>
      <c r="I51" s="448" t="s">
        <v>70</v>
      </c>
    </row>
    <row r="52" spans="1:9" ht="12.75">
      <c r="A52" s="407"/>
      <c r="B52" s="429" t="s">
        <v>71</v>
      </c>
      <c r="C52" s="429"/>
      <c r="D52" s="429"/>
      <c r="E52" s="429"/>
      <c r="F52" s="429"/>
      <c r="G52" s="429"/>
      <c r="H52" s="430">
        <v>2</v>
      </c>
      <c r="I52" s="448"/>
    </row>
    <row r="53" spans="1:9" ht="12.75">
      <c r="A53" s="407"/>
      <c r="B53" s="429" t="s">
        <v>72</v>
      </c>
      <c r="C53" s="429"/>
      <c r="D53" s="429"/>
      <c r="E53" s="429"/>
      <c r="F53" s="429"/>
      <c r="G53" s="429"/>
      <c r="H53" s="431">
        <v>21</v>
      </c>
      <c r="I53" s="448"/>
    </row>
    <row r="54" spans="1:9" ht="12.75">
      <c r="A54" s="407"/>
      <c r="B54" s="432" t="s">
        <v>73</v>
      </c>
      <c r="C54" s="432"/>
      <c r="D54" s="432"/>
      <c r="E54" s="432"/>
      <c r="F54" s="432"/>
      <c r="G54" s="432"/>
      <c r="H54" s="433">
        <v>0.06</v>
      </c>
      <c r="I54" s="387"/>
    </row>
    <row r="55" spans="1:9" ht="12.75">
      <c r="A55" s="407" t="s">
        <v>10</v>
      </c>
      <c r="B55" s="427" t="s">
        <v>74</v>
      </c>
      <c r="C55" s="427"/>
      <c r="D55" s="427"/>
      <c r="E55" s="427"/>
      <c r="F55" s="427"/>
      <c r="G55" s="427"/>
      <c r="H55" s="427"/>
      <c r="I55" s="447">
        <f>ROUND(H57*H56*(1-H58),2)</f>
        <v>402.8</v>
      </c>
    </row>
    <row r="56" spans="1:9" ht="12.75">
      <c r="A56" s="407"/>
      <c r="B56" s="434" t="s">
        <v>75</v>
      </c>
      <c r="C56" s="434"/>
      <c r="D56" s="434"/>
      <c r="E56" s="434"/>
      <c r="F56" s="434"/>
      <c r="G56" s="434"/>
      <c r="H56" s="428">
        <v>23.68</v>
      </c>
      <c r="I56" s="448" t="s">
        <v>70</v>
      </c>
    </row>
    <row r="57" spans="1:9" ht="12.75">
      <c r="A57" s="435"/>
      <c r="B57" s="434" t="s">
        <v>76</v>
      </c>
      <c r="C57" s="434"/>
      <c r="D57" s="434"/>
      <c r="E57" s="434"/>
      <c r="F57" s="434"/>
      <c r="G57" s="434"/>
      <c r="H57" s="436">
        <v>21</v>
      </c>
      <c r="I57" s="448"/>
    </row>
    <row r="58" spans="1:9" ht="12.75">
      <c r="A58" s="435"/>
      <c r="B58" s="437" t="s">
        <v>77</v>
      </c>
      <c r="C58" s="437"/>
      <c r="D58" s="437"/>
      <c r="E58" s="437"/>
      <c r="F58" s="437"/>
      <c r="G58" s="437"/>
      <c r="H58" s="438">
        <v>0.19</v>
      </c>
      <c r="I58" s="448"/>
    </row>
    <row r="59" spans="1:9" ht="12.75">
      <c r="A59" s="407" t="s">
        <v>13</v>
      </c>
      <c r="B59" s="427" t="s">
        <v>78</v>
      </c>
      <c r="C59" s="427"/>
      <c r="D59" s="427"/>
      <c r="E59" s="427"/>
      <c r="F59" s="427"/>
      <c r="G59" s="427"/>
      <c r="H59" s="427"/>
      <c r="I59" s="447">
        <v>0</v>
      </c>
    </row>
    <row r="60" spans="1:9" ht="12.75">
      <c r="A60" s="407" t="s">
        <v>16</v>
      </c>
      <c r="B60" s="387" t="s">
        <v>79</v>
      </c>
      <c r="C60" s="387"/>
      <c r="D60" s="387"/>
      <c r="E60" s="387"/>
      <c r="F60" s="387"/>
      <c r="G60" s="387"/>
      <c r="H60" s="387"/>
      <c r="I60" s="449">
        <v>19.42</v>
      </c>
    </row>
    <row r="61" spans="1:9" ht="12.75">
      <c r="A61" s="439"/>
      <c r="B61" s="413" t="s">
        <v>36</v>
      </c>
      <c r="C61" s="413"/>
      <c r="D61" s="413"/>
      <c r="E61" s="413"/>
      <c r="F61" s="413"/>
      <c r="G61" s="413"/>
      <c r="H61" s="413"/>
      <c r="I61" s="445">
        <f>SUM(I50:I60)</f>
        <v>626.64</v>
      </c>
    </row>
    <row r="62" spans="1:9" ht="12.75">
      <c r="A62" s="393"/>
      <c r="B62" s="393"/>
      <c r="C62" s="393"/>
      <c r="D62" s="393"/>
      <c r="E62" s="393"/>
      <c r="F62" s="393"/>
      <c r="G62" s="393"/>
      <c r="H62" s="393"/>
      <c r="I62" s="393"/>
    </row>
    <row r="63" spans="1:9" ht="33.75" customHeight="1">
      <c r="A63" s="196" t="s">
        <v>80</v>
      </c>
      <c r="B63" s="196"/>
      <c r="C63" s="196"/>
      <c r="D63" s="196"/>
      <c r="E63" s="196"/>
      <c r="F63" s="196"/>
      <c r="G63" s="196"/>
      <c r="H63" s="196"/>
      <c r="I63" s="196"/>
    </row>
    <row r="64" spans="1:9" ht="12.75">
      <c r="A64" s="394"/>
      <c r="B64" s="394"/>
      <c r="C64" s="394"/>
      <c r="D64" s="394"/>
      <c r="E64" s="394"/>
      <c r="F64" s="394"/>
      <c r="G64" s="394"/>
      <c r="H64" s="394"/>
      <c r="I64" s="394"/>
    </row>
    <row r="65" spans="1:9" ht="12.75">
      <c r="A65" s="191" t="s">
        <v>81</v>
      </c>
      <c r="B65" s="191"/>
      <c r="C65" s="191"/>
      <c r="D65" s="191"/>
      <c r="E65" s="191"/>
      <c r="F65" s="191"/>
      <c r="G65" s="191"/>
      <c r="H65" s="191"/>
      <c r="I65" s="191"/>
    </row>
    <row r="66" spans="1:9" ht="12.75">
      <c r="A66" s="400">
        <v>2</v>
      </c>
      <c r="B66" s="400" t="s">
        <v>82</v>
      </c>
      <c r="C66" s="400"/>
      <c r="D66" s="400"/>
      <c r="E66" s="400"/>
      <c r="F66" s="400"/>
      <c r="G66" s="400"/>
      <c r="H66" s="400"/>
      <c r="I66" s="400" t="s">
        <v>41</v>
      </c>
    </row>
    <row r="67" spans="1:9" ht="12.75">
      <c r="A67" s="392" t="s">
        <v>39</v>
      </c>
      <c r="B67" s="191" t="s">
        <v>83</v>
      </c>
      <c r="C67" s="191"/>
      <c r="D67" s="191"/>
      <c r="E67" s="191"/>
      <c r="F67" s="191"/>
      <c r="G67" s="191"/>
      <c r="H67" s="191"/>
      <c r="I67" s="442">
        <f>I33</f>
        <v>249.02</v>
      </c>
    </row>
    <row r="68" spans="1:9" ht="12.75">
      <c r="A68" s="392" t="s">
        <v>46</v>
      </c>
      <c r="B68" s="191" t="s">
        <v>47</v>
      </c>
      <c r="C68" s="191"/>
      <c r="D68" s="191"/>
      <c r="E68" s="191"/>
      <c r="F68" s="191"/>
      <c r="G68" s="191"/>
      <c r="H68" s="191"/>
      <c r="I68" s="442">
        <f>I44</f>
        <v>898.68</v>
      </c>
    </row>
    <row r="69" spans="1:9" ht="12.75">
      <c r="A69" s="392" t="s">
        <v>66</v>
      </c>
      <c r="B69" s="191" t="s">
        <v>67</v>
      </c>
      <c r="C69" s="191"/>
      <c r="D69" s="191"/>
      <c r="E69" s="191"/>
      <c r="F69" s="191"/>
      <c r="G69" s="191"/>
      <c r="H69" s="191"/>
      <c r="I69" s="442">
        <f>I61</f>
        <v>626.64</v>
      </c>
    </row>
    <row r="70" spans="1:9" ht="12.75">
      <c r="A70" s="403" t="s">
        <v>44</v>
      </c>
      <c r="B70" s="403"/>
      <c r="C70" s="403"/>
      <c r="D70" s="403"/>
      <c r="E70" s="403"/>
      <c r="F70" s="403"/>
      <c r="G70" s="403"/>
      <c r="H70" s="403"/>
      <c r="I70" s="496">
        <f>SUM(I67+I68+I69)</f>
        <v>1774.3400000000001</v>
      </c>
    </row>
    <row r="71" spans="1:9" ht="12.75">
      <c r="A71" s="450"/>
      <c r="B71" s="450"/>
      <c r="C71" s="450"/>
      <c r="D71" s="450"/>
      <c r="E71" s="450"/>
      <c r="F71" s="450"/>
      <c r="G71" s="450"/>
      <c r="H71" s="450"/>
      <c r="I71" s="450"/>
    </row>
    <row r="72" spans="1:9" ht="12.75">
      <c r="A72" s="405" t="s">
        <v>84</v>
      </c>
      <c r="B72" s="405"/>
      <c r="C72" s="405"/>
      <c r="D72" s="405"/>
      <c r="E72" s="405"/>
      <c r="F72" s="405"/>
      <c r="G72" s="405"/>
      <c r="H72" s="405"/>
      <c r="I72" s="405"/>
    </row>
    <row r="73" spans="1:9" ht="12.75">
      <c r="A73" s="426">
        <v>3</v>
      </c>
      <c r="B73" s="426" t="s">
        <v>85</v>
      </c>
      <c r="C73" s="426"/>
      <c r="D73" s="426"/>
      <c r="E73" s="426"/>
      <c r="F73" s="426"/>
      <c r="G73" s="426"/>
      <c r="H73" s="426"/>
      <c r="I73" s="426" t="s">
        <v>86</v>
      </c>
    </row>
    <row r="74" spans="1:9" ht="56.25" customHeight="1">
      <c r="A74" s="407" t="s">
        <v>7</v>
      </c>
      <c r="B74" s="191" t="s">
        <v>87</v>
      </c>
      <c r="C74" s="191"/>
      <c r="D74" s="191"/>
      <c r="E74" s="191"/>
      <c r="F74" s="191"/>
      <c r="G74" s="191"/>
      <c r="H74" s="191"/>
      <c r="I74" s="444">
        <f>ROUND((($I$26/12)+($I$31/12)+($I$26*0.121/12))*(30/30)*0.05,2)</f>
        <v>11</v>
      </c>
    </row>
    <row r="75" spans="1:9" ht="12.75">
      <c r="A75" s="407" t="s">
        <v>10</v>
      </c>
      <c r="B75" s="405" t="s">
        <v>88</v>
      </c>
      <c r="C75" s="405"/>
      <c r="D75" s="405"/>
      <c r="E75" s="405"/>
      <c r="F75" s="405"/>
      <c r="G75" s="405"/>
      <c r="H75" s="405"/>
      <c r="I75" s="444">
        <f>ROUND($I$74*H43,2)</f>
        <v>0.88</v>
      </c>
    </row>
    <row r="76" spans="1:9" ht="42" customHeight="1">
      <c r="A76" s="407" t="s">
        <v>13</v>
      </c>
      <c r="B76" s="191" t="s">
        <v>89</v>
      </c>
      <c r="C76" s="191"/>
      <c r="D76" s="191"/>
      <c r="E76" s="191"/>
      <c r="F76" s="191"/>
      <c r="G76" s="191"/>
      <c r="H76" s="191"/>
      <c r="I76" s="444">
        <f>ROUND(((($I$26/30)*7)/$H$9)*(30/30),2)</f>
        <v>42.64</v>
      </c>
    </row>
    <row r="77" spans="1:9" ht="12.75">
      <c r="A77" s="407" t="s">
        <v>16</v>
      </c>
      <c r="B77" s="405" t="s">
        <v>90</v>
      </c>
      <c r="C77" s="405"/>
      <c r="D77" s="405"/>
      <c r="E77" s="405"/>
      <c r="F77" s="405"/>
      <c r="G77" s="405"/>
      <c r="H77" s="405"/>
      <c r="I77" s="444">
        <f>ROUND($H$44*I76,2)</f>
        <v>15.69</v>
      </c>
    </row>
    <row r="78" spans="1:9" ht="27" customHeight="1">
      <c r="A78" s="407" t="s">
        <v>56</v>
      </c>
      <c r="B78" s="191" t="s">
        <v>91</v>
      </c>
      <c r="C78" s="191"/>
      <c r="D78" s="191"/>
      <c r="E78" s="191"/>
      <c r="F78" s="191"/>
      <c r="G78" s="191"/>
      <c r="H78" s="451">
        <v>0.04</v>
      </c>
      <c r="I78" s="444">
        <f>ROUND($I$26*H78,2)</f>
        <v>87.72</v>
      </c>
    </row>
    <row r="79" spans="1:9" ht="12.75">
      <c r="A79" s="413" t="s">
        <v>44</v>
      </c>
      <c r="B79" s="413"/>
      <c r="C79" s="413"/>
      <c r="D79" s="413"/>
      <c r="E79" s="413"/>
      <c r="F79" s="413"/>
      <c r="G79" s="413"/>
      <c r="H79" s="413"/>
      <c r="I79" s="445">
        <f>SUM(I74:I78)</f>
        <v>157.93</v>
      </c>
    </row>
    <row r="80" spans="1:9" s="159" customFormat="1" ht="57" customHeight="1">
      <c r="A80" s="238" t="s">
        <v>92</v>
      </c>
      <c r="B80" s="253"/>
      <c r="C80" s="253"/>
      <c r="D80" s="253"/>
      <c r="E80" s="253"/>
      <c r="F80" s="253"/>
      <c r="G80" s="253"/>
      <c r="H80" s="253"/>
      <c r="I80" s="253"/>
    </row>
    <row r="81" spans="1:9" ht="12.75">
      <c r="A81" s="426"/>
      <c r="B81" s="426"/>
      <c r="C81" s="426"/>
      <c r="D81" s="426"/>
      <c r="E81" s="426"/>
      <c r="F81" s="426"/>
      <c r="G81" s="426"/>
      <c r="H81" s="426"/>
      <c r="I81" s="426"/>
    </row>
    <row r="82" spans="1:9" ht="12.75">
      <c r="A82" s="191" t="s">
        <v>93</v>
      </c>
      <c r="B82" s="191"/>
      <c r="C82" s="191"/>
      <c r="D82" s="191"/>
      <c r="E82" s="191"/>
      <c r="F82" s="191"/>
      <c r="G82" s="191"/>
      <c r="H82" s="191"/>
      <c r="I82" s="191"/>
    </row>
    <row r="83" spans="1:9" ht="30" customHeight="1">
      <c r="A83" s="238" t="s">
        <v>94</v>
      </c>
      <c r="B83" s="238"/>
      <c r="C83" s="238"/>
      <c r="D83" s="238"/>
      <c r="E83" s="238"/>
      <c r="F83" s="238"/>
      <c r="G83" s="238"/>
      <c r="H83" s="238"/>
      <c r="I83" s="238"/>
    </row>
    <row r="84" spans="1:9" ht="53.25" customHeight="1">
      <c r="A84" s="452" t="s">
        <v>95</v>
      </c>
      <c r="B84" s="452"/>
      <c r="C84" s="452"/>
      <c r="D84" s="452"/>
      <c r="E84" s="452"/>
      <c r="F84" s="452"/>
      <c r="G84" s="452"/>
      <c r="H84" s="452"/>
      <c r="I84" s="452"/>
    </row>
    <row r="85" spans="1:9" ht="12.75">
      <c r="A85" s="453"/>
      <c r="B85" s="453"/>
      <c r="C85" s="453"/>
      <c r="D85" s="453"/>
      <c r="E85" s="453"/>
      <c r="F85" s="453"/>
      <c r="G85" s="453"/>
      <c r="H85" s="453"/>
      <c r="I85" s="453"/>
    </row>
    <row r="86" spans="1:9" ht="38.25">
      <c r="A86" s="454" t="s">
        <v>96</v>
      </c>
      <c r="B86" s="455">
        <f>I26</f>
        <v>2193.07</v>
      </c>
      <c r="C86" s="456"/>
      <c r="D86" s="454" t="s">
        <v>97</v>
      </c>
      <c r="E86" s="455">
        <f>I70-I50-I55+I90</f>
        <v>1439.38</v>
      </c>
      <c r="F86" s="457"/>
      <c r="G86" s="454" t="s">
        <v>98</v>
      </c>
      <c r="H86" s="455">
        <f>I79</f>
        <v>157.93</v>
      </c>
      <c r="I86" s="497">
        <f>B86+E86+H86</f>
        <v>3790.38</v>
      </c>
    </row>
    <row r="87" spans="1:9" ht="12.75">
      <c r="A87" s="458"/>
      <c r="B87" s="458"/>
      <c r="C87" s="458"/>
      <c r="D87" s="458"/>
      <c r="E87" s="458"/>
      <c r="F87" s="458"/>
      <c r="G87" s="458"/>
      <c r="H87" s="458"/>
      <c r="I87" s="458"/>
    </row>
    <row r="88" spans="1:9" ht="12.75">
      <c r="A88" s="191" t="s">
        <v>99</v>
      </c>
      <c r="B88" s="191"/>
      <c r="C88" s="191"/>
      <c r="D88" s="191"/>
      <c r="E88" s="191"/>
      <c r="F88" s="191"/>
      <c r="G88" s="191"/>
      <c r="H88" s="191"/>
      <c r="I88" s="191"/>
    </row>
    <row r="89" spans="1:9" ht="12.75">
      <c r="A89" s="459" t="s">
        <v>100</v>
      </c>
      <c r="B89" s="426" t="s">
        <v>101</v>
      </c>
      <c r="C89" s="426"/>
      <c r="D89" s="426"/>
      <c r="E89" s="426"/>
      <c r="F89" s="426"/>
      <c r="G89" s="426"/>
      <c r="H89" s="426"/>
      <c r="I89" s="459" t="s">
        <v>41</v>
      </c>
    </row>
    <row r="90" spans="1:9" ht="57.75" customHeight="1">
      <c r="A90" s="407" t="s">
        <v>7</v>
      </c>
      <c r="B90" s="460" t="s">
        <v>102</v>
      </c>
      <c r="C90" s="461"/>
      <c r="D90" s="461"/>
      <c r="E90" s="461"/>
      <c r="F90" s="462"/>
      <c r="G90" s="463">
        <v>0.09075</v>
      </c>
      <c r="H90" s="464">
        <f>H44</f>
        <v>0.36800000000000005</v>
      </c>
      <c r="I90" s="444">
        <f>ROUND($B$86*G90+$B$86*G90*H90,2)</f>
        <v>272.26</v>
      </c>
    </row>
    <row r="91" spans="1:9" ht="15" customHeight="1">
      <c r="A91" s="407" t="s">
        <v>10</v>
      </c>
      <c r="B91" s="465" t="s">
        <v>103</v>
      </c>
      <c r="C91" s="466"/>
      <c r="D91" s="466"/>
      <c r="E91" s="466"/>
      <c r="F91" s="466"/>
      <c r="G91" s="466"/>
      <c r="H91" s="467"/>
      <c r="I91" s="444">
        <f>ROUND((($I$86/30)*1)/12,2)</f>
        <v>10.53</v>
      </c>
    </row>
    <row r="92" spans="1:9" ht="28.5" customHeight="1">
      <c r="A92" s="407" t="s">
        <v>13</v>
      </c>
      <c r="B92" s="465" t="s">
        <v>104</v>
      </c>
      <c r="C92" s="466"/>
      <c r="D92" s="466"/>
      <c r="E92" s="466"/>
      <c r="F92" s="466"/>
      <c r="G92" s="466"/>
      <c r="H92" s="467"/>
      <c r="I92" s="444">
        <f>ROUND((($I$86/30)*5)/12*0.015,2)</f>
        <v>0.79</v>
      </c>
    </row>
    <row r="93" spans="1:9" ht="27" customHeight="1">
      <c r="A93" s="407" t="s">
        <v>16</v>
      </c>
      <c r="B93" s="465" t="s">
        <v>105</v>
      </c>
      <c r="C93" s="466"/>
      <c r="D93" s="466"/>
      <c r="E93" s="466"/>
      <c r="F93" s="466"/>
      <c r="G93" s="466"/>
      <c r="H93" s="467"/>
      <c r="I93" s="444">
        <f>ROUND((($I$86/30)*0.97)/12,2)</f>
        <v>10.21</v>
      </c>
    </row>
    <row r="94" spans="1:9" ht="92.25" customHeight="1">
      <c r="A94" s="468" t="s">
        <v>56</v>
      </c>
      <c r="B94" s="427" t="s">
        <v>106</v>
      </c>
      <c r="C94" s="469"/>
      <c r="D94" s="469"/>
      <c r="E94" s="469"/>
      <c r="F94" s="469"/>
      <c r="G94" s="469"/>
      <c r="H94" s="470"/>
      <c r="I94" s="447">
        <f>ROUND(((((B86*0.121)+(H44)*(B86*0.121))*(4/12)))*0.02,2)+ROUND(((H43*B86+H44*I31+I61-I50-I55+I79)*4/12)*0.02,2)</f>
        <v>5.22</v>
      </c>
    </row>
    <row r="95" spans="1:9" ht="30" customHeight="1">
      <c r="A95" s="471" t="s">
        <v>58</v>
      </c>
      <c r="B95" s="465" t="s">
        <v>107</v>
      </c>
      <c r="C95" s="466"/>
      <c r="D95" s="466"/>
      <c r="E95" s="466"/>
      <c r="F95" s="466"/>
      <c r="G95" s="466"/>
      <c r="H95" s="467"/>
      <c r="I95" s="444">
        <f>ROUND(((($I$86/30)*3)/12),2)</f>
        <v>31.59</v>
      </c>
    </row>
    <row r="96" spans="1:9" ht="12.75">
      <c r="A96" s="413" t="s">
        <v>44</v>
      </c>
      <c r="B96" s="413"/>
      <c r="C96" s="413"/>
      <c r="D96" s="413"/>
      <c r="E96" s="413"/>
      <c r="F96" s="413"/>
      <c r="G96" s="413"/>
      <c r="H96" s="413"/>
      <c r="I96" s="498">
        <f>SUM(I90:I95)</f>
        <v>330.59999999999997</v>
      </c>
    </row>
    <row r="97" spans="1:9" ht="7.5" customHeight="1">
      <c r="A97" s="472"/>
      <c r="B97" s="473"/>
      <c r="C97" s="473"/>
      <c r="D97" s="473"/>
      <c r="E97" s="473"/>
      <c r="F97" s="473"/>
      <c r="G97" s="473"/>
      <c r="H97" s="473"/>
      <c r="I97" s="499"/>
    </row>
    <row r="98" spans="1:9" ht="12.75">
      <c r="A98" s="465" t="s">
        <v>108</v>
      </c>
      <c r="B98" s="466"/>
      <c r="C98" s="466"/>
      <c r="D98" s="466"/>
      <c r="E98" s="466"/>
      <c r="F98" s="466"/>
      <c r="G98" s="466"/>
      <c r="H98" s="466"/>
      <c r="I98" s="467"/>
    </row>
    <row r="99" spans="1:9" ht="12.75">
      <c r="A99" s="400">
        <v>4</v>
      </c>
      <c r="B99" s="414" t="s">
        <v>109</v>
      </c>
      <c r="C99" s="474"/>
      <c r="D99" s="474"/>
      <c r="E99" s="474"/>
      <c r="F99" s="474"/>
      <c r="G99" s="474"/>
      <c r="H99" s="475"/>
      <c r="I99" s="500" t="s">
        <v>41</v>
      </c>
    </row>
    <row r="100" spans="1:9" ht="12.75">
      <c r="A100" s="392" t="s">
        <v>100</v>
      </c>
      <c r="B100" s="476" t="s">
        <v>101</v>
      </c>
      <c r="C100" s="477"/>
      <c r="D100" s="477"/>
      <c r="E100" s="477"/>
      <c r="F100" s="477"/>
      <c r="G100" s="477"/>
      <c r="H100" s="478"/>
      <c r="I100" s="444">
        <f>I96</f>
        <v>330.59999999999997</v>
      </c>
    </row>
    <row r="101" spans="1:9" ht="12.75">
      <c r="A101" s="479" t="s">
        <v>44</v>
      </c>
      <c r="B101" s="480"/>
      <c r="C101" s="480"/>
      <c r="D101" s="480"/>
      <c r="E101" s="480"/>
      <c r="F101" s="480"/>
      <c r="G101" s="480"/>
      <c r="H101" s="481"/>
      <c r="I101" s="445">
        <f>I100</f>
        <v>330.59999999999997</v>
      </c>
    </row>
    <row r="102" spans="1:9" ht="12.75">
      <c r="A102" s="482"/>
      <c r="B102" s="482"/>
      <c r="C102" s="482"/>
      <c r="D102" s="482"/>
      <c r="E102" s="482"/>
      <c r="F102" s="482"/>
      <c r="G102" s="482"/>
      <c r="H102" s="482"/>
      <c r="I102" s="482"/>
    </row>
    <row r="103" spans="1:9" ht="12.75">
      <c r="A103" s="191" t="s">
        <v>110</v>
      </c>
      <c r="B103" s="191"/>
      <c r="C103" s="191"/>
      <c r="D103" s="191"/>
      <c r="E103" s="191"/>
      <c r="F103" s="191"/>
      <c r="G103" s="191"/>
      <c r="H103" s="191"/>
      <c r="I103" s="191"/>
    </row>
    <row r="104" spans="1:9" ht="12.75">
      <c r="A104" s="426">
        <v>5</v>
      </c>
      <c r="B104" s="400" t="s">
        <v>111</v>
      </c>
      <c r="C104" s="400"/>
      <c r="D104" s="400"/>
      <c r="E104" s="400"/>
      <c r="F104" s="400"/>
      <c r="G104" s="400"/>
      <c r="H104" s="400"/>
      <c r="I104" s="426" t="s">
        <v>41</v>
      </c>
    </row>
    <row r="105" spans="1:9" ht="12.75">
      <c r="A105" s="407" t="s">
        <v>7</v>
      </c>
      <c r="B105" s="387" t="s">
        <v>112</v>
      </c>
      <c r="C105" s="387"/>
      <c r="D105" s="387"/>
      <c r="E105" s="387"/>
      <c r="F105" s="387"/>
      <c r="G105" s="387"/>
      <c r="H105" s="387"/>
      <c r="I105" s="501">
        <f>'INSUMOS IFRS'!F114</f>
        <v>70.96499999999999</v>
      </c>
    </row>
    <row r="106" spans="1:9" ht="12.75">
      <c r="A106" s="413" t="s">
        <v>36</v>
      </c>
      <c r="B106" s="413"/>
      <c r="C106" s="413"/>
      <c r="D106" s="413"/>
      <c r="E106" s="413"/>
      <c r="F106" s="413"/>
      <c r="G106" s="413"/>
      <c r="H106" s="413"/>
      <c r="I106" s="496">
        <f>SUM(I105:I105)</f>
        <v>70.96499999999999</v>
      </c>
    </row>
    <row r="107" spans="1:9" ht="12.75">
      <c r="A107" s="393"/>
      <c r="B107" s="393"/>
      <c r="C107" s="393"/>
      <c r="D107" s="393"/>
      <c r="E107" s="393"/>
      <c r="F107" s="393"/>
      <c r="G107" s="393"/>
      <c r="H107" s="393"/>
      <c r="I107" s="393"/>
    </row>
    <row r="108" spans="1:9" ht="12.75">
      <c r="A108" s="405" t="s">
        <v>113</v>
      </c>
      <c r="B108" s="405"/>
      <c r="C108" s="405"/>
      <c r="D108" s="405"/>
      <c r="E108" s="405"/>
      <c r="F108" s="405"/>
      <c r="G108" s="405"/>
      <c r="H108" s="405"/>
      <c r="I108" s="405"/>
    </row>
    <row r="109" spans="1:9" ht="25.5">
      <c r="A109" s="426">
        <v>6</v>
      </c>
      <c r="B109" s="426" t="s">
        <v>114</v>
      </c>
      <c r="C109" s="426"/>
      <c r="D109" s="426"/>
      <c r="E109" s="426"/>
      <c r="F109" s="426"/>
      <c r="G109" s="426"/>
      <c r="H109" s="400" t="s">
        <v>48</v>
      </c>
      <c r="I109" s="502" t="s">
        <v>115</v>
      </c>
    </row>
    <row r="110" spans="1:9" ht="51" customHeight="1">
      <c r="A110" s="483" t="s">
        <v>116</v>
      </c>
      <c r="B110" s="483"/>
      <c r="C110" s="483"/>
      <c r="D110" s="483"/>
      <c r="E110" s="483"/>
      <c r="F110" s="483"/>
      <c r="G110" s="483"/>
      <c r="H110" s="484" t="s">
        <v>70</v>
      </c>
      <c r="I110" s="503">
        <f>SUM(I26+I70+I79+I101+I106)</f>
        <v>4526.905000000001</v>
      </c>
    </row>
    <row r="111" spans="1:9" ht="12.75">
      <c r="A111" s="407" t="s">
        <v>7</v>
      </c>
      <c r="B111" s="485" t="s">
        <v>117</v>
      </c>
      <c r="C111" s="485"/>
      <c r="D111" s="485"/>
      <c r="E111" s="485"/>
      <c r="F111" s="485"/>
      <c r="G111" s="485"/>
      <c r="H111" s="417">
        <v>0.03</v>
      </c>
      <c r="I111" s="444">
        <f>ROUND(H111*I110,2)</f>
        <v>135.81</v>
      </c>
    </row>
    <row r="112" spans="1:9" ht="51" customHeight="1">
      <c r="A112" s="483" t="s">
        <v>118</v>
      </c>
      <c r="B112" s="483"/>
      <c r="C112" s="483"/>
      <c r="D112" s="483"/>
      <c r="E112" s="483"/>
      <c r="F112" s="483"/>
      <c r="G112" s="483"/>
      <c r="H112" s="486" t="s">
        <v>70</v>
      </c>
      <c r="I112" s="503">
        <f>SUM(I26+I70+I79+I101+I106+I111)</f>
        <v>4662.715000000001</v>
      </c>
    </row>
    <row r="113" spans="1:9" ht="12.75">
      <c r="A113" s="407" t="s">
        <v>10</v>
      </c>
      <c r="B113" s="485" t="s">
        <v>119</v>
      </c>
      <c r="C113" s="485"/>
      <c r="D113" s="485"/>
      <c r="E113" s="485"/>
      <c r="F113" s="485"/>
      <c r="G113" s="485"/>
      <c r="H113" s="417">
        <v>0.0679</v>
      </c>
      <c r="I113" s="444">
        <f>ROUND(H113*I112,2)</f>
        <v>316.6</v>
      </c>
    </row>
    <row r="114" spans="1:9" ht="51" customHeight="1">
      <c r="A114" s="483" t="s">
        <v>120</v>
      </c>
      <c r="B114" s="483"/>
      <c r="C114" s="483"/>
      <c r="D114" s="483"/>
      <c r="E114" s="483"/>
      <c r="F114" s="483"/>
      <c r="G114" s="483"/>
      <c r="H114" s="486" t="s">
        <v>70</v>
      </c>
      <c r="I114" s="503">
        <f>SUM(I110+I111+I113)</f>
        <v>4979.315000000001</v>
      </c>
    </row>
    <row r="115" spans="1:9" ht="12.75">
      <c r="A115" s="407" t="s">
        <v>13</v>
      </c>
      <c r="B115" s="485" t="s">
        <v>121</v>
      </c>
      <c r="C115" s="485"/>
      <c r="D115" s="485"/>
      <c r="E115" s="485"/>
      <c r="F115" s="485"/>
      <c r="G115" s="485"/>
      <c r="H115" s="487" t="s">
        <v>70</v>
      </c>
      <c r="I115" s="504" t="s">
        <v>70</v>
      </c>
    </row>
    <row r="116" spans="1:9" ht="12.75">
      <c r="A116" s="407"/>
      <c r="B116" s="485" t="s">
        <v>122</v>
      </c>
      <c r="C116" s="485"/>
      <c r="D116" s="485"/>
      <c r="E116" s="485"/>
      <c r="F116" s="485"/>
      <c r="G116" s="485"/>
      <c r="H116" s="487" t="s">
        <v>70</v>
      </c>
      <c r="I116" s="504" t="s">
        <v>70</v>
      </c>
    </row>
    <row r="117" spans="1:9" ht="37.5" customHeight="1">
      <c r="A117" s="407"/>
      <c r="B117" s="488" t="s">
        <v>123</v>
      </c>
      <c r="C117" s="488"/>
      <c r="D117" s="488"/>
      <c r="E117" s="488"/>
      <c r="F117" s="488"/>
      <c r="G117" s="488"/>
      <c r="H117" s="489">
        <v>0.076</v>
      </c>
      <c r="I117" s="444">
        <f>ROUND(($I$114/(1-$H$126))*H117,2)</f>
        <v>441.32</v>
      </c>
    </row>
    <row r="118" spans="1:9" ht="37.5" customHeight="1">
      <c r="A118" s="407"/>
      <c r="B118" s="488" t="s">
        <v>124</v>
      </c>
      <c r="C118" s="488"/>
      <c r="D118" s="488"/>
      <c r="E118" s="488"/>
      <c r="F118" s="488"/>
      <c r="G118" s="488"/>
      <c r="H118" s="489">
        <v>0.0165</v>
      </c>
      <c r="I118" s="444">
        <f>ROUND(($I$114/(1-$H$126))*H118,2)</f>
        <v>95.81</v>
      </c>
    </row>
    <row r="119" spans="1:9" ht="30.75" customHeight="1">
      <c r="A119" s="407"/>
      <c r="B119" s="408" t="s">
        <v>125</v>
      </c>
      <c r="C119" s="408"/>
      <c r="D119" s="408"/>
      <c r="E119" s="408"/>
      <c r="F119" s="408"/>
      <c r="G119" s="408"/>
      <c r="H119" s="490" t="s">
        <v>70</v>
      </c>
      <c r="I119" s="504" t="s">
        <v>70</v>
      </c>
    </row>
    <row r="120" spans="1:9" ht="30.75" customHeight="1">
      <c r="A120" s="407"/>
      <c r="B120" s="408" t="s">
        <v>126</v>
      </c>
      <c r="C120" s="408"/>
      <c r="D120" s="408"/>
      <c r="E120" s="408"/>
      <c r="F120" s="408"/>
      <c r="G120" s="408"/>
      <c r="H120" s="490" t="s">
        <v>70</v>
      </c>
      <c r="I120" s="504" t="s">
        <v>70</v>
      </c>
    </row>
    <row r="121" spans="1:9" ht="12.75">
      <c r="A121" s="407"/>
      <c r="B121" s="491" t="s">
        <v>127</v>
      </c>
      <c r="C121" s="491"/>
      <c r="D121" s="491"/>
      <c r="E121" s="491"/>
      <c r="F121" s="491"/>
      <c r="G121" s="491"/>
      <c r="H121" s="490" t="s">
        <v>70</v>
      </c>
      <c r="I121" s="504" t="s">
        <v>70</v>
      </c>
    </row>
    <row r="122" spans="1:9" ht="12.75">
      <c r="A122" s="407"/>
      <c r="B122" s="465" t="s">
        <v>128</v>
      </c>
      <c r="C122" s="465"/>
      <c r="D122" s="465"/>
      <c r="E122" s="465"/>
      <c r="F122" s="465"/>
      <c r="G122" s="465"/>
      <c r="H122" s="490" t="s">
        <v>70</v>
      </c>
      <c r="I122" s="504" t="s">
        <v>70</v>
      </c>
    </row>
    <row r="123" spans="1:9" ht="12.75">
      <c r="A123" s="407"/>
      <c r="B123" s="488" t="s">
        <v>129</v>
      </c>
      <c r="C123" s="488"/>
      <c r="D123" s="488"/>
      <c r="E123" s="488"/>
      <c r="F123" s="488"/>
      <c r="G123" s="488"/>
      <c r="H123" s="489">
        <v>0.05</v>
      </c>
      <c r="I123" s="444">
        <f>ROUND(($I$114/(1-$H$126))*H123,2)</f>
        <v>290.34</v>
      </c>
    </row>
    <row r="124" spans="1:9" ht="12.75">
      <c r="A124" s="413" t="s">
        <v>44</v>
      </c>
      <c r="B124" s="413"/>
      <c r="C124" s="413"/>
      <c r="D124" s="413"/>
      <c r="E124" s="413"/>
      <c r="F124" s="413"/>
      <c r="G124" s="413"/>
      <c r="H124" s="413"/>
      <c r="I124" s="445">
        <f>SUM(I111+I113+I117+I118+I123)</f>
        <v>1279.8799999999999</v>
      </c>
    </row>
    <row r="125" spans="1:9" ht="12.75">
      <c r="A125" s="482"/>
      <c r="B125" s="482"/>
      <c r="C125" s="482"/>
      <c r="D125" s="482"/>
      <c r="E125" s="482"/>
      <c r="F125" s="482"/>
      <c r="G125" s="482"/>
      <c r="H125" s="482"/>
      <c r="I125" s="482"/>
    </row>
    <row r="126" spans="1:9" ht="12.75">
      <c r="A126" s="492" t="s">
        <v>130</v>
      </c>
      <c r="B126" s="492"/>
      <c r="C126" s="492"/>
      <c r="D126" s="492"/>
      <c r="E126" s="492"/>
      <c r="F126" s="492"/>
      <c r="G126" s="492"/>
      <c r="H126" s="493">
        <f>SUM(H117:H123)</f>
        <v>0.14250000000000002</v>
      </c>
      <c r="I126" s="505">
        <f>SUM(I117:I123)</f>
        <v>827.47</v>
      </c>
    </row>
    <row r="127" spans="1:9" ht="12.75">
      <c r="A127" s="494" t="s">
        <v>131</v>
      </c>
      <c r="B127" s="494"/>
      <c r="C127" s="495" t="s">
        <v>132</v>
      </c>
      <c r="D127" s="495"/>
      <c r="E127" s="495"/>
      <c r="F127" s="495"/>
      <c r="G127" s="495"/>
      <c r="H127" s="495"/>
      <c r="I127" s="495"/>
    </row>
    <row r="128" spans="1:9" ht="12.75">
      <c r="A128" s="494"/>
      <c r="B128" s="494"/>
      <c r="C128" s="495" t="s">
        <v>133</v>
      </c>
      <c r="D128" s="495"/>
      <c r="E128" s="495"/>
      <c r="F128" s="495"/>
      <c r="G128" s="495"/>
      <c r="H128" s="495"/>
      <c r="I128" s="495"/>
    </row>
    <row r="129" spans="1:9" ht="12.75">
      <c r="A129" s="494"/>
      <c r="B129" s="494"/>
      <c r="C129" s="506" t="s">
        <v>134</v>
      </c>
      <c r="D129" s="506"/>
      <c r="E129" s="506"/>
      <c r="F129" s="506"/>
      <c r="G129" s="506"/>
      <c r="H129" s="506"/>
      <c r="I129" s="506"/>
    </row>
    <row r="130" spans="1:9" ht="12.75">
      <c r="A130" s="507"/>
      <c r="B130" s="507"/>
      <c r="C130" s="507"/>
      <c r="D130" s="507"/>
      <c r="E130" s="507"/>
      <c r="F130" s="507"/>
      <c r="G130" s="507"/>
      <c r="H130" s="507"/>
      <c r="I130" s="507"/>
    </row>
    <row r="131" spans="1:9" ht="27.75" customHeight="1">
      <c r="A131" s="196" t="s">
        <v>135</v>
      </c>
      <c r="B131" s="196"/>
      <c r="C131" s="196"/>
      <c r="D131" s="196"/>
      <c r="E131" s="196"/>
      <c r="F131" s="196"/>
      <c r="G131" s="196"/>
      <c r="H131" s="196"/>
      <c r="I131" s="196"/>
    </row>
    <row r="132" spans="1:9" ht="12.75">
      <c r="A132" s="482"/>
      <c r="B132" s="482"/>
      <c r="C132" s="482"/>
      <c r="D132" s="482"/>
      <c r="E132" s="482"/>
      <c r="F132" s="482"/>
      <c r="G132" s="482"/>
      <c r="H132" s="482"/>
      <c r="I132" s="482"/>
    </row>
    <row r="133" spans="1:9" ht="12.75">
      <c r="A133" s="508" t="s">
        <v>136</v>
      </c>
      <c r="B133" s="508"/>
      <c r="C133" s="508"/>
      <c r="D133" s="508"/>
      <c r="E133" s="508"/>
      <c r="F133" s="508"/>
      <c r="G133" s="508"/>
      <c r="H133" s="508"/>
      <c r="I133" s="508"/>
    </row>
    <row r="134" spans="1:9" ht="12.75">
      <c r="A134" s="389" t="s">
        <v>137</v>
      </c>
      <c r="B134" s="389"/>
      <c r="C134" s="389"/>
      <c r="D134" s="389"/>
      <c r="E134" s="389"/>
      <c r="F134" s="389"/>
      <c r="G134" s="389"/>
      <c r="H134" s="389"/>
      <c r="I134" s="400" t="s">
        <v>41</v>
      </c>
    </row>
    <row r="135" spans="1:9" ht="12.75">
      <c r="A135" s="509" t="s">
        <v>7</v>
      </c>
      <c r="B135" s="469" t="s">
        <v>138</v>
      </c>
      <c r="C135" s="469"/>
      <c r="D135" s="469"/>
      <c r="E135" s="469"/>
      <c r="F135" s="469"/>
      <c r="G135" s="469"/>
      <c r="H135" s="469"/>
      <c r="I135" s="449">
        <f>I26</f>
        <v>2193.07</v>
      </c>
    </row>
    <row r="136" spans="1:9" ht="12.75">
      <c r="A136" s="509" t="s">
        <v>10</v>
      </c>
      <c r="B136" s="469" t="s">
        <v>37</v>
      </c>
      <c r="C136" s="469"/>
      <c r="D136" s="469"/>
      <c r="E136" s="469"/>
      <c r="F136" s="469"/>
      <c r="G136" s="469"/>
      <c r="H136" s="469"/>
      <c r="I136" s="449">
        <f>I70</f>
        <v>1774.3400000000001</v>
      </c>
    </row>
    <row r="137" spans="1:9" ht="12.75">
      <c r="A137" s="509" t="s">
        <v>13</v>
      </c>
      <c r="B137" s="469" t="s">
        <v>139</v>
      </c>
      <c r="C137" s="469"/>
      <c r="D137" s="469"/>
      <c r="E137" s="469"/>
      <c r="F137" s="469"/>
      <c r="G137" s="469"/>
      <c r="H137" s="469"/>
      <c r="I137" s="449">
        <f>I79</f>
        <v>157.93</v>
      </c>
    </row>
    <row r="138" spans="1:9" ht="12.75">
      <c r="A138" s="509" t="s">
        <v>16</v>
      </c>
      <c r="B138" s="469" t="s">
        <v>140</v>
      </c>
      <c r="C138" s="469"/>
      <c r="D138" s="469"/>
      <c r="E138" s="469"/>
      <c r="F138" s="469"/>
      <c r="G138" s="469"/>
      <c r="H138" s="469"/>
      <c r="I138" s="449">
        <f>I101</f>
        <v>330.59999999999997</v>
      </c>
    </row>
    <row r="139" spans="1:9" ht="12.75">
      <c r="A139" s="509" t="s">
        <v>56</v>
      </c>
      <c r="B139" s="469" t="s">
        <v>141</v>
      </c>
      <c r="C139" s="469"/>
      <c r="D139" s="469"/>
      <c r="E139" s="469"/>
      <c r="F139" s="469"/>
      <c r="G139" s="469"/>
      <c r="H139" s="469"/>
      <c r="I139" s="449">
        <f>I106</f>
        <v>70.96499999999999</v>
      </c>
    </row>
    <row r="140" spans="1:9" ht="12.75">
      <c r="A140" s="510" t="s">
        <v>142</v>
      </c>
      <c r="B140" s="510"/>
      <c r="C140" s="510"/>
      <c r="D140" s="510"/>
      <c r="E140" s="510"/>
      <c r="F140" s="510"/>
      <c r="G140" s="510"/>
      <c r="H140" s="510"/>
      <c r="I140" s="496">
        <f>SUM(I135:I139)</f>
        <v>4526.905000000001</v>
      </c>
    </row>
    <row r="141" spans="1:9" ht="12.75">
      <c r="A141" s="511" t="s">
        <v>58</v>
      </c>
      <c r="B141" s="469" t="s">
        <v>143</v>
      </c>
      <c r="C141" s="469"/>
      <c r="D141" s="469"/>
      <c r="E141" s="469"/>
      <c r="F141" s="469"/>
      <c r="G141" s="469"/>
      <c r="H141" s="469"/>
      <c r="I141" s="449">
        <f>I124</f>
        <v>1279.8799999999999</v>
      </c>
    </row>
    <row r="142" spans="1:9" ht="12.75">
      <c r="A142" s="510" t="s">
        <v>144</v>
      </c>
      <c r="B142" s="510"/>
      <c r="C142" s="510"/>
      <c r="D142" s="510"/>
      <c r="E142" s="510"/>
      <c r="F142" s="510"/>
      <c r="G142" s="510"/>
      <c r="H142" s="510"/>
      <c r="I142" s="496">
        <f>SUM(I140:I141)</f>
        <v>5806.785000000001</v>
      </c>
    </row>
    <row r="143" spans="1:9" ht="12.75">
      <c r="A143" s="512"/>
      <c r="B143" s="512"/>
      <c r="C143" s="512"/>
      <c r="D143" s="512"/>
      <c r="E143" s="512"/>
      <c r="F143" s="512"/>
      <c r="G143" s="512"/>
      <c r="H143" s="512"/>
      <c r="I143" s="512"/>
    </row>
    <row r="144" spans="1:9" ht="12.75">
      <c r="A144" s="513"/>
      <c r="B144" s="513"/>
      <c r="C144" s="513"/>
      <c r="D144" s="513"/>
      <c r="E144" s="513"/>
      <c r="F144" s="513"/>
      <c r="G144" s="513"/>
      <c r="H144" s="514"/>
      <c r="I144" s="526"/>
    </row>
    <row r="145" spans="1:9" ht="12.75">
      <c r="A145" s="515"/>
      <c r="B145" s="515"/>
      <c r="C145" s="515"/>
      <c r="D145" s="515"/>
      <c r="E145" s="515"/>
      <c r="F145" s="515"/>
      <c r="G145" s="515"/>
      <c r="H145" s="515"/>
      <c r="I145" s="515"/>
    </row>
    <row r="146" spans="1:9" ht="12.75">
      <c r="A146" s="516" t="s">
        <v>145</v>
      </c>
      <c r="B146" s="516"/>
      <c r="C146" s="516"/>
      <c r="D146" s="516"/>
      <c r="E146" s="516"/>
      <c r="F146" s="516"/>
      <c r="G146" s="516"/>
      <c r="H146" s="516"/>
      <c r="I146" s="516"/>
    </row>
    <row r="147" spans="1:9" ht="12.75">
      <c r="A147" s="517" t="s">
        <v>146</v>
      </c>
      <c r="B147" s="517"/>
      <c r="C147" s="517"/>
      <c r="D147" s="517"/>
      <c r="E147" s="517"/>
      <c r="F147" s="517"/>
      <c r="G147" s="517"/>
      <c r="H147" s="518" t="s">
        <v>147</v>
      </c>
      <c r="I147" s="518"/>
    </row>
    <row r="148" spans="1:9" ht="12.75">
      <c r="A148" s="517"/>
      <c r="B148" s="517"/>
      <c r="C148" s="517"/>
      <c r="D148" s="517"/>
      <c r="E148" s="517"/>
      <c r="F148" s="517"/>
      <c r="G148" s="517"/>
      <c r="H148" s="518"/>
      <c r="I148" s="518"/>
    </row>
    <row r="149" spans="1:9" ht="12.75">
      <c r="A149" s="519" t="s">
        <v>148</v>
      </c>
      <c r="B149" s="519"/>
      <c r="C149" s="519"/>
      <c r="D149" s="519"/>
      <c r="E149" s="519"/>
      <c r="F149" s="519"/>
      <c r="G149" s="519"/>
      <c r="H149" s="520">
        <v>1</v>
      </c>
      <c r="I149" s="520"/>
    </row>
    <row r="150" spans="1:9" ht="12.75">
      <c r="A150" s="521"/>
      <c r="B150" s="521"/>
      <c r="C150" s="521"/>
      <c r="D150" s="521"/>
      <c r="E150" s="521"/>
      <c r="F150" s="521"/>
      <c r="G150" s="521"/>
      <c r="H150" s="521"/>
      <c r="I150" s="521"/>
    </row>
    <row r="151" spans="1:9" ht="12.75">
      <c r="A151" s="522" t="s">
        <v>149</v>
      </c>
      <c r="B151" s="522"/>
      <c r="C151" s="522"/>
      <c r="D151" s="522"/>
      <c r="E151" s="522"/>
      <c r="F151" s="522"/>
      <c r="G151" s="523">
        <f>I142*H149</f>
        <v>5806.785000000001</v>
      </c>
      <c r="H151" s="523"/>
      <c r="I151" s="523"/>
    </row>
    <row r="152" spans="1:9" ht="12.75">
      <c r="A152" s="521"/>
      <c r="B152" s="521"/>
      <c r="C152" s="521"/>
      <c r="D152" s="521"/>
      <c r="E152" s="521"/>
      <c r="F152" s="521"/>
      <c r="G152" s="521"/>
      <c r="H152" s="521"/>
      <c r="I152" s="521"/>
    </row>
    <row r="153" spans="1:9" ht="12.75">
      <c r="A153" s="387" t="s">
        <v>150</v>
      </c>
      <c r="B153" s="387"/>
      <c r="C153" s="387"/>
      <c r="D153" s="387"/>
      <c r="E153" s="387"/>
      <c r="F153" s="387"/>
      <c r="G153" s="388">
        <f>H9</f>
        <v>12</v>
      </c>
      <c r="H153" s="388"/>
      <c r="I153" s="388"/>
    </row>
    <row r="154" spans="1:9" ht="12.75">
      <c r="A154" s="521"/>
      <c r="B154" s="521"/>
      <c r="C154" s="521"/>
      <c r="D154" s="521"/>
      <c r="E154" s="521"/>
      <c r="F154" s="521"/>
      <c r="G154" s="521"/>
      <c r="H154" s="521"/>
      <c r="I154" s="521"/>
    </row>
    <row r="155" spans="1:9" ht="12.75">
      <c r="A155" s="524" t="s">
        <v>151</v>
      </c>
      <c r="B155" s="524"/>
      <c r="C155" s="524"/>
      <c r="D155" s="524"/>
      <c r="E155" s="524"/>
      <c r="F155" s="524"/>
      <c r="G155" s="525">
        <f>G151*G153</f>
        <v>69681.42000000001</v>
      </c>
      <c r="H155" s="525"/>
      <c r="I155" s="525"/>
    </row>
  </sheetData>
  <sheetProtection/>
  <mergeCells count="168">
    <mergeCell ref="A1:I1"/>
    <mergeCell ref="A2:E2"/>
    <mergeCell ref="F2:I2"/>
    <mergeCell ref="A3:E3"/>
    <mergeCell ref="F3:I3"/>
    <mergeCell ref="A4:I4"/>
    <mergeCell ref="A5:I5"/>
    <mergeCell ref="B6:G6"/>
    <mergeCell ref="H6:I6"/>
    <mergeCell ref="B7:G7"/>
    <mergeCell ref="H7:I7"/>
    <mergeCell ref="B8:G8"/>
    <mergeCell ref="H8:I8"/>
    <mergeCell ref="B9:G9"/>
    <mergeCell ref="H9:I9"/>
    <mergeCell ref="A10:I10"/>
    <mergeCell ref="A11:I11"/>
    <mergeCell ref="A12:I12"/>
    <mergeCell ref="A13:I13"/>
    <mergeCell ref="A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A20:I20"/>
    <mergeCell ref="A21:I21"/>
    <mergeCell ref="B22:G22"/>
    <mergeCell ref="B23:H23"/>
    <mergeCell ref="B24:G24"/>
    <mergeCell ref="A25:I25"/>
    <mergeCell ref="A26:H26"/>
    <mergeCell ref="A27:I27"/>
    <mergeCell ref="A28:I28"/>
    <mergeCell ref="A29:I29"/>
    <mergeCell ref="B30:H30"/>
    <mergeCell ref="B31:G31"/>
    <mergeCell ref="B32:G32"/>
    <mergeCell ref="A33:H33"/>
    <mergeCell ref="A34:I34"/>
    <mergeCell ref="B35:G35"/>
    <mergeCell ref="B36:G36"/>
    <mergeCell ref="B37:G37"/>
    <mergeCell ref="B38:C38"/>
    <mergeCell ref="B39:G39"/>
    <mergeCell ref="B40:G40"/>
    <mergeCell ref="B41:G41"/>
    <mergeCell ref="B42:G42"/>
    <mergeCell ref="B43:G43"/>
    <mergeCell ref="A44:G44"/>
    <mergeCell ref="A46:I46"/>
    <mergeCell ref="A47:I47"/>
    <mergeCell ref="A48:I48"/>
    <mergeCell ref="B49:H49"/>
    <mergeCell ref="B50:H50"/>
    <mergeCell ref="B51:G51"/>
    <mergeCell ref="B52:G52"/>
    <mergeCell ref="B53:G53"/>
    <mergeCell ref="B54:G54"/>
    <mergeCell ref="B55:H55"/>
    <mergeCell ref="B56:G56"/>
    <mergeCell ref="B57:G57"/>
    <mergeCell ref="B58:G58"/>
    <mergeCell ref="B59:H59"/>
    <mergeCell ref="B60:H60"/>
    <mergeCell ref="B61:H61"/>
    <mergeCell ref="A62:I62"/>
    <mergeCell ref="A63:I63"/>
    <mergeCell ref="A64:I64"/>
    <mergeCell ref="A65:I65"/>
    <mergeCell ref="B66:H66"/>
    <mergeCell ref="B67:H67"/>
    <mergeCell ref="B68:H68"/>
    <mergeCell ref="B69:H69"/>
    <mergeCell ref="A70:H70"/>
    <mergeCell ref="A71:I71"/>
    <mergeCell ref="A72:I72"/>
    <mergeCell ref="B73:H73"/>
    <mergeCell ref="B74:H74"/>
    <mergeCell ref="B75:H75"/>
    <mergeCell ref="B76:H76"/>
    <mergeCell ref="B77:H77"/>
    <mergeCell ref="B78:G78"/>
    <mergeCell ref="A79:H79"/>
    <mergeCell ref="A80:I80"/>
    <mergeCell ref="A81:I81"/>
    <mergeCell ref="A82:I82"/>
    <mergeCell ref="A83:I83"/>
    <mergeCell ref="A84:I84"/>
    <mergeCell ref="A85:I85"/>
    <mergeCell ref="A87:I87"/>
    <mergeCell ref="A88:I88"/>
    <mergeCell ref="B89:H89"/>
    <mergeCell ref="B90:F90"/>
    <mergeCell ref="B91:H91"/>
    <mergeCell ref="B92:H92"/>
    <mergeCell ref="B93:H93"/>
    <mergeCell ref="B94:H94"/>
    <mergeCell ref="B95:H95"/>
    <mergeCell ref="A96:H96"/>
    <mergeCell ref="A97:I97"/>
    <mergeCell ref="A98:I98"/>
    <mergeCell ref="B99:H99"/>
    <mergeCell ref="B100:H100"/>
    <mergeCell ref="A101:H101"/>
    <mergeCell ref="A102:I102"/>
    <mergeCell ref="A103:I103"/>
    <mergeCell ref="B104:H104"/>
    <mergeCell ref="B105:H105"/>
    <mergeCell ref="A106:H106"/>
    <mergeCell ref="A107:I107"/>
    <mergeCell ref="A108:I108"/>
    <mergeCell ref="B109:G109"/>
    <mergeCell ref="A110:G110"/>
    <mergeCell ref="B111:G111"/>
    <mergeCell ref="A112:G112"/>
    <mergeCell ref="B113:G113"/>
    <mergeCell ref="A114:G114"/>
    <mergeCell ref="B115:G115"/>
    <mergeCell ref="B116:G116"/>
    <mergeCell ref="B117:G117"/>
    <mergeCell ref="B118:G118"/>
    <mergeCell ref="B119:G119"/>
    <mergeCell ref="B120:G120"/>
    <mergeCell ref="B121:G121"/>
    <mergeCell ref="B122:G122"/>
    <mergeCell ref="B123:G123"/>
    <mergeCell ref="A124:H124"/>
    <mergeCell ref="A125:I125"/>
    <mergeCell ref="A126:G126"/>
    <mergeCell ref="C127:I127"/>
    <mergeCell ref="C128:I128"/>
    <mergeCell ref="C129:I129"/>
    <mergeCell ref="A130:I130"/>
    <mergeCell ref="A131:I131"/>
    <mergeCell ref="A132:I132"/>
    <mergeCell ref="A133:I133"/>
    <mergeCell ref="A134:H134"/>
    <mergeCell ref="B135:H135"/>
    <mergeCell ref="B136:H136"/>
    <mergeCell ref="B137:H137"/>
    <mergeCell ref="B138:H138"/>
    <mergeCell ref="B139:H139"/>
    <mergeCell ref="A140:H140"/>
    <mergeCell ref="B141:H141"/>
    <mergeCell ref="A142:H142"/>
    <mergeCell ref="A143:I143"/>
    <mergeCell ref="A145:I145"/>
    <mergeCell ref="A146:I146"/>
    <mergeCell ref="A149:G149"/>
    <mergeCell ref="H149:I149"/>
    <mergeCell ref="A150:I150"/>
    <mergeCell ref="A151:F151"/>
    <mergeCell ref="G151:I151"/>
    <mergeCell ref="A152:I152"/>
    <mergeCell ref="A153:F153"/>
    <mergeCell ref="G153:I153"/>
    <mergeCell ref="A154:I154"/>
    <mergeCell ref="A155:F155"/>
    <mergeCell ref="G155:I155"/>
    <mergeCell ref="A127:B129"/>
    <mergeCell ref="A147:G148"/>
    <mergeCell ref="H147:I148"/>
  </mergeCells>
  <printOptions/>
  <pageMargins left="0.75" right="0.75" top="1" bottom="1" header="0.5" footer="0.5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8"/>
  <sheetViews>
    <sheetView tabSelected="1" view="pageBreakPreview" zoomScaleSheetLayoutView="100" workbookViewId="0" topLeftCell="A1">
      <selection activeCell="F4" sqref="F4:I4"/>
    </sheetView>
  </sheetViews>
  <sheetFormatPr defaultColWidth="9.140625" defaultRowHeight="12.75"/>
  <cols>
    <col min="1" max="1" width="15.28125" style="161" customWidth="1"/>
    <col min="2" max="2" width="11.140625" style="161" customWidth="1"/>
    <col min="3" max="3" width="23.7109375" style="161" customWidth="1"/>
    <col min="4" max="4" width="10.140625" style="161" customWidth="1"/>
    <col min="5" max="5" width="12.421875" style="161" customWidth="1"/>
    <col min="6" max="6" width="11.28125" style="161" customWidth="1"/>
    <col min="7" max="7" width="9.8515625" style="161" customWidth="1"/>
    <col min="8" max="8" width="12.57421875" style="161" customWidth="1"/>
    <col min="9" max="9" width="12.140625" style="162" customWidth="1"/>
    <col min="10" max="10" width="10.7109375" style="161" customWidth="1"/>
    <col min="11" max="11" width="11.140625" style="161" customWidth="1"/>
    <col min="12" max="12" width="7.421875" style="161" customWidth="1"/>
    <col min="13" max="13" width="6.57421875" style="161" customWidth="1"/>
    <col min="14" max="15" width="9.28125" style="161" customWidth="1"/>
    <col min="16" max="16384" width="9.140625" style="161" customWidth="1"/>
  </cols>
  <sheetData>
    <row r="1" spans="1:9" ht="30" customHeight="1">
      <c r="A1" s="163" t="s">
        <v>152</v>
      </c>
      <c r="B1" s="164"/>
      <c r="C1" s="164"/>
      <c r="D1" s="164"/>
      <c r="E1" s="164"/>
      <c r="F1" s="164"/>
      <c r="G1" s="164"/>
      <c r="H1" s="164"/>
      <c r="I1" s="164"/>
    </row>
    <row r="2" spans="1:9" ht="23.25" customHeight="1">
      <c r="A2" s="165" t="s">
        <v>153</v>
      </c>
      <c r="B2" s="165"/>
      <c r="C2" s="165"/>
      <c r="D2" s="165"/>
      <c r="E2" s="165"/>
      <c r="F2" s="165"/>
      <c r="G2" s="165"/>
      <c r="H2" s="165"/>
      <c r="I2" s="165"/>
    </row>
    <row r="3" spans="1:9" ht="15.75" customHeight="1">
      <c r="A3" s="166" t="s">
        <v>1</v>
      </c>
      <c r="B3" s="166"/>
      <c r="C3" s="166"/>
      <c r="D3" s="166"/>
      <c r="E3" s="166"/>
      <c r="F3" s="167" t="s">
        <v>2</v>
      </c>
      <c r="G3" s="167"/>
      <c r="H3" s="167"/>
      <c r="I3" s="167"/>
    </row>
    <row r="4" spans="1:9" ht="15.75" customHeight="1">
      <c r="A4" s="168" t="s">
        <v>3</v>
      </c>
      <c r="B4" s="168"/>
      <c r="C4" s="168"/>
      <c r="D4" s="168"/>
      <c r="E4" s="168"/>
      <c r="F4" s="169" t="s">
        <v>154</v>
      </c>
      <c r="G4" s="169"/>
      <c r="H4" s="169"/>
      <c r="I4" s="169"/>
    </row>
    <row r="5" spans="1:9" ht="15.75" customHeight="1">
      <c r="A5" s="168" t="s">
        <v>155</v>
      </c>
      <c r="B5" s="168"/>
      <c r="C5" s="168"/>
      <c r="D5" s="168"/>
      <c r="E5" s="168"/>
      <c r="F5" s="168"/>
      <c r="G5" s="168"/>
      <c r="H5" s="168"/>
      <c r="I5" s="168"/>
    </row>
    <row r="6" spans="1:9" ht="20.25" customHeight="1">
      <c r="A6" s="170" t="s">
        <v>6</v>
      </c>
      <c r="B6" s="170"/>
      <c r="C6" s="170"/>
      <c r="D6" s="170"/>
      <c r="E6" s="170"/>
      <c r="F6" s="170"/>
      <c r="G6" s="170"/>
      <c r="H6" s="170"/>
      <c r="I6" s="170"/>
    </row>
    <row r="7" spans="1:9" ht="15.75" customHeight="1">
      <c r="A7" s="171" t="s">
        <v>7</v>
      </c>
      <c r="B7" s="168" t="s">
        <v>8</v>
      </c>
      <c r="C7" s="168"/>
      <c r="D7" s="168"/>
      <c r="E7" s="168"/>
      <c r="F7" s="168"/>
      <c r="G7" s="168"/>
      <c r="H7" s="172" t="s">
        <v>156</v>
      </c>
      <c r="I7" s="172"/>
    </row>
    <row r="8" spans="1:9" ht="15.75" customHeight="1">
      <c r="A8" s="171" t="s">
        <v>10</v>
      </c>
      <c r="B8" s="168" t="s">
        <v>11</v>
      </c>
      <c r="C8" s="168"/>
      <c r="D8" s="168"/>
      <c r="E8" s="168"/>
      <c r="F8" s="168"/>
      <c r="G8" s="168"/>
      <c r="H8" s="169" t="s">
        <v>157</v>
      </c>
      <c r="I8" s="169"/>
    </row>
    <row r="9" spans="1:9" ht="39.75" customHeight="1">
      <c r="A9" s="171" t="s">
        <v>13</v>
      </c>
      <c r="B9" s="168" t="s">
        <v>14</v>
      </c>
      <c r="C9" s="168"/>
      <c r="D9" s="168"/>
      <c r="E9" s="168"/>
      <c r="F9" s="168"/>
      <c r="G9" s="168"/>
      <c r="H9" s="169" t="s">
        <v>158</v>
      </c>
      <c r="I9" s="169"/>
    </row>
    <row r="10" spans="1:9" ht="37.5" customHeight="1">
      <c r="A10" s="171" t="s">
        <v>16</v>
      </c>
      <c r="B10" s="168" t="s">
        <v>159</v>
      </c>
      <c r="C10" s="168"/>
      <c r="D10" s="168"/>
      <c r="E10" s="168"/>
      <c r="F10" s="168"/>
      <c r="G10" s="168"/>
      <c r="H10" s="169">
        <v>12</v>
      </c>
      <c r="I10" s="169"/>
    </row>
    <row r="11" spans="1:9" ht="25.5" customHeight="1">
      <c r="A11" s="173" t="s">
        <v>18</v>
      </c>
      <c r="B11" s="173"/>
      <c r="C11" s="173"/>
      <c r="D11" s="173"/>
      <c r="E11" s="173"/>
      <c r="F11" s="173"/>
      <c r="G11" s="173"/>
      <c r="H11" s="173"/>
      <c r="I11" s="173"/>
    </row>
    <row r="12" spans="1:9" ht="43.5" customHeight="1">
      <c r="A12" s="174" t="s">
        <v>160</v>
      </c>
      <c r="B12" s="174"/>
      <c r="C12" s="174"/>
      <c r="D12" s="174"/>
      <c r="E12" s="174"/>
      <c r="F12" s="175" t="s">
        <v>161</v>
      </c>
      <c r="G12" s="175"/>
      <c r="H12" s="176" t="s">
        <v>162</v>
      </c>
      <c r="I12" s="176"/>
    </row>
    <row r="13" spans="1:9" ht="12.75" customHeight="1">
      <c r="A13" s="177" t="s">
        <v>163</v>
      </c>
      <c r="B13" s="177"/>
      <c r="C13" s="177"/>
      <c r="D13" s="177"/>
      <c r="E13" s="177"/>
      <c r="F13" s="178" t="s">
        <v>164</v>
      </c>
      <c r="G13" s="178"/>
      <c r="H13" s="179">
        <f>'CÁLCULO DO Nº DE SERVENTES'!D2</f>
        <v>348.7</v>
      </c>
      <c r="I13" s="179"/>
    </row>
    <row r="14" spans="1:9" ht="12.75" customHeight="1">
      <c r="A14" s="177" t="s">
        <v>165</v>
      </c>
      <c r="B14" s="177"/>
      <c r="C14" s="177"/>
      <c r="D14" s="177"/>
      <c r="E14" s="177"/>
      <c r="F14" s="178" t="s">
        <v>164</v>
      </c>
      <c r="G14" s="178"/>
      <c r="H14" s="179">
        <f>'CÁLCULO DO Nº DE SERVENTES'!D3</f>
        <v>8500</v>
      </c>
      <c r="I14" s="179"/>
    </row>
    <row r="15" spans="1:9" ht="12.75" customHeight="1">
      <c r="A15" s="177" t="s">
        <v>166</v>
      </c>
      <c r="B15" s="177"/>
      <c r="C15" s="177"/>
      <c r="D15" s="177"/>
      <c r="E15" s="177"/>
      <c r="F15" s="178" t="s">
        <v>164</v>
      </c>
      <c r="G15" s="178"/>
      <c r="H15" s="179">
        <f>'CÁLCULO DO Nº DE SERVENTES'!D4</f>
        <v>1000</v>
      </c>
      <c r="I15" s="179"/>
    </row>
    <row r="16" spans="1:9" ht="12.75" customHeight="1">
      <c r="A16" s="177" t="s">
        <v>167</v>
      </c>
      <c r="B16" s="177"/>
      <c r="C16" s="177"/>
      <c r="D16" s="177"/>
      <c r="E16" s="177"/>
      <c r="F16" s="178" t="s">
        <v>164</v>
      </c>
      <c r="G16" s="178"/>
      <c r="H16" s="179">
        <f>'CÁLCULO DO Nº DE SERVENTES'!D5</f>
        <v>250</v>
      </c>
      <c r="I16" s="179"/>
    </row>
    <row r="17" spans="1:12" ht="12.75" customHeight="1">
      <c r="A17" s="177" t="s">
        <v>168</v>
      </c>
      <c r="B17" s="177" t="s">
        <v>169</v>
      </c>
      <c r="C17" s="177" t="s">
        <v>170</v>
      </c>
      <c r="D17" s="177" t="s">
        <v>171</v>
      </c>
      <c r="E17" s="177" t="s">
        <v>172</v>
      </c>
      <c r="F17" s="178" t="s">
        <v>164</v>
      </c>
      <c r="G17" s="178"/>
      <c r="H17" s="179">
        <f>'CÁLCULO DO Nº DE SERVENTES'!D7</f>
        <v>2000</v>
      </c>
      <c r="I17" s="179"/>
      <c r="L17" s="223"/>
    </row>
    <row r="18" spans="1:9" ht="27" customHeight="1">
      <c r="A18" s="180" t="s">
        <v>173</v>
      </c>
      <c r="B18" s="181"/>
      <c r="C18" s="181"/>
      <c r="D18" s="181"/>
      <c r="E18" s="181"/>
      <c r="F18" s="178" t="s">
        <v>164</v>
      </c>
      <c r="G18" s="178"/>
      <c r="H18" s="179">
        <f>'CÁLCULO DO Nº DE SERVENTES'!D8</f>
        <v>1175.98</v>
      </c>
      <c r="I18" s="179"/>
    </row>
    <row r="19" spans="1:9" ht="12.75" customHeight="1">
      <c r="A19" s="182" t="s">
        <v>174</v>
      </c>
      <c r="B19" s="182"/>
      <c r="C19" s="182"/>
      <c r="D19" s="182"/>
      <c r="E19" s="182"/>
      <c r="F19" s="182"/>
      <c r="G19" s="182"/>
      <c r="H19" s="183">
        <f>ROUND(H13+H14+H15+H16+H17+H18,2)</f>
        <v>13274.68</v>
      </c>
      <c r="I19" s="183"/>
    </row>
    <row r="20" spans="1:9" ht="8.25" customHeight="1">
      <c r="A20" s="184"/>
      <c r="B20" s="184"/>
      <c r="C20" s="184"/>
      <c r="D20" s="184"/>
      <c r="E20" s="184"/>
      <c r="F20" s="184"/>
      <c r="G20" s="184"/>
      <c r="H20" s="184"/>
      <c r="I20" s="184"/>
    </row>
    <row r="21" spans="1:9" ht="23.25" customHeight="1">
      <c r="A21" s="177" t="s">
        <v>175</v>
      </c>
      <c r="B21" s="177"/>
      <c r="C21" s="177"/>
      <c r="D21" s="177"/>
      <c r="E21" s="177"/>
      <c r="F21" s="178" t="s">
        <v>164</v>
      </c>
      <c r="G21" s="178"/>
      <c r="H21" s="185">
        <f>'CÁLCULO DO Nº DE SERVENTES'!D9</f>
        <v>1400</v>
      </c>
      <c r="I21" s="185"/>
    </row>
    <row r="22" spans="1:15" ht="15" customHeight="1">
      <c r="A22" s="182" t="s">
        <v>176</v>
      </c>
      <c r="B22" s="182"/>
      <c r="C22" s="182"/>
      <c r="D22" s="182"/>
      <c r="E22" s="182"/>
      <c r="F22" s="182"/>
      <c r="G22" s="182"/>
      <c r="H22" s="183">
        <f>ROUND(H21,2)</f>
        <v>1400</v>
      </c>
      <c r="I22" s="183"/>
      <c r="J22" s="224"/>
      <c r="N22" s="224"/>
      <c r="O22" s="225"/>
    </row>
    <row r="23" spans="1:15" ht="7.5" customHeight="1">
      <c r="A23" s="184"/>
      <c r="B23" s="184"/>
      <c r="C23" s="184"/>
      <c r="D23" s="184"/>
      <c r="E23" s="184"/>
      <c r="F23" s="184"/>
      <c r="G23" s="184"/>
      <c r="H23" s="184"/>
      <c r="I23" s="184"/>
      <c r="N23" s="224"/>
      <c r="O23" s="225"/>
    </row>
    <row r="24" spans="1:11" ht="27" customHeight="1">
      <c r="A24" s="177" t="s">
        <v>177</v>
      </c>
      <c r="B24" s="177"/>
      <c r="C24" s="177"/>
      <c r="D24" s="177"/>
      <c r="E24" s="177"/>
      <c r="F24" s="178" t="s">
        <v>164</v>
      </c>
      <c r="G24" s="178"/>
      <c r="H24" s="185">
        <f>'CÁLCULO DO Nº DE SERVENTES'!D15</f>
        <v>470.61</v>
      </c>
      <c r="I24" s="185"/>
      <c r="J24" s="225"/>
      <c r="K24" s="225"/>
    </row>
    <row r="25" spans="1:11" ht="25.5" customHeight="1">
      <c r="A25" s="177" t="s">
        <v>178</v>
      </c>
      <c r="B25" s="177"/>
      <c r="C25" s="177"/>
      <c r="D25" s="177"/>
      <c r="E25" s="177"/>
      <c r="F25" s="178" t="s">
        <v>164</v>
      </c>
      <c r="G25" s="178"/>
      <c r="H25" s="185">
        <f>'CÁLCULO DO Nº DE SERVENTES'!D16</f>
        <v>1500</v>
      </c>
      <c r="I25" s="185"/>
      <c r="J25" s="225"/>
      <c r="K25" s="225"/>
    </row>
    <row r="26" spans="1:9" ht="12.75" customHeight="1">
      <c r="A26" s="177" t="s">
        <v>179</v>
      </c>
      <c r="B26" s="177"/>
      <c r="C26" s="177"/>
      <c r="D26" s="177"/>
      <c r="E26" s="177"/>
      <c r="F26" s="178" t="s">
        <v>164</v>
      </c>
      <c r="G26" s="178"/>
      <c r="H26" s="185">
        <f>'CÁLCULO DO Nº DE SERVENTES'!D17</f>
        <v>2501.57</v>
      </c>
      <c r="I26" s="185"/>
    </row>
    <row r="27" spans="1:9" ht="12.75" customHeight="1">
      <c r="A27" s="186" t="s">
        <v>180</v>
      </c>
      <c r="B27" s="186"/>
      <c r="C27" s="186"/>
      <c r="D27" s="186"/>
      <c r="E27" s="186"/>
      <c r="F27" s="186"/>
      <c r="G27" s="186"/>
      <c r="H27" s="183">
        <f>ROUND(H24+H25+H26,2)</f>
        <v>4472.18</v>
      </c>
      <c r="I27" s="183"/>
    </row>
    <row r="28" spans="1:9" ht="7.5" customHeight="1">
      <c r="A28" s="187"/>
      <c r="B28" s="187"/>
      <c r="C28" s="187"/>
      <c r="D28" s="187"/>
      <c r="E28" s="187"/>
      <c r="F28" s="187"/>
      <c r="G28" s="187"/>
      <c r="H28" s="187"/>
      <c r="I28" s="187"/>
    </row>
    <row r="29" spans="1:9" ht="12.75" customHeight="1">
      <c r="A29" s="188" t="s">
        <v>181</v>
      </c>
      <c r="B29" s="188"/>
      <c r="C29" s="188"/>
      <c r="D29" s="188"/>
      <c r="E29" s="188"/>
      <c r="F29" s="188"/>
      <c r="G29" s="188"/>
      <c r="H29" s="189">
        <f>ROUND(H19+H22+H27,2)</f>
        <v>19146.86</v>
      </c>
      <c r="I29" s="189"/>
    </row>
    <row r="30" spans="1:12" ht="7.5" customHeight="1">
      <c r="A30" s="190"/>
      <c r="B30" s="190"/>
      <c r="C30" s="190"/>
      <c r="D30" s="190"/>
      <c r="E30" s="190"/>
      <c r="F30" s="190"/>
      <c r="G30" s="190"/>
      <c r="H30" s="190"/>
      <c r="I30" s="190"/>
      <c r="J30" s="226"/>
      <c r="K30" s="227"/>
      <c r="L30" s="228"/>
    </row>
    <row r="31" spans="1:12" ht="21.75" customHeight="1">
      <c r="A31" s="191" t="s">
        <v>19</v>
      </c>
      <c r="B31" s="191"/>
      <c r="C31" s="191"/>
      <c r="D31" s="191"/>
      <c r="E31" s="191"/>
      <c r="F31" s="191"/>
      <c r="G31" s="191"/>
      <c r="H31" s="191"/>
      <c r="I31" s="191"/>
      <c r="J31" s="226"/>
      <c r="K31" s="227"/>
      <c r="L31" s="228"/>
    </row>
    <row r="32" spans="1:12" ht="9.75" customHeight="1">
      <c r="A32" s="184"/>
      <c r="B32" s="184"/>
      <c r="C32" s="184"/>
      <c r="D32" s="184"/>
      <c r="E32" s="184"/>
      <c r="F32" s="184"/>
      <c r="G32" s="184"/>
      <c r="H32" s="184"/>
      <c r="I32" s="184"/>
      <c r="J32" s="226"/>
      <c r="K32" s="227"/>
      <c r="L32" s="228"/>
    </row>
    <row r="33" spans="1:9" s="156" customFormat="1" ht="21.75" customHeight="1">
      <c r="A33" s="170" t="s">
        <v>20</v>
      </c>
      <c r="B33" s="170"/>
      <c r="C33" s="170"/>
      <c r="D33" s="170"/>
      <c r="E33" s="170"/>
      <c r="F33" s="170"/>
      <c r="G33" s="170"/>
      <c r="H33" s="170"/>
      <c r="I33" s="170"/>
    </row>
    <row r="34" spans="1:9" ht="15.75" customHeight="1">
      <c r="A34" s="171">
        <v>1</v>
      </c>
      <c r="B34" s="168" t="s">
        <v>21</v>
      </c>
      <c r="C34" s="168"/>
      <c r="D34" s="168"/>
      <c r="E34" s="168"/>
      <c r="F34" s="168"/>
      <c r="G34" s="168"/>
      <c r="H34" s="192" t="s">
        <v>182</v>
      </c>
      <c r="I34" s="192"/>
    </row>
    <row r="35" spans="1:9" ht="15.75" customHeight="1">
      <c r="A35" s="171">
        <v>2</v>
      </c>
      <c r="B35" s="168" t="s">
        <v>23</v>
      </c>
      <c r="C35" s="168"/>
      <c r="D35" s="168"/>
      <c r="E35" s="168"/>
      <c r="F35" s="168"/>
      <c r="G35" s="168"/>
      <c r="H35" s="193">
        <v>5143</v>
      </c>
      <c r="I35" s="193"/>
    </row>
    <row r="36" spans="1:9" ht="15.75" customHeight="1">
      <c r="A36" s="171">
        <v>3</v>
      </c>
      <c r="B36" s="168" t="s">
        <v>183</v>
      </c>
      <c r="C36" s="168"/>
      <c r="D36" s="168"/>
      <c r="E36" s="168"/>
      <c r="F36" s="168"/>
      <c r="G36" s="168"/>
      <c r="H36" s="192">
        <v>1540.51</v>
      </c>
      <c r="I36" s="192"/>
    </row>
    <row r="37" spans="1:9" ht="15.75" customHeight="1">
      <c r="A37" s="171">
        <v>4</v>
      </c>
      <c r="B37" s="168" t="s">
        <v>25</v>
      </c>
      <c r="C37" s="168"/>
      <c r="D37" s="168"/>
      <c r="E37" s="168"/>
      <c r="F37" s="168"/>
      <c r="G37" s="168"/>
      <c r="H37" s="194" t="s">
        <v>184</v>
      </c>
      <c r="I37" s="194"/>
    </row>
    <row r="38" spans="1:9" ht="15.75" customHeight="1">
      <c r="A38" s="171">
        <v>5</v>
      </c>
      <c r="B38" s="168" t="s">
        <v>27</v>
      </c>
      <c r="C38" s="168"/>
      <c r="D38" s="168"/>
      <c r="E38" s="168"/>
      <c r="F38" s="168"/>
      <c r="G38" s="168"/>
      <c r="H38" s="194" t="s">
        <v>28</v>
      </c>
      <c r="I38" s="194"/>
    </row>
    <row r="39" spans="1:9" ht="9" customHeight="1">
      <c r="A39" s="195"/>
      <c r="B39" s="195"/>
      <c r="C39" s="195"/>
      <c r="D39" s="195"/>
      <c r="E39" s="195"/>
      <c r="F39" s="195"/>
      <c r="G39" s="195"/>
      <c r="H39" s="195"/>
      <c r="I39" s="195"/>
    </row>
    <row r="40" spans="1:9" ht="22.5" customHeight="1">
      <c r="A40" s="196" t="s">
        <v>185</v>
      </c>
      <c r="B40" s="196"/>
      <c r="C40" s="196"/>
      <c r="D40" s="196"/>
      <c r="E40" s="196"/>
      <c r="F40" s="196"/>
      <c r="G40" s="196"/>
      <c r="H40" s="196"/>
      <c r="I40" s="196"/>
    </row>
    <row r="41" spans="1:9" ht="9" customHeight="1">
      <c r="A41" s="197"/>
      <c r="B41" s="197"/>
      <c r="C41" s="197"/>
      <c r="D41" s="197"/>
      <c r="E41" s="197"/>
      <c r="F41" s="197"/>
      <c r="G41" s="197"/>
      <c r="H41" s="197"/>
      <c r="I41" s="197"/>
    </row>
    <row r="42" spans="1:9" ht="22.5" customHeight="1">
      <c r="A42" s="198" t="s">
        <v>29</v>
      </c>
      <c r="B42" s="198"/>
      <c r="C42" s="198"/>
      <c r="D42" s="198"/>
      <c r="E42" s="198"/>
      <c r="F42" s="198"/>
      <c r="G42" s="198"/>
      <c r="H42" s="198"/>
      <c r="I42" s="198"/>
    </row>
    <row r="43" spans="1:9" s="157" customFormat="1" ht="30" customHeight="1">
      <c r="A43" s="199">
        <v>1</v>
      </c>
      <c r="B43" s="175" t="s">
        <v>30</v>
      </c>
      <c r="C43" s="175"/>
      <c r="D43" s="175"/>
      <c r="E43" s="175"/>
      <c r="F43" s="175"/>
      <c r="G43" s="175"/>
      <c r="H43" s="199" t="s">
        <v>31</v>
      </c>
      <c r="I43" s="199" t="s">
        <v>32</v>
      </c>
    </row>
    <row r="44" spans="1:9" ht="21.75" customHeight="1">
      <c r="A44" s="171" t="s">
        <v>7</v>
      </c>
      <c r="B44" s="168" t="s">
        <v>186</v>
      </c>
      <c r="C44" s="168"/>
      <c r="D44" s="168"/>
      <c r="E44" s="168"/>
      <c r="F44" s="168"/>
      <c r="G44" s="168"/>
      <c r="H44" s="168"/>
      <c r="I44" s="229">
        <v>1540.51</v>
      </c>
    </row>
    <row r="45" spans="1:9" ht="18.75" customHeight="1">
      <c r="A45" s="171" t="s">
        <v>10</v>
      </c>
      <c r="B45" s="200" t="s">
        <v>187</v>
      </c>
      <c r="C45" s="200"/>
      <c r="D45" s="200"/>
      <c r="E45" s="200"/>
      <c r="F45" s="200"/>
      <c r="G45" s="200"/>
      <c r="H45" s="201">
        <v>0.4</v>
      </c>
      <c r="I45" s="229">
        <f>ROUND(H45*I44,2)</f>
        <v>616.2</v>
      </c>
    </row>
    <row r="46" spans="1:9" ht="15.75" customHeight="1">
      <c r="A46" s="202" t="s">
        <v>36</v>
      </c>
      <c r="B46" s="202"/>
      <c r="C46" s="202"/>
      <c r="D46" s="202"/>
      <c r="E46" s="202"/>
      <c r="F46" s="202"/>
      <c r="G46" s="202"/>
      <c r="H46" s="202"/>
      <c r="I46" s="230">
        <f>SUM(I44:I45)</f>
        <v>2156.71</v>
      </c>
    </row>
    <row r="47" spans="1:9" ht="9.75" customHeight="1">
      <c r="A47" s="203"/>
      <c r="B47" s="203"/>
      <c r="C47" s="203"/>
      <c r="D47" s="203"/>
      <c r="E47" s="203"/>
      <c r="F47" s="203"/>
      <c r="G47" s="203"/>
      <c r="H47" s="203"/>
      <c r="I47" s="203"/>
    </row>
    <row r="48" spans="1:9" ht="20.25" customHeight="1">
      <c r="A48" s="204" t="s">
        <v>188</v>
      </c>
      <c r="B48" s="204"/>
      <c r="C48" s="204"/>
      <c r="D48" s="204"/>
      <c r="E48" s="204"/>
      <c r="F48" s="204"/>
      <c r="G48" s="204"/>
      <c r="H48" s="204"/>
      <c r="I48" s="204"/>
    </row>
    <row r="49" spans="1:9" ht="10.5" customHeight="1">
      <c r="A49" s="205"/>
      <c r="B49" s="205"/>
      <c r="C49" s="205"/>
      <c r="D49" s="205"/>
      <c r="E49" s="205"/>
      <c r="F49" s="205"/>
      <c r="G49" s="205"/>
      <c r="H49" s="205"/>
      <c r="I49" s="205"/>
    </row>
    <row r="50" spans="1:9" ht="21.75" customHeight="1">
      <c r="A50" s="206" t="s">
        <v>37</v>
      </c>
      <c r="B50" s="206"/>
      <c r="C50" s="206"/>
      <c r="D50" s="206"/>
      <c r="E50" s="206"/>
      <c r="F50" s="206"/>
      <c r="G50" s="206"/>
      <c r="H50" s="206"/>
      <c r="I50" s="206"/>
    </row>
    <row r="51" spans="1:9" ht="25.5" customHeight="1">
      <c r="A51" s="207" t="s">
        <v>189</v>
      </c>
      <c r="B51" s="207"/>
      <c r="C51" s="207"/>
      <c r="D51" s="207"/>
      <c r="E51" s="207"/>
      <c r="F51" s="207"/>
      <c r="G51" s="207"/>
      <c r="H51" s="207"/>
      <c r="I51" s="207"/>
    </row>
    <row r="52" spans="1:9" ht="25.5" customHeight="1">
      <c r="A52" s="208" t="s">
        <v>39</v>
      </c>
      <c r="B52" s="208" t="s">
        <v>83</v>
      </c>
      <c r="C52" s="208"/>
      <c r="D52" s="208"/>
      <c r="E52" s="208"/>
      <c r="F52" s="208"/>
      <c r="G52" s="208"/>
      <c r="H52" s="208"/>
      <c r="I52" s="173" t="s">
        <v>41</v>
      </c>
    </row>
    <row r="53" spans="1:9" ht="28.5" customHeight="1">
      <c r="A53" s="208" t="s">
        <v>7</v>
      </c>
      <c r="B53" s="209" t="s">
        <v>190</v>
      </c>
      <c r="C53" s="209"/>
      <c r="D53" s="209"/>
      <c r="E53" s="209"/>
      <c r="F53" s="209"/>
      <c r="G53" s="209"/>
      <c r="H53" s="210">
        <v>0.0833</v>
      </c>
      <c r="I53" s="231">
        <f>ROUND($I$46*H53,2)</f>
        <v>179.65</v>
      </c>
    </row>
    <row r="54" spans="1:9" ht="41.25" customHeight="1">
      <c r="A54" s="208" t="s">
        <v>10</v>
      </c>
      <c r="B54" s="211" t="s">
        <v>191</v>
      </c>
      <c r="C54" s="212"/>
      <c r="D54" s="212"/>
      <c r="E54" s="212"/>
      <c r="F54" s="212"/>
      <c r="G54" s="212"/>
      <c r="H54" s="213">
        <v>0.03025</v>
      </c>
      <c r="I54" s="231">
        <f>ROUND($I$46*H54,2)</f>
        <v>65.24</v>
      </c>
    </row>
    <row r="55" spans="1:9" ht="19.5" customHeight="1">
      <c r="A55" s="214" t="s">
        <v>44</v>
      </c>
      <c r="B55" s="214"/>
      <c r="C55" s="214"/>
      <c r="D55" s="214"/>
      <c r="E55" s="214"/>
      <c r="F55" s="214"/>
      <c r="G55" s="214"/>
      <c r="H55" s="214"/>
      <c r="I55" s="232">
        <f>SUM(I53+I54)</f>
        <v>244.89</v>
      </c>
    </row>
    <row r="56" spans="1:9" s="158" customFormat="1" ht="32.25" customHeight="1">
      <c r="A56" s="209" t="s">
        <v>192</v>
      </c>
      <c r="B56" s="209"/>
      <c r="C56" s="209"/>
      <c r="D56" s="209"/>
      <c r="E56" s="209"/>
      <c r="F56" s="209"/>
      <c r="G56" s="209"/>
      <c r="H56" s="209"/>
      <c r="I56" s="209"/>
    </row>
    <row r="57" spans="1:9" s="158" customFormat="1" ht="30" customHeight="1">
      <c r="A57" s="215" t="s">
        <v>46</v>
      </c>
      <c r="B57" s="175" t="s">
        <v>47</v>
      </c>
      <c r="C57" s="175"/>
      <c r="D57" s="175"/>
      <c r="E57" s="175"/>
      <c r="F57" s="175"/>
      <c r="G57" s="175"/>
      <c r="H57" s="175" t="s">
        <v>48</v>
      </c>
      <c r="I57" s="175" t="s">
        <v>49</v>
      </c>
    </row>
    <row r="58" spans="1:9" s="158" customFormat="1" ht="15.75" customHeight="1">
      <c r="A58" s="216" t="s">
        <v>7</v>
      </c>
      <c r="B58" s="198" t="s">
        <v>50</v>
      </c>
      <c r="C58" s="198"/>
      <c r="D58" s="198"/>
      <c r="E58" s="198"/>
      <c r="F58" s="198"/>
      <c r="G58" s="198"/>
      <c r="H58" s="217">
        <v>0.2</v>
      </c>
      <c r="I58" s="233">
        <f aca="true" t="shared" si="0" ref="I58:I65">ROUND(($I$46+$I$55)*H58,2)</f>
        <v>480.32</v>
      </c>
    </row>
    <row r="59" spans="1:9" s="158" customFormat="1" ht="15.75" customHeight="1">
      <c r="A59" s="216" t="s">
        <v>10</v>
      </c>
      <c r="B59" s="168" t="s">
        <v>51</v>
      </c>
      <c r="C59" s="168"/>
      <c r="D59" s="168"/>
      <c r="E59" s="168"/>
      <c r="F59" s="168"/>
      <c r="G59" s="168"/>
      <c r="H59" s="218">
        <v>0.025</v>
      </c>
      <c r="I59" s="233">
        <f t="shared" si="0"/>
        <v>60.04</v>
      </c>
    </row>
    <row r="60" spans="1:9" s="158" customFormat="1" ht="57.75" customHeight="1">
      <c r="A60" s="216" t="s">
        <v>13</v>
      </c>
      <c r="B60" s="168" t="s">
        <v>193</v>
      </c>
      <c r="C60" s="168"/>
      <c r="D60" s="219" t="s">
        <v>53</v>
      </c>
      <c r="E60" s="220">
        <v>0.03</v>
      </c>
      <c r="F60" s="219" t="s">
        <v>54</v>
      </c>
      <c r="G60" s="221">
        <v>1</v>
      </c>
      <c r="H60" s="222">
        <f>ROUND((E60*G60),6)</f>
        <v>0.03</v>
      </c>
      <c r="I60" s="233">
        <f t="shared" si="0"/>
        <v>72.05</v>
      </c>
    </row>
    <row r="61" spans="1:9" s="158" customFormat="1" ht="15.75" customHeight="1">
      <c r="A61" s="216" t="s">
        <v>16</v>
      </c>
      <c r="B61" s="198" t="s">
        <v>55</v>
      </c>
      <c r="C61" s="198"/>
      <c r="D61" s="198"/>
      <c r="E61" s="198"/>
      <c r="F61" s="198"/>
      <c r="G61" s="198"/>
      <c r="H61" s="217">
        <v>0.015</v>
      </c>
      <c r="I61" s="233">
        <f t="shared" si="0"/>
        <v>36.02</v>
      </c>
    </row>
    <row r="62" spans="1:9" s="158" customFormat="1" ht="15.75" customHeight="1">
      <c r="A62" s="216" t="s">
        <v>56</v>
      </c>
      <c r="B62" s="198" t="s">
        <v>57</v>
      </c>
      <c r="C62" s="198"/>
      <c r="D62" s="198"/>
      <c r="E62" s="198"/>
      <c r="F62" s="198"/>
      <c r="G62" s="198"/>
      <c r="H62" s="217">
        <v>0.01</v>
      </c>
      <c r="I62" s="233">
        <f t="shared" si="0"/>
        <v>24.02</v>
      </c>
    </row>
    <row r="63" spans="1:9" s="158" customFormat="1" ht="15.75" customHeight="1">
      <c r="A63" s="216" t="s">
        <v>58</v>
      </c>
      <c r="B63" s="168" t="s">
        <v>59</v>
      </c>
      <c r="C63" s="168"/>
      <c r="D63" s="168"/>
      <c r="E63" s="168"/>
      <c r="F63" s="168"/>
      <c r="G63" s="168"/>
      <c r="H63" s="218">
        <v>0.006</v>
      </c>
      <c r="I63" s="233">
        <f t="shared" si="0"/>
        <v>14.41</v>
      </c>
    </row>
    <row r="64" spans="1:9" ht="20.25" customHeight="1">
      <c r="A64" s="216" t="s">
        <v>60</v>
      </c>
      <c r="B64" s="198" t="s">
        <v>61</v>
      </c>
      <c r="C64" s="198"/>
      <c r="D64" s="198"/>
      <c r="E64" s="198"/>
      <c r="F64" s="198"/>
      <c r="G64" s="198"/>
      <c r="H64" s="217">
        <v>0.002</v>
      </c>
      <c r="I64" s="233">
        <f t="shared" si="0"/>
        <v>4.8</v>
      </c>
    </row>
    <row r="65" spans="1:9" ht="15.75" customHeight="1">
      <c r="A65" s="216" t="s">
        <v>62</v>
      </c>
      <c r="B65" s="168" t="s">
        <v>63</v>
      </c>
      <c r="C65" s="168"/>
      <c r="D65" s="168"/>
      <c r="E65" s="168"/>
      <c r="F65" s="168"/>
      <c r="G65" s="168"/>
      <c r="H65" s="218">
        <v>0.08</v>
      </c>
      <c r="I65" s="233">
        <f t="shared" si="0"/>
        <v>192.13</v>
      </c>
    </row>
    <row r="66" spans="1:9" ht="15.75" customHeight="1">
      <c r="A66" s="214" t="s">
        <v>44</v>
      </c>
      <c r="B66" s="214"/>
      <c r="C66" s="214"/>
      <c r="D66" s="214"/>
      <c r="E66" s="214"/>
      <c r="F66" s="214"/>
      <c r="G66" s="214"/>
      <c r="H66" s="234">
        <f>SUM(H58:H65)</f>
        <v>0.36800000000000005</v>
      </c>
      <c r="I66" s="278">
        <f>SUM(I58:I65)</f>
        <v>883.7899999999998</v>
      </c>
    </row>
    <row r="67" spans="1:9" ht="8.25" customHeight="1">
      <c r="A67" s="235"/>
      <c r="B67" s="236"/>
      <c r="C67" s="236"/>
      <c r="D67" s="236"/>
      <c r="E67" s="236"/>
      <c r="F67" s="236"/>
      <c r="G67" s="236"/>
      <c r="H67" s="237"/>
      <c r="I67" s="279"/>
    </row>
    <row r="68" spans="1:9" ht="35.25" customHeight="1">
      <c r="A68" s="238" t="s">
        <v>64</v>
      </c>
      <c r="B68" s="238"/>
      <c r="C68" s="238"/>
      <c r="D68" s="238"/>
      <c r="E68" s="238"/>
      <c r="F68" s="238"/>
      <c r="G68" s="238"/>
      <c r="H68" s="238"/>
      <c r="I68" s="238"/>
    </row>
    <row r="69" spans="1:9" ht="7.5" customHeight="1">
      <c r="A69" s="190"/>
      <c r="B69" s="190"/>
      <c r="C69" s="190"/>
      <c r="D69" s="190"/>
      <c r="E69" s="190"/>
      <c r="F69" s="190"/>
      <c r="G69" s="190"/>
      <c r="H69" s="190"/>
      <c r="I69" s="190"/>
    </row>
    <row r="70" spans="1:9" ht="18" customHeight="1">
      <c r="A70" s="206" t="s">
        <v>65</v>
      </c>
      <c r="B70" s="206"/>
      <c r="C70" s="206"/>
      <c r="D70" s="206"/>
      <c r="E70" s="206"/>
      <c r="F70" s="206"/>
      <c r="G70" s="206"/>
      <c r="H70" s="206"/>
      <c r="I70" s="206"/>
    </row>
    <row r="71" spans="1:9" ht="18.75" customHeight="1">
      <c r="A71" s="239" t="s">
        <v>66</v>
      </c>
      <c r="B71" s="175" t="s">
        <v>67</v>
      </c>
      <c r="C71" s="175"/>
      <c r="D71" s="175"/>
      <c r="E71" s="175"/>
      <c r="F71" s="175"/>
      <c r="G71" s="175"/>
      <c r="H71" s="175"/>
      <c r="I71" s="175" t="s">
        <v>41</v>
      </c>
    </row>
    <row r="72" spans="1:9" ht="15.75" customHeight="1">
      <c r="A72" s="208" t="s">
        <v>7</v>
      </c>
      <c r="B72" s="240" t="s">
        <v>194</v>
      </c>
      <c r="C72" s="240"/>
      <c r="D72" s="240"/>
      <c r="E72" s="240"/>
      <c r="F72" s="240"/>
      <c r="G72" s="240"/>
      <c r="H72" s="240"/>
      <c r="I72" s="280">
        <f>IF(ROUND((H75*H73*H74)-(I44*H76),2)&lt;0,0,ROUND((H75*H73*H74)-(I44*H76),2))</f>
        <v>243.57</v>
      </c>
    </row>
    <row r="73" spans="1:9" ht="22.5" customHeight="1">
      <c r="A73" s="208"/>
      <c r="B73" s="240" t="s">
        <v>195</v>
      </c>
      <c r="C73" s="240"/>
      <c r="D73" s="240"/>
      <c r="E73" s="240"/>
      <c r="F73" s="240"/>
      <c r="G73" s="240"/>
      <c r="H73" s="241">
        <v>8</v>
      </c>
      <c r="I73" s="281" t="s">
        <v>70</v>
      </c>
    </row>
    <row r="74" spans="1:9" ht="17.25" customHeight="1">
      <c r="A74" s="208"/>
      <c r="B74" s="168" t="s">
        <v>196</v>
      </c>
      <c r="C74" s="168"/>
      <c r="D74" s="168"/>
      <c r="E74" s="168"/>
      <c r="F74" s="168"/>
      <c r="G74" s="168"/>
      <c r="H74" s="242">
        <v>2</v>
      </c>
      <c r="I74" s="281"/>
    </row>
    <row r="75" spans="1:9" ht="15" customHeight="1">
      <c r="A75" s="208"/>
      <c r="B75" s="168" t="s">
        <v>197</v>
      </c>
      <c r="C75" s="168"/>
      <c r="D75" s="168"/>
      <c r="E75" s="168"/>
      <c r="F75" s="168"/>
      <c r="G75" s="168"/>
      <c r="H75" s="243">
        <v>21</v>
      </c>
      <c r="I75" s="281"/>
    </row>
    <row r="76" spans="1:9" ht="27" customHeight="1">
      <c r="A76" s="208"/>
      <c r="B76" s="244" t="s">
        <v>198</v>
      </c>
      <c r="C76" s="244"/>
      <c r="D76" s="244"/>
      <c r="E76" s="244"/>
      <c r="F76" s="244"/>
      <c r="G76" s="244"/>
      <c r="H76" s="245">
        <v>0.06</v>
      </c>
      <c r="I76" s="168"/>
    </row>
    <row r="77" spans="1:9" ht="15.75" customHeight="1">
      <c r="A77" s="208" t="s">
        <v>10</v>
      </c>
      <c r="B77" s="240" t="s">
        <v>199</v>
      </c>
      <c r="C77" s="240"/>
      <c r="D77" s="240"/>
      <c r="E77" s="240"/>
      <c r="F77" s="240"/>
      <c r="G77" s="240"/>
      <c r="H77" s="240"/>
      <c r="I77" s="280">
        <f>ROUND(H79*H78*(1-H80),2)</f>
        <v>374.22</v>
      </c>
    </row>
    <row r="78" spans="1:9" ht="15.75" customHeight="1">
      <c r="A78" s="208"/>
      <c r="B78" s="240" t="s">
        <v>200</v>
      </c>
      <c r="C78" s="240"/>
      <c r="D78" s="240"/>
      <c r="E78" s="240"/>
      <c r="F78" s="240"/>
      <c r="G78" s="240"/>
      <c r="H78" s="241">
        <v>22</v>
      </c>
      <c r="I78" s="281" t="s">
        <v>70</v>
      </c>
    </row>
    <row r="79" spans="1:9" ht="15.75" customHeight="1">
      <c r="A79" s="246"/>
      <c r="B79" s="240" t="s">
        <v>201</v>
      </c>
      <c r="C79" s="240"/>
      <c r="D79" s="240"/>
      <c r="E79" s="240"/>
      <c r="F79" s="240"/>
      <c r="G79" s="240"/>
      <c r="H79" s="247">
        <v>21</v>
      </c>
      <c r="I79" s="281"/>
    </row>
    <row r="80" spans="1:9" ht="15.75" customHeight="1">
      <c r="A80" s="246"/>
      <c r="B80" s="248" t="s">
        <v>77</v>
      </c>
      <c r="C80" s="248"/>
      <c r="D80" s="248"/>
      <c r="E80" s="248"/>
      <c r="F80" s="248"/>
      <c r="G80" s="248"/>
      <c r="H80" s="249">
        <v>0.19</v>
      </c>
      <c r="I80" s="281"/>
    </row>
    <row r="81" spans="1:9" ht="30.75" customHeight="1">
      <c r="A81" s="208" t="s">
        <v>13</v>
      </c>
      <c r="B81" s="168" t="s">
        <v>202</v>
      </c>
      <c r="C81" s="168"/>
      <c r="D81" s="168"/>
      <c r="E81" s="168"/>
      <c r="F81" s="168"/>
      <c r="G81" s="168"/>
      <c r="H81" s="168"/>
      <c r="I81" s="185">
        <v>19.42</v>
      </c>
    </row>
    <row r="82" spans="1:9" ht="15.75" customHeight="1">
      <c r="A82" s="250"/>
      <c r="B82" s="214" t="s">
        <v>36</v>
      </c>
      <c r="C82" s="214"/>
      <c r="D82" s="214"/>
      <c r="E82" s="214"/>
      <c r="F82" s="214"/>
      <c r="G82" s="214"/>
      <c r="H82" s="214"/>
      <c r="I82" s="278">
        <f>SUM(I72:I81)</f>
        <v>637.2099999999999</v>
      </c>
    </row>
    <row r="83" spans="1:9" ht="7.5" customHeight="1">
      <c r="A83" s="190"/>
      <c r="B83" s="190"/>
      <c r="C83" s="190"/>
      <c r="D83" s="190"/>
      <c r="E83" s="190"/>
      <c r="F83" s="190"/>
      <c r="G83" s="190"/>
      <c r="H83" s="190"/>
      <c r="I83" s="190"/>
    </row>
    <row r="84" spans="1:9" ht="36" customHeight="1">
      <c r="A84" s="196" t="s">
        <v>80</v>
      </c>
      <c r="B84" s="196"/>
      <c r="C84" s="196"/>
      <c r="D84" s="196"/>
      <c r="E84" s="196"/>
      <c r="F84" s="196"/>
      <c r="G84" s="196"/>
      <c r="H84" s="196"/>
      <c r="I84" s="196"/>
    </row>
    <row r="85" spans="1:9" ht="7.5" customHeight="1">
      <c r="A85" s="184"/>
      <c r="B85" s="184"/>
      <c r="C85" s="184"/>
      <c r="D85" s="184"/>
      <c r="E85" s="184"/>
      <c r="F85" s="184"/>
      <c r="G85" s="184"/>
      <c r="H85" s="184"/>
      <c r="I85" s="184"/>
    </row>
    <row r="86" spans="1:9" ht="21.75" customHeight="1">
      <c r="A86" s="198" t="s">
        <v>81</v>
      </c>
      <c r="B86" s="198"/>
      <c r="C86" s="198"/>
      <c r="D86" s="198"/>
      <c r="E86" s="198"/>
      <c r="F86" s="198"/>
      <c r="G86" s="198"/>
      <c r="H86" s="198"/>
      <c r="I86" s="198"/>
    </row>
    <row r="87" spans="1:9" ht="23.25" customHeight="1">
      <c r="A87" s="175">
        <v>2</v>
      </c>
      <c r="B87" s="175" t="s">
        <v>82</v>
      </c>
      <c r="C87" s="175"/>
      <c r="D87" s="175"/>
      <c r="E87" s="175"/>
      <c r="F87" s="175"/>
      <c r="G87" s="175"/>
      <c r="H87" s="175"/>
      <c r="I87" s="175" t="s">
        <v>41</v>
      </c>
    </row>
    <row r="88" spans="1:9" ht="21.75" customHeight="1">
      <c r="A88" s="173" t="s">
        <v>39</v>
      </c>
      <c r="B88" s="198" t="s">
        <v>203</v>
      </c>
      <c r="C88" s="198"/>
      <c r="D88" s="198"/>
      <c r="E88" s="198"/>
      <c r="F88" s="198"/>
      <c r="G88" s="198"/>
      <c r="H88" s="198"/>
      <c r="I88" s="231">
        <f>I55</f>
        <v>244.89</v>
      </c>
    </row>
    <row r="89" spans="1:9" ht="18.75" customHeight="1">
      <c r="A89" s="173" t="s">
        <v>46</v>
      </c>
      <c r="B89" s="198" t="s">
        <v>47</v>
      </c>
      <c r="C89" s="198"/>
      <c r="D89" s="198"/>
      <c r="E89" s="198"/>
      <c r="F89" s="198"/>
      <c r="G89" s="198"/>
      <c r="H89" s="198"/>
      <c r="I89" s="231">
        <f>I66</f>
        <v>883.7899999999998</v>
      </c>
    </row>
    <row r="90" spans="1:9" ht="21.75" customHeight="1">
      <c r="A90" s="173" t="s">
        <v>66</v>
      </c>
      <c r="B90" s="198" t="s">
        <v>67</v>
      </c>
      <c r="C90" s="198"/>
      <c r="D90" s="198"/>
      <c r="E90" s="198"/>
      <c r="F90" s="198"/>
      <c r="G90" s="198"/>
      <c r="H90" s="198"/>
      <c r="I90" s="231">
        <f>I82</f>
        <v>637.2099999999999</v>
      </c>
    </row>
    <row r="91" spans="1:9" ht="21.75" customHeight="1">
      <c r="A91" s="202" t="s">
        <v>44</v>
      </c>
      <c r="B91" s="202"/>
      <c r="C91" s="202"/>
      <c r="D91" s="202"/>
      <c r="E91" s="202"/>
      <c r="F91" s="202"/>
      <c r="G91" s="202"/>
      <c r="H91" s="202"/>
      <c r="I91" s="282">
        <f>SUM(I88+I89+I90)</f>
        <v>1765.8899999999999</v>
      </c>
    </row>
    <row r="92" spans="1:9" ht="12" customHeight="1">
      <c r="A92" s="251"/>
      <c r="B92" s="251"/>
      <c r="C92" s="251"/>
      <c r="D92" s="251"/>
      <c r="E92" s="251"/>
      <c r="F92" s="251"/>
      <c r="G92" s="251"/>
      <c r="H92" s="251"/>
      <c r="I92" s="251"/>
    </row>
    <row r="93" spans="1:9" s="158" customFormat="1" ht="26.25" customHeight="1">
      <c r="A93" s="206" t="s">
        <v>84</v>
      </c>
      <c r="B93" s="206"/>
      <c r="C93" s="206"/>
      <c r="D93" s="206"/>
      <c r="E93" s="206"/>
      <c r="F93" s="206"/>
      <c r="G93" s="206"/>
      <c r="H93" s="206"/>
      <c r="I93" s="206"/>
    </row>
    <row r="94" spans="1:9" s="158" customFormat="1" ht="28.5" customHeight="1">
      <c r="A94" s="239">
        <v>3</v>
      </c>
      <c r="B94" s="239" t="s">
        <v>85</v>
      </c>
      <c r="C94" s="239"/>
      <c r="D94" s="239"/>
      <c r="E94" s="239"/>
      <c r="F94" s="239"/>
      <c r="G94" s="239"/>
      <c r="H94" s="239"/>
      <c r="I94" s="239" t="s">
        <v>86</v>
      </c>
    </row>
    <row r="95" spans="1:9" s="158" customFormat="1" ht="49.5" customHeight="1">
      <c r="A95" s="208" t="s">
        <v>7</v>
      </c>
      <c r="B95" s="198" t="s">
        <v>204</v>
      </c>
      <c r="C95" s="198"/>
      <c r="D95" s="198"/>
      <c r="E95" s="198"/>
      <c r="F95" s="198"/>
      <c r="G95" s="198"/>
      <c r="H95" s="198"/>
      <c r="I95" s="233">
        <f>ROUND((($I$46/12)+($I$53/12)+($I$46*0.121/12))*(30/30)*0.05,2)</f>
        <v>10.82</v>
      </c>
    </row>
    <row r="96" spans="1:9" s="158" customFormat="1" ht="15.75" customHeight="1">
      <c r="A96" s="208" t="s">
        <v>10</v>
      </c>
      <c r="B96" s="206" t="s">
        <v>88</v>
      </c>
      <c r="C96" s="206"/>
      <c r="D96" s="206"/>
      <c r="E96" s="206"/>
      <c r="F96" s="206"/>
      <c r="G96" s="206"/>
      <c r="H96" s="206"/>
      <c r="I96" s="233">
        <f>ROUND($I$95*H65,2)</f>
        <v>0.87</v>
      </c>
    </row>
    <row r="97" spans="1:9" s="158" customFormat="1" ht="36.75" customHeight="1">
      <c r="A97" s="208" t="s">
        <v>13</v>
      </c>
      <c r="B97" s="198" t="s">
        <v>205</v>
      </c>
      <c r="C97" s="198"/>
      <c r="D97" s="198"/>
      <c r="E97" s="198"/>
      <c r="F97" s="198"/>
      <c r="G97" s="198"/>
      <c r="H97" s="198"/>
      <c r="I97" s="233">
        <f>ROUND(((($I$46/30)*7)/$H$10)*(30/30),2)</f>
        <v>41.94</v>
      </c>
    </row>
    <row r="98" spans="1:9" s="158" customFormat="1" ht="15.75" customHeight="1">
      <c r="A98" s="208" t="s">
        <v>16</v>
      </c>
      <c r="B98" s="206" t="s">
        <v>90</v>
      </c>
      <c r="C98" s="206"/>
      <c r="D98" s="206"/>
      <c r="E98" s="206"/>
      <c r="F98" s="206"/>
      <c r="G98" s="206"/>
      <c r="H98" s="206"/>
      <c r="I98" s="233">
        <f>ROUND($H$66*I97,2)</f>
        <v>15.43</v>
      </c>
    </row>
    <row r="99" spans="1:9" s="158" customFormat="1" ht="35.25" customHeight="1">
      <c r="A99" s="208" t="s">
        <v>56</v>
      </c>
      <c r="B99" s="198" t="s">
        <v>206</v>
      </c>
      <c r="C99" s="198"/>
      <c r="D99" s="198"/>
      <c r="E99" s="198"/>
      <c r="F99" s="198"/>
      <c r="G99" s="198"/>
      <c r="H99" s="252">
        <v>0.04</v>
      </c>
      <c r="I99" s="233">
        <f>ROUND($I$46*H99,2)</f>
        <v>86.27</v>
      </c>
    </row>
    <row r="100" spans="1:9" s="158" customFormat="1" ht="15.75" customHeight="1">
      <c r="A100" s="214" t="s">
        <v>44</v>
      </c>
      <c r="B100" s="214"/>
      <c r="C100" s="214"/>
      <c r="D100" s="214"/>
      <c r="E100" s="214"/>
      <c r="F100" s="214"/>
      <c r="G100" s="214"/>
      <c r="H100" s="214"/>
      <c r="I100" s="278">
        <f>SUM(I95:I99)</f>
        <v>155.32999999999998</v>
      </c>
    </row>
    <row r="101" spans="1:9" s="158" customFormat="1" ht="10.5" customHeight="1">
      <c r="A101" s="239"/>
      <c r="B101" s="239"/>
      <c r="C101" s="239"/>
      <c r="D101" s="239"/>
      <c r="E101" s="239"/>
      <c r="F101" s="239"/>
      <c r="G101" s="239"/>
      <c r="H101" s="239"/>
      <c r="I101" s="239"/>
    </row>
    <row r="102" spans="1:9" s="159" customFormat="1" ht="57" customHeight="1">
      <c r="A102" s="238" t="s">
        <v>92</v>
      </c>
      <c r="B102" s="253"/>
      <c r="C102" s="253"/>
      <c r="D102" s="253"/>
      <c r="E102" s="253"/>
      <c r="F102" s="253"/>
      <c r="G102" s="253"/>
      <c r="H102" s="253"/>
      <c r="I102" s="253"/>
    </row>
    <row r="103" spans="1:9" s="158" customFormat="1" ht="10.5" customHeight="1">
      <c r="A103" s="239"/>
      <c r="B103" s="239"/>
      <c r="C103" s="239"/>
      <c r="D103" s="239"/>
      <c r="E103" s="239"/>
      <c r="F103" s="239"/>
      <c r="G103" s="239"/>
      <c r="H103" s="239"/>
      <c r="I103" s="239"/>
    </row>
    <row r="104" spans="1:9" ht="24" customHeight="1">
      <c r="A104" s="198" t="s">
        <v>93</v>
      </c>
      <c r="B104" s="198"/>
      <c r="C104" s="198"/>
      <c r="D104" s="198"/>
      <c r="E104" s="198"/>
      <c r="F104" s="198"/>
      <c r="G104" s="198"/>
      <c r="H104" s="198"/>
      <c r="I104" s="198"/>
    </row>
    <row r="105" spans="1:9" ht="27" customHeight="1">
      <c r="A105" s="238" t="s">
        <v>94</v>
      </c>
      <c r="B105" s="238"/>
      <c r="C105" s="238"/>
      <c r="D105" s="238"/>
      <c r="E105" s="238"/>
      <c r="F105" s="238"/>
      <c r="G105" s="238"/>
      <c r="H105" s="238"/>
      <c r="I105" s="238"/>
    </row>
    <row r="106" spans="1:9" ht="61.5" customHeight="1">
      <c r="A106" s="254" t="s">
        <v>207</v>
      </c>
      <c r="B106" s="254"/>
      <c r="C106" s="254"/>
      <c r="D106" s="254"/>
      <c r="E106" s="254"/>
      <c r="F106" s="254"/>
      <c r="G106" s="254"/>
      <c r="H106" s="254"/>
      <c r="I106" s="254"/>
    </row>
    <row r="107" spans="1:9" ht="8.25" customHeight="1">
      <c r="A107" s="255"/>
      <c r="B107" s="255"/>
      <c r="C107" s="255"/>
      <c r="D107" s="255"/>
      <c r="E107" s="255"/>
      <c r="F107" s="255"/>
      <c r="G107" s="255"/>
      <c r="H107" s="255"/>
      <c r="I107" s="255"/>
    </row>
    <row r="108" spans="1:9" ht="57" customHeight="1">
      <c r="A108" s="256" t="s">
        <v>96</v>
      </c>
      <c r="B108" s="257">
        <f>I46</f>
        <v>2156.71</v>
      </c>
      <c r="C108" s="258"/>
      <c r="D108" s="256" t="s">
        <v>208</v>
      </c>
      <c r="E108" s="257">
        <f>I91-I72-I77+I112</f>
        <v>1415.85</v>
      </c>
      <c r="F108" s="259"/>
      <c r="G108" s="256" t="s">
        <v>98</v>
      </c>
      <c r="H108" s="257">
        <f>I100</f>
        <v>155.32999999999998</v>
      </c>
      <c r="I108" s="283">
        <f>B108+E108+H108</f>
        <v>3727.89</v>
      </c>
    </row>
    <row r="109" spans="1:9" ht="7.5" customHeight="1">
      <c r="A109" s="260"/>
      <c r="B109" s="260"/>
      <c r="C109" s="260"/>
      <c r="D109" s="260"/>
      <c r="E109" s="260"/>
      <c r="F109" s="260"/>
      <c r="G109" s="260"/>
      <c r="H109" s="260"/>
      <c r="I109" s="260"/>
    </row>
    <row r="110" spans="1:9" ht="22.5" customHeight="1">
      <c r="A110" s="198" t="s">
        <v>99</v>
      </c>
      <c r="B110" s="198"/>
      <c r="C110" s="198"/>
      <c r="D110" s="198"/>
      <c r="E110" s="198"/>
      <c r="F110" s="198"/>
      <c r="G110" s="198"/>
      <c r="H110" s="198"/>
      <c r="I110" s="198"/>
    </row>
    <row r="111" spans="1:13" ht="15.75" customHeight="1">
      <c r="A111" s="261" t="s">
        <v>100</v>
      </c>
      <c r="B111" s="239" t="s">
        <v>101</v>
      </c>
      <c r="C111" s="239"/>
      <c r="D111" s="239"/>
      <c r="E111" s="239"/>
      <c r="F111" s="239"/>
      <c r="G111" s="239"/>
      <c r="H111" s="239"/>
      <c r="I111" s="261" t="s">
        <v>41</v>
      </c>
      <c r="K111" s="161">
        <f>H112*I108</f>
        <v>1371.86352</v>
      </c>
      <c r="M111" s="161">
        <f>B108*G112</f>
        <v>195.7214325</v>
      </c>
    </row>
    <row r="112" spans="1:12" ht="54" customHeight="1">
      <c r="A112" s="208" t="s">
        <v>7</v>
      </c>
      <c r="B112" s="262" t="s">
        <v>209</v>
      </c>
      <c r="C112" s="263"/>
      <c r="D112" s="263"/>
      <c r="E112" s="263"/>
      <c r="F112" s="263"/>
      <c r="G112" s="264">
        <v>0.09075</v>
      </c>
      <c r="H112" s="265">
        <f>H66</f>
        <v>0.36800000000000005</v>
      </c>
      <c r="I112" s="233">
        <f>ROUND($B$108*G112+$B$108*G112*H112,2)</f>
        <v>267.75</v>
      </c>
      <c r="K112" s="161">
        <f>B108*G112*(1+H112)</f>
        <v>267.74691966</v>
      </c>
      <c r="L112" s="224">
        <f>39.13+I112</f>
        <v>306.88</v>
      </c>
    </row>
    <row r="113" spans="1:11" ht="26.25" customHeight="1">
      <c r="A113" s="208" t="s">
        <v>10</v>
      </c>
      <c r="B113" s="266" t="s">
        <v>210</v>
      </c>
      <c r="C113" s="267"/>
      <c r="D113" s="267"/>
      <c r="E113" s="267"/>
      <c r="F113" s="267"/>
      <c r="G113" s="267"/>
      <c r="H113" s="267"/>
      <c r="I113" s="233">
        <f>ROUND((($I$108/30)*1)/12,2)</f>
        <v>10.36</v>
      </c>
      <c r="K113" s="161">
        <f>0.36*B108</f>
        <v>776.4156</v>
      </c>
    </row>
    <row r="114" spans="1:11" ht="26.25" customHeight="1">
      <c r="A114" s="208" t="s">
        <v>13</v>
      </c>
      <c r="B114" s="266" t="s">
        <v>211</v>
      </c>
      <c r="C114" s="267"/>
      <c r="D114" s="267"/>
      <c r="E114" s="267"/>
      <c r="F114" s="267"/>
      <c r="G114" s="267"/>
      <c r="H114" s="267"/>
      <c r="I114" s="233">
        <f>ROUND((($I$108/30)*5)/12*0.015,2)</f>
        <v>0.78</v>
      </c>
      <c r="K114" s="161">
        <f>SUM(K112:K113)</f>
        <v>1044.16251966</v>
      </c>
    </row>
    <row r="115" spans="1:11" ht="36" customHeight="1">
      <c r="A115" s="208" t="s">
        <v>16</v>
      </c>
      <c r="B115" s="268" t="s">
        <v>212</v>
      </c>
      <c r="C115" s="269"/>
      <c r="D115" s="269"/>
      <c r="E115" s="269"/>
      <c r="F115" s="269"/>
      <c r="G115" s="269"/>
      <c r="H115" s="270"/>
      <c r="I115" s="233">
        <f>ROUND((((($I$108)/30)*0.97)/12),2)</f>
        <v>10.04</v>
      </c>
      <c r="K115" s="161">
        <f>K114*H112</f>
        <v>384.25180723488006</v>
      </c>
    </row>
    <row r="116" spans="1:9" ht="87.75" customHeight="1">
      <c r="A116" s="271" t="s">
        <v>56</v>
      </c>
      <c r="B116" s="272" t="s">
        <v>213</v>
      </c>
      <c r="C116" s="269"/>
      <c r="D116" s="269"/>
      <c r="E116" s="269"/>
      <c r="F116" s="269"/>
      <c r="G116" s="269"/>
      <c r="H116" s="270"/>
      <c r="I116" s="280">
        <f>ROUND(((((B108*0.121)+(H66)*(B108*0.121))*(4/12)))*0.02,2)+ROUND(((H65*B108+H66*I53+I82-I72-I77+I100)*4/12)*0.02,2)</f>
        <v>5.14</v>
      </c>
    </row>
    <row r="117" spans="1:9" ht="39.75" customHeight="1">
      <c r="A117" s="273" t="s">
        <v>58</v>
      </c>
      <c r="B117" s="274" t="s">
        <v>214</v>
      </c>
      <c r="C117" s="275"/>
      <c r="D117" s="275"/>
      <c r="E117" s="275"/>
      <c r="F117" s="275"/>
      <c r="G117" s="275"/>
      <c r="H117" s="276"/>
      <c r="I117" s="233">
        <f>ROUND((((($I$108)/30)*3)/12),2)</f>
        <v>31.07</v>
      </c>
    </row>
    <row r="118" spans="1:9" ht="15.75" customHeight="1">
      <c r="A118" s="214" t="s">
        <v>44</v>
      </c>
      <c r="B118" s="214"/>
      <c r="C118" s="214"/>
      <c r="D118" s="214"/>
      <c r="E118" s="214"/>
      <c r="F118" s="214"/>
      <c r="G118" s="214"/>
      <c r="H118" s="214"/>
      <c r="I118" s="284">
        <f>SUM(I112:I117)</f>
        <v>325.14</v>
      </c>
    </row>
    <row r="119" spans="1:9" ht="9.75" customHeight="1">
      <c r="A119" s="214"/>
      <c r="B119" s="214"/>
      <c r="C119" s="214"/>
      <c r="D119" s="214"/>
      <c r="E119" s="214"/>
      <c r="F119" s="214"/>
      <c r="G119" s="214"/>
      <c r="H119" s="214"/>
      <c r="I119" s="214"/>
    </row>
    <row r="120" spans="1:9" ht="23.25" customHeight="1">
      <c r="A120" s="198" t="s">
        <v>108</v>
      </c>
      <c r="B120" s="198"/>
      <c r="C120" s="198"/>
      <c r="D120" s="198"/>
      <c r="E120" s="198"/>
      <c r="F120" s="198"/>
      <c r="G120" s="198"/>
      <c r="H120" s="198"/>
      <c r="I120" s="198"/>
    </row>
    <row r="121" spans="1:9" ht="27.75" customHeight="1">
      <c r="A121" s="175">
        <v>4</v>
      </c>
      <c r="B121" s="239" t="s">
        <v>109</v>
      </c>
      <c r="C121" s="239"/>
      <c r="D121" s="239"/>
      <c r="E121" s="239"/>
      <c r="F121" s="239"/>
      <c r="G121" s="239"/>
      <c r="H121" s="239"/>
      <c r="I121" s="285" t="s">
        <v>41</v>
      </c>
    </row>
    <row r="122" spans="1:9" ht="19.5" customHeight="1">
      <c r="A122" s="173" t="s">
        <v>100</v>
      </c>
      <c r="B122" s="206" t="s">
        <v>101</v>
      </c>
      <c r="C122" s="206"/>
      <c r="D122" s="206"/>
      <c r="E122" s="206"/>
      <c r="F122" s="206"/>
      <c r="G122" s="206"/>
      <c r="H122" s="206"/>
      <c r="I122" s="233">
        <f>I118</f>
        <v>325.14</v>
      </c>
    </row>
    <row r="123" spans="1:9" ht="19.5" customHeight="1">
      <c r="A123" s="202" t="s">
        <v>44</v>
      </c>
      <c r="B123" s="202"/>
      <c r="C123" s="202"/>
      <c r="D123" s="202"/>
      <c r="E123" s="202"/>
      <c r="F123" s="202"/>
      <c r="G123" s="202"/>
      <c r="H123" s="202"/>
      <c r="I123" s="278">
        <f>SUM(I122)</f>
        <v>325.14</v>
      </c>
    </row>
    <row r="124" spans="1:9" ht="9" customHeight="1">
      <c r="A124" s="277"/>
      <c r="B124" s="277"/>
      <c r="C124" s="277"/>
      <c r="D124" s="277"/>
      <c r="E124" s="277"/>
      <c r="F124" s="277"/>
      <c r="G124" s="277"/>
      <c r="H124" s="277"/>
      <c r="I124" s="277"/>
    </row>
    <row r="125" spans="1:9" ht="30" customHeight="1">
      <c r="A125" s="198" t="s">
        <v>110</v>
      </c>
      <c r="B125" s="198"/>
      <c r="C125" s="198"/>
      <c r="D125" s="198"/>
      <c r="E125" s="198"/>
      <c r="F125" s="198"/>
      <c r="G125" s="198"/>
      <c r="H125" s="198"/>
      <c r="I125" s="198"/>
    </row>
    <row r="126" spans="1:9" ht="25.5" customHeight="1">
      <c r="A126" s="239">
        <v>5</v>
      </c>
      <c r="B126" s="175" t="s">
        <v>111</v>
      </c>
      <c r="C126" s="175"/>
      <c r="D126" s="175"/>
      <c r="E126" s="175"/>
      <c r="F126" s="175"/>
      <c r="G126" s="175"/>
      <c r="H126" s="175"/>
      <c r="I126" s="239" t="s">
        <v>41</v>
      </c>
    </row>
    <row r="127" spans="1:9" ht="17.25" customHeight="1">
      <c r="A127" s="208" t="s">
        <v>7</v>
      </c>
      <c r="B127" s="168" t="s">
        <v>215</v>
      </c>
      <c r="C127" s="168"/>
      <c r="D127" s="168"/>
      <c r="E127" s="168"/>
      <c r="F127" s="168"/>
      <c r="G127" s="168"/>
      <c r="H127" s="168"/>
      <c r="I127" s="233">
        <f>'INSUMOS IFRS'!G89</f>
        <v>723.4553846153847</v>
      </c>
    </row>
    <row r="128" spans="1:9" ht="17.25" customHeight="1">
      <c r="A128" s="208" t="s">
        <v>10</v>
      </c>
      <c r="B128" s="274" t="s">
        <v>216</v>
      </c>
      <c r="C128" s="275"/>
      <c r="D128" s="275"/>
      <c r="E128" s="275"/>
      <c r="F128" s="275"/>
      <c r="G128" s="275"/>
      <c r="H128" s="276"/>
      <c r="I128" s="233">
        <f>'INSUMOS IFRS'!G90</f>
        <v>193.5665128205128</v>
      </c>
    </row>
    <row r="129" spans="1:9" ht="15.75" customHeight="1">
      <c r="A129" s="208" t="s">
        <v>13</v>
      </c>
      <c r="B129" s="286" t="s">
        <v>217</v>
      </c>
      <c r="C129" s="286"/>
      <c r="D129" s="286"/>
      <c r="E129" s="286"/>
      <c r="F129" s="286"/>
      <c r="G129" s="286"/>
      <c r="H129" s="286"/>
      <c r="I129" s="328">
        <f>'INSUMOS IFRS'!G93</f>
        <v>19.864615384615384</v>
      </c>
    </row>
    <row r="130" spans="1:9" ht="15.75" customHeight="1">
      <c r="A130" s="208" t="s">
        <v>16</v>
      </c>
      <c r="B130" s="287" t="s">
        <v>112</v>
      </c>
      <c r="C130" s="288"/>
      <c r="D130" s="288"/>
      <c r="E130" s="288"/>
      <c r="F130" s="288"/>
      <c r="G130" s="288"/>
      <c r="H130" s="289"/>
      <c r="I130" s="328">
        <f>'INSUMOS IFRS'!G95</f>
        <v>117.20833333333331</v>
      </c>
    </row>
    <row r="131" spans="1:9" ht="15.75" customHeight="1">
      <c r="A131" s="208" t="s">
        <v>56</v>
      </c>
      <c r="B131" s="168" t="s">
        <v>218</v>
      </c>
      <c r="C131" s="168"/>
      <c r="D131" s="168"/>
      <c r="E131" s="168"/>
      <c r="F131" s="168"/>
      <c r="G131" s="168"/>
      <c r="H131" s="168"/>
      <c r="I131" s="328">
        <f>'INSUMOS IFRS'!I121</f>
        <v>3.8600999999999996</v>
      </c>
    </row>
    <row r="132" spans="1:9" ht="15.75" customHeight="1">
      <c r="A132" s="214" t="s">
        <v>36</v>
      </c>
      <c r="B132" s="214"/>
      <c r="C132" s="214"/>
      <c r="D132" s="214"/>
      <c r="E132" s="214"/>
      <c r="F132" s="214"/>
      <c r="G132" s="214"/>
      <c r="H132" s="214"/>
      <c r="I132" s="282">
        <f>SUM(I127:I131)</f>
        <v>1057.9549461538463</v>
      </c>
    </row>
    <row r="133" spans="1:9" ht="8.25" customHeight="1">
      <c r="A133" s="190"/>
      <c r="B133" s="190"/>
      <c r="C133" s="190"/>
      <c r="D133" s="190"/>
      <c r="E133" s="190"/>
      <c r="F133" s="190"/>
      <c r="G133" s="190"/>
      <c r="H133" s="190"/>
      <c r="I133" s="190"/>
    </row>
    <row r="134" spans="1:9" ht="14.25" customHeight="1">
      <c r="A134" s="290" t="s">
        <v>219</v>
      </c>
      <c r="B134" s="290"/>
      <c r="C134" s="290"/>
      <c r="D134" s="290"/>
      <c r="E134" s="290"/>
      <c r="F134" s="290"/>
      <c r="G134" s="290"/>
      <c r="H134" s="290"/>
      <c r="I134" s="290"/>
    </row>
    <row r="135" spans="1:9" ht="8.25" customHeight="1">
      <c r="A135" s="291"/>
      <c r="B135" s="292"/>
      <c r="C135" s="292"/>
      <c r="D135" s="292"/>
      <c r="E135" s="292"/>
      <c r="F135" s="292"/>
      <c r="G135" s="292"/>
      <c r="H135" s="292"/>
      <c r="I135" s="329"/>
    </row>
    <row r="136" spans="1:9" s="158" customFormat="1" ht="29.25" customHeight="1">
      <c r="A136" s="206" t="s">
        <v>113</v>
      </c>
      <c r="B136" s="206"/>
      <c r="C136" s="206"/>
      <c r="D136" s="206"/>
      <c r="E136" s="206"/>
      <c r="F136" s="206"/>
      <c r="G136" s="206"/>
      <c r="H136" s="206"/>
      <c r="I136" s="206"/>
    </row>
    <row r="137" spans="1:9" ht="32.25" customHeight="1">
      <c r="A137" s="239">
        <v>6</v>
      </c>
      <c r="B137" s="239" t="s">
        <v>114</v>
      </c>
      <c r="C137" s="239"/>
      <c r="D137" s="239"/>
      <c r="E137" s="239"/>
      <c r="F137" s="239"/>
      <c r="G137" s="239"/>
      <c r="H137" s="175" t="s">
        <v>48</v>
      </c>
      <c r="I137" s="330" t="s">
        <v>115</v>
      </c>
    </row>
    <row r="138" spans="1:9" ht="51" customHeight="1">
      <c r="A138" s="293" t="s">
        <v>116</v>
      </c>
      <c r="B138" s="293"/>
      <c r="C138" s="293"/>
      <c r="D138" s="293"/>
      <c r="E138" s="293"/>
      <c r="F138" s="293"/>
      <c r="G138" s="293"/>
      <c r="H138" s="294" t="s">
        <v>70</v>
      </c>
      <c r="I138" s="331">
        <f>SUM(I46+I91+I100+I123+I132)</f>
        <v>5461.024946153846</v>
      </c>
    </row>
    <row r="139" spans="1:9" ht="15.75" customHeight="1">
      <c r="A139" s="208" t="s">
        <v>7</v>
      </c>
      <c r="B139" s="286" t="s">
        <v>117</v>
      </c>
      <c r="C139" s="286"/>
      <c r="D139" s="286"/>
      <c r="E139" s="286"/>
      <c r="F139" s="286"/>
      <c r="G139" s="286"/>
      <c r="H139" s="218">
        <v>0.03</v>
      </c>
      <c r="I139" s="233">
        <f>ROUND(H139*I138,2)</f>
        <v>163.83</v>
      </c>
    </row>
    <row r="140" spans="1:9" ht="48" customHeight="1">
      <c r="A140" s="293" t="s">
        <v>118</v>
      </c>
      <c r="B140" s="293"/>
      <c r="C140" s="293"/>
      <c r="D140" s="293"/>
      <c r="E140" s="293"/>
      <c r="F140" s="293"/>
      <c r="G140" s="293"/>
      <c r="H140" s="295" t="s">
        <v>70</v>
      </c>
      <c r="I140" s="331">
        <f>SUM(I46+I91+I100+I123+I132+I139)</f>
        <v>5624.854946153846</v>
      </c>
    </row>
    <row r="141" spans="1:9" ht="15.75" customHeight="1">
      <c r="A141" s="208" t="s">
        <v>10</v>
      </c>
      <c r="B141" s="286" t="s">
        <v>119</v>
      </c>
      <c r="C141" s="286"/>
      <c r="D141" s="286"/>
      <c r="E141" s="286"/>
      <c r="F141" s="286"/>
      <c r="G141" s="286"/>
      <c r="H141" s="218">
        <v>0.0679</v>
      </c>
      <c r="I141" s="233">
        <f>ROUND(H141*I140,2)</f>
        <v>381.93</v>
      </c>
    </row>
    <row r="142" spans="1:9" ht="49.5" customHeight="1">
      <c r="A142" s="293" t="s">
        <v>120</v>
      </c>
      <c r="B142" s="293"/>
      <c r="C142" s="293"/>
      <c r="D142" s="293"/>
      <c r="E142" s="293"/>
      <c r="F142" s="293"/>
      <c r="G142" s="293"/>
      <c r="H142" s="295" t="s">
        <v>70</v>
      </c>
      <c r="I142" s="331">
        <f>SUM(I138+I139+I141)</f>
        <v>6006.784946153846</v>
      </c>
    </row>
    <row r="143" spans="1:9" ht="15.75" customHeight="1">
      <c r="A143" s="208" t="s">
        <v>13</v>
      </c>
      <c r="B143" s="286" t="s">
        <v>121</v>
      </c>
      <c r="C143" s="286"/>
      <c r="D143" s="286"/>
      <c r="E143" s="286"/>
      <c r="F143" s="286"/>
      <c r="G143" s="286"/>
      <c r="H143" s="296" t="s">
        <v>70</v>
      </c>
      <c r="I143" s="332" t="s">
        <v>70</v>
      </c>
    </row>
    <row r="144" spans="1:9" ht="15.75" customHeight="1">
      <c r="A144" s="208"/>
      <c r="B144" s="286" t="s">
        <v>122</v>
      </c>
      <c r="C144" s="286"/>
      <c r="D144" s="286"/>
      <c r="E144" s="286"/>
      <c r="F144" s="286"/>
      <c r="G144" s="286"/>
      <c r="H144" s="296" t="s">
        <v>70</v>
      </c>
      <c r="I144" s="332" t="s">
        <v>70</v>
      </c>
    </row>
    <row r="145" spans="1:9" ht="36" customHeight="1">
      <c r="A145" s="208"/>
      <c r="B145" s="196" t="s">
        <v>220</v>
      </c>
      <c r="C145" s="196"/>
      <c r="D145" s="196"/>
      <c r="E145" s="196"/>
      <c r="F145" s="196"/>
      <c r="G145" s="196"/>
      <c r="H145" s="297">
        <v>0.076</v>
      </c>
      <c r="I145" s="233">
        <f>ROUND(($I$142/(1-$H$154))*H145,2)</f>
        <v>532.38</v>
      </c>
    </row>
    <row r="146" spans="1:9" ht="35.25" customHeight="1">
      <c r="A146" s="208"/>
      <c r="B146" s="196" t="s">
        <v>221</v>
      </c>
      <c r="C146" s="196"/>
      <c r="D146" s="196"/>
      <c r="E146" s="196"/>
      <c r="F146" s="196"/>
      <c r="G146" s="196"/>
      <c r="H146" s="297">
        <v>0.0165</v>
      </c>
      <c r="I146" s="233">
        <f>ROUND(($I$142/(1-$H$154))*H146,2)</f>
        <v>115.58</v>
      </c>
    </row>
    <row r="147" spans="1:9" ht="27" customHeight="1">
      <c r="A147" s="208"/>
      <c r="B147" s="209" t="s">
        <v>222</v>
      </c>
      <c r="C147" s="209"/>
      <c r="D147" s="209"/>
      <c r="E147" s="209"/>
      <c r="F147" s="209"/>
      <c r="G147" s="209"/>
      <c r="H147" s="298" t="s">
        <v>70</v>
      </c>
      <c r="I147" s="332" t="s">
        <v>70</v>
      </c>
    </row>
    <row r="148" spans="1:9" ht="27" customHeight="1">
      <c r="A148" s="208"/>
      <c r="B148" s="209" t="s">
        <v>223</v>
      </c>
      <c r="C148" s="209"/>
      <c r="D148" s="209"/>
      <c r="E148" s="209"/>
      <c r="F148" s="209"/>
      <c r="G148" s="209"/>
      <c r="H148" s="298" t="s">
        <v>70</v>
      </c>
      <c r="I148" s="332" t="s">
        <v>70</v>
      </c>
    </row>
    <row r="149" spans="1:9" ht="18" customHeight="1">
      <c r="A149" s="208"/>
      <c r="B149" s="299" t="s">
        <v>127</v>
      </c>
      <c r="C149" s="299"/>
      <c r="D149" s="299"/>
      <c r="E149" s="299"/>
      <c r="F149" s="299"/>
      <c r="G149" s="299"/>
      <c r="H149" s="298" t="s">
        <v>70</v>
      </c>
      <c r="I149" s="332" t="s">
        <v>70</v>
      </c>
    </row>
    <row r="150" spans="1:9" ht="18" customHeight="1">
      <c r="A150" s="208"/>
      <c r="B150" s="300" t="s">
        <v>128</v>
      </c>
      <c r="C150" s="300"/>
      <c r="D150" s="300"/>
      <c r="E150" s="300"/>
      <c r="F150" s="300"/>
      <c r="G150" s="300"/>
      <c r="H150" s="298" t="s">
        <v>70</v>
      </c>
      <c r="I150" s="332" t="s">
        <v>70</v>
      </c>
    </row>
    <row r="151" spans="1:9" ht="15" customHeight="1">
      <c r="A151" s="208"/>
      <c r="B151" s="196" t="s">
        <v>224</v>
      </c>
      <c r="C151" s="196"/>
      <c r="D151" s="196"/>
      <c r="E151" s="196"/>
      <c r="F151" s="196"/>
      <c r="G151" s="196"/>
      <c r="H151" s="297">
        <v>0.05</v>
      </c>
      <c r="I151" s="233">
        <f>ROUND(($I$142/(1-$H$154))*H151,2)</f>
        <v>350.25</v>
      </c>
    </row>
    <row r="152" spans="1:9" ht="15.75" customHeight="1">
      <c r="A152" s="214" t="s">
        <v>44</v>
      </c>
      <c r="B152" s="214"/>
      <c r="C152" s="214"/>
      <c r="D152" s="214"/>
      <c r="E152" s="214"/>
      <c r="F152" s="214"/>
      <c r="G152" s="214"/>
      <c r="H152" s="214"/>
      <c r="I152" s="278">
        <f>SUM(I139+I141+I145+I146+I151)</f>
        <v>1543.9699999999998</v>
      </c>
    </row>
    <row r="153" spans="1:9" ht="6.75" customHeight="1">
      <c r="A153" s="277"/>
      <c r="B153" s="277"/>
      <c r="C153" s="277"/>
      <c r="D153" s="277"/>
      <c r="E153" s="277"/>
      <c r="F153" s="277"/>
      <c r="G153" s="277"/>
      <c r="H153" s="277"/>
      <c r="I153" s="277"/>
    </row>
    <row r="154" spans="1:9" ht="15.75" customHeight="1">
      <c r="A154" s="188" t="s">
        <v>130</v>
      </c>
      <c r="B154" s="188"/>
      <c r="C154" s="188"/>
      <c r="D154" s="188"/>
      <c r="E154" s="188"/>
      <c r="F154" s="188"/>
      <c r="G154" s="188"/>
      <c r="H154" s="301">
        <f>SUM(H145:H151)</f>
        <v>0.14250000000000002</v>
      </c>
      <c r="I154" s="333">
        <f>SUM(I145:I151)</f>
        <v>998.21</v>
      </c>
    </row>
    <row r="155" spans="1:9" ht="12.75" customHeight="1">
      <c r="A155" s="302" t="s">
        <v>131</v>
      </c>
      <c r="B155" s="302"/>
      <c r="C155" s="303" t="s">
        <v>132</v>
      </c>
      <c r="D155" s="303"/>
      <c r="E155" s="303"/>
      <c r="F155" s="303"/>
      <c r="G155" s="303"/>
      <c r="H155" s="303"/>
      <c r="I155" s="303"/>
    </row>
    <row r="156" spans="1:9" ht="12" customHeight="1">
      <c r="A156" s="302"/>
      <c r="B156" s="302"/>
      <c r="C156" s="303" t="s">
        <v>133</v>
      </c>
      <c r="D156" s="303"/>
      <c r="E156" s="303"/>
      <c r="F156" s="303"/>
      <c r="G156" s="303"/>
      <c r="H156" s="303"/>
      <c r="I156" s="303"/>
    </row>
    <row r="157" spans="1:9" ht="13.5" customHeight="1">
      <c r="A157" s="302"/>
      <c r="B157" s="302"/>
      <c r="C157" s="304" t="s">
        <v>134</v>
      </c>
      <c r="D157" s="304"/>
      <c r="E157" s="304"/>
      <c r="F157" s="304"/>
      <c r="G157" s="304"/>
      <c r="H157" s="304"/>
      <c r="I157" s="304"/>
    </row>
    <row r="158" spans="1:9" ht="6.75" customHeight="1">
      <c r="A158" s="305"/>
      <c r="B158" s="305"/>
      <c r="C158" s="305"/>
      <c r="D158" s="305"/>
      <c r="E158" s="305"/>
      <c r="F158" s="305"/>
      <c r="G158" s="305"/>
      <c r="H158" s="305"/>
      <c r="I158" s="305"/>
    </row>
    <row r="159" spans="1:9" ht="25.5" customHeight="1">
      <c r="A159" s="196" t="s">
        <v>135</v>
      </c>
      <c r="B159" s="196"/>
      <c r="C159" s="196"/>
      <c r="D159" s="196"/>
      <c r="E159" s="196"/>
      <c r="F159" s="196"/>
      <c r="G159" s="196"/>
      <c r="H159" s="196"/>
      <c r="I159" s="196"/>
    </row>
    <row r="160" spans="1:9" ht="5.25" customHeight="1">
      <c r="A160" s="277"/>
      <c r="B160" s="277"/>
      <c r="C160" s="277"/>
      <c r="D160" s="277"/>
      <c r="E160" s="277"/>
      <c r="F160" s="277"/>
      <c r="G160" s="277"/>
      <c r="H160" s="277"/>
      <c r="I160" s="277"/>
    </row>
    <row r="161" spans="1:9" ht="30" customHeight="1">
      <c r="A161" s="306" t="s">
        <v>136</v>
      </c>
      <c r="B161" s="306"/>
      <c r="C161" s="306"/>
      <c r="D161" s="306"/>
      <c r="E161" s="306"/>
      <c r="F161" s="306"/>
      <c r="G161" s="306"/>
      <c r="H161" s="306"/>
      <c r="I161" s="306"/>
    </row>
    <row r="162" spans="1:9" ht="15" customHeight="1">
      <c r="A162" s="170" t="s">
        <v>137</v>
      </c>
      <c r="B162" s="170"/>
      <c r="C162" s="170"/>
      <c r="D162" s="170"/>
      <c r="E162" s="170"/>
      <c r="F162" s="170"/>
      <c r="G162" s="170"/>
      <c r="H162" s="170"/>
      <c r="I162" s="175" t="s">
        <v>41</v>
      </c>
    </row>
    <row r="163" spans="1:11" ht="15" customHeight="1">
      <c r="A163" s="307" t="s">
        <v>7</v>
      </c>
      <c r="B163" s="275" t="s">
        <v>138</v>
      </c>
      <c r="C163" s="275"/>
      <c r="D163" s="275"/>
      <c r="E163" s="275"/>
      <c r="F163" s="275"/>
      <c r="G163" s="275"/>
      <c r="H163" s="275"/>
      <c r="I163" s="185">
        <f>I46</f>
        <v>2156.71</v>
      </c>
      <c r="K163" s="334"/>
    </row>
    <row r="164" spans="1:9" ht="15" customHeight="1">
      <c r="A164" s="307" t="s">
        <v>10</v>
      </c>
      <c r="B164" s="275" t="s">
        <v>37</v>
      </c>
      <c r="C164" s="275"/>
      <c r="D164" s="275"/>
      <c r="E164" s="275"/>
      <c r="F164" s="275"/>
      <c r="G164" s="275"/>
      <c r="H164" s="275"/>
      <c r="I164" s="185">
        <f>I91</f>
        <v>1765.8899999999999</v>
      </c>
    </row>
    <row r="165" spans="1:9" ht="15" customHeight="1">
      <c r="A165" s="307" t="s">
        <v>13</v>
      </c>
      <c r="B165" s="275" t="s">
        <v>139</v>
      </c>
      <c r="C165" s="275"/>
      <c r="D165" s="275"/>
      <c r="E165" s="275"/>
      <c r="F165" s="275"/>
      <c r="G165" s="275"/>
      <c r="H165" s="275"/>
      <c r="I165" s="185">
        <f>I100</f>
        <v>155.32999999999998</v>
      </c>
    </row>
    <row r="166" spans="1:9" ht="15" customHeight="1">
      <c r="A166" s="307" t="s">
        <v>16</v>
      </c>
      <c r="B166" s="275" t="s">
        <v>140</v>
      </c>
      <c r="C166" s="275"/>
      <c r="D166" s="275"/>
      <c r="E166" s="275"/>
      <c r="F166" s="275"/>
      <c r="G166" s="275"/>
      <c r="H166" s="275"/>
      <c r="I166" s="185">
        <f>I123</f>
        <v>325.14</v>
      </c>
    </row>
    <row r="167" spans="1:9" ht="15" customHeight="1">
      <c r="A167" s="307" t="s">
        <v>56</v>
      </c>
      <c r="B167" s="275" t="s">
        <v>141</v>
      </c>
      <c r="C167" s="275"/>
      <c r="D167" s="275"/>
      <c r="E167" s="275"/>
      <c r="F167" s="275"/>
      <c r="G167" s="275"/>
      <c r="H167" s="275"/>
      <c r="I167" s="185">
        <f>I132</f>
        <v>1057.9549461538463</v>
      </c>
    </row>
    <row r="168" spans="1:9" ht="15" customHeight="1">
      <c r="A168" s="308" t="s">
        <v>142</v>
      </c>
      <c r="B168" s="308"/>
      <c r="C168" s="308"/>
      <c r="D168" s="308"/>
      <c r="E168" s="308"/>
      <c r="F168" s="308"/>
      <c r="G168" s="308"/>
      <c r="H168" s="308"/>
      <c r="I168" s="282">
        <f>SUM(I163:I167)</f>
        <v>5461.024946153846</v>
      </c>
    </row>
    <row r="169" spans="1:9" ht="15" customHeight="1">
      <c r="A169" s="309" t="s">
        <v>58</v>
      </c>
      <c r="B169" s="275" t="s">
        <v>143</v>
      </c>
      <c r="C169" s="275"/>
      <c r="D169" s="275"/>
      <c r="E169" s="275"/>
      <c r="F169" s="275"/>
      <c r="G169" s="275"/>
      <c r="H169" s="275"/>
      <c r="I169" s="185">
        <f>I152</f>
        <v>1543.9699999999998</v>
      </c>
    </row>
    <row r="170" spans="1:9" ht="15" customHeight="1">
      <c r="A170" s="308" t="s">
        <v>144</v>
      </c>
      <c r="B170" s="308"/>
      <c r="C170" s="308"/>
      <c r="D170" s="308"/>
      <c r="E170" s="308"/>
      <c r="F170" s="308"/>
      <c r="G170" s="308"/>
      <c r="H170" s="308"/>
      <c r="I170" s="282">
        <f>ROUND(SUM(I168:I169),2)</f>
        <v>7004.99</v>
      </c>
    </row>
    <row r="171" spans="1:13" ht="15" customHeight="1" hidden="1">
      <c r="A171" s="310"/>
      <c r="B171" s="310"/>
      <c r="C171" s="310"/>
      <c r="D171" s="310"/>
      <c r="E171" s="310"/>
      <c r="F171" s="310"/>
      <c r="G171" s="310"/>
      <c r="H171" s="311"/>
      <c r="I171" s="335"/>
      <c r="J171" s="336"/>
      <c r="K171" s="337"/>
      <c r="L171" s="338"/>
      <c r="M171" s="339"/>
    </row>
    <row r="172" spans="1:9" ht="12.75" customHeight="1">
      <c r="A172" s="156"/>
      <c r="B172" s="156"/>
      <c r="C172" s="156"/>
      <c r="D172" s="156"/>
      <c r="E172" s="156"/>
      <c r="F172" s="156"/>
      <c r="G172" s="156"/>
      <c r="H172" s="156"/>
      <c r="I172" s="156"/>
    </row>
    <row r="173" spans="1:9" ht="16.5" customHeight="1">
      <c r="A173" s="312" t="s">
        <v>225</v>
      </c>
      <c r="B173" s="312"/>
      <c r="C173" s="312"/>
      <c r="D173" s="312"/>
      <c r="E173" s="312"/>
      <c r="F173" s="312"/>
      <c r="G173" s="312"/>
      <c r="H173" s="312"/>
      <c r="I173" s="312"/>
    </row>
    <row r="174" spans="1:9" ht="11.25" customHeight="1">
      <c r="A174" s="223"/>
      <c r="B174" s="223"/>
      <c r="C174" s="223"/>
      <c r="D174" s="223"/>
      <c r="E174" s="223"/>
      <c r="F174" s="223"/>
      <c r="G174" s="223"/>
      <c r="H174" s="223"/>
      <c r="I174" s="340"/>
    </row>
    <row r="175" spans="1:9" ht="21" customHeight="1">
      <c r="A175" s="313" t="s">
        <v>226</v>
      </c>
      <c r="B175" s="313"/>
      <c r="C175" s="313"/>
      <c r="D175" s="313"/>
      <c r="E175" s="313"/>
      <c r="F175" s="313"/>
      <c r="G175" s="313"/>
      <c r="H175" s="313"/>
      <c r="I175" s="313"/>
    </row>
    <row r="176" spans="1:9" ht="45" customHeight="1">
      <c r="A176" s="314" t="s">
        <v>227</v>
      </c>
      <c r="B176" s="314"/>
      <c r="C176" s="314"/>
      <c r="D176" s="314"/>
      <c r="E176" s="314"/>
      <c r="F176" s="314"/>
      <c r="G176" s="314"/>
      <c r="H176" s="314"/>
      <c r="I176" s="314"/>
    </row>
    <row r="177" spans="1:9" ht="51" customHeight="1">
      <c r="A177" s="175" t="s">
        <v>228</v>
      </c>
      <c r="B177" s="175"/>
      <c r="C177" s="175" t="s">
        <v>229</v>
      </c>
      <c r="D177" s="175"/>
      <c r="E177" s="175" t="s">
        <v>230</v>
      </c>
      <c r="F177" s="175"/>
      <c r="G177" s="175" t="s">
        <v>231</v>
      </c>
      <c r="H177" s="175"/>
      <c r="I177" s="175"/>
    </row>
    <row r="178" spans="1:9" ht="12" customHeight="1">
      <c r="A178" s="315" t="s">
        <v>232</v>
      </c>
      <c r="B178" s="315"/>
      <c r="C178" s="316" t="s">
        <v>233</v>
      </c>
      <c r="D178" s="316"/>
      <c r="E178" s="317">
        <f>I170</f>
        <v>7004.99</v>
      </c>
      <c r="F178" s="317"/>
      <c r="G178" s="318">
        <f>ROUND((1/1200)*E178,2)</f>
        <v>5.84</v>
      </c>
      <c r="H178" s="318"/>
      <c r="I178" s="318"/>
    </row>
    <row r="179" spans="1:9" ht="6.75" customHeight="1">
      <c r="A179" s="197"/>
      <c r="B179" s="197"/>
      <c r="C179" s="197"/>
      <c r="D179" s="197"/>
      <c r="E179" s="197"/>
      <c r="F179" s="197"/>
      <c r="G179" s="197"/>
      <c r="H179" s="197"/>
      <c r="I179" s="197"/>
    </row>
    <row r="180" spans="1:9" ht="12.75" customHeight="1">
      <c r="A180" s="315" t="s">
        <v>234</v>
      </c>
      <c r="B180" s="315"/>
      <c r="C180" s="316" t="s">
        <v>235</v>
      </c>
      <c r="D180" s="316"/>
      <c r="E180" s="319">
        <f>I170</f>
        <v>7004.99</v>
      </c>
      <c r="F180" s="319"/>
      <c r="G180" s="320">
        <f>ROUND((1/2344)*E180,2)</f>
        <v>2.99</v>
      </c>
      <c r="H180" s="320"/>
      <c r="I180" s="320"/>
    </row>
    <row r="181" spans="1:11" ht="6.75" customHeight="1">
      <c r="A181" s="197"/>
      <c r="B181" s="197"/>
      <c r="C181" s="197"/>
      <c r="D181" s="197"/>
      <c r="E181" s="197"/>
      <c r="F181" s="197"/>
      <c r="G181" s="197"/>
      <c r="H181" s="197"/>
      <c r="I181" s="197"/>
      <c r="K181" s="157"/>
    </row>
    <row r="182" spans="1:9" ht="12.75" customHeight="1">
      <c r="A182" s="315" t="s">
        <v>236</v>
      </c>
      <c r="B182" s="315"/>
      <c r="C182" s="316" t="s">
        <v>237</v>
      </c>
      <c r="D182" s="316"/>
      <c r="E182" s="318">
        <f>I170</f>
        <v>7004.99</v>
      </c>
      <c r="F182" s="318"/>
      <c r="G182" s="320">
        <f>ROUND((1/703)*E182,2)</f>
        <v>9.96</v>
      </c>
      <c r="H182" s="320"/>
      <c r="I182" s="320"/>
    </row>
    <row r="183" spans="1:9" ht="6" customHeight="1">
      <c r="A183" s="197"/>
      <c r="B183" s="197"/>
      <c r="C183" s="197"/>
      <c r="D183" s="197"/>
      <c r="E183" s="197"/>
      <c r="F183" s="197"/>
      <c r="G183" s="197"/>
      <c r="H183" s="197"/>
      <c r="I183" s="197"/>
    </row>
    <row r="184" spans="1:16" s="160" customFormat="1" ht="13.5" customHeight="1">
      <c r="A184" s="315" t="s">
        <v>238</v>
      </c>
      <c r="B184" s="315"/>
      <c r="C184" s="316" t="s">
        <v>239</v>
      </c>
      <c r="D184" s="316"/>
      <c r="E184" s="317">
        <f>I170</f>
        <v>7004.99</v>
      </c>
      <c r="F184" s="317"/>
      <c r="G184" s="320">
        <f>ROUND((1/4688)*E184,2)</f>
        <v>1.49</v>
      </c>
      <c r="H184" s="320"/>
      <c r="I184" s="320"/>
      <c r="J184" s="341"/>
      <c r="K184" s="341"/>
      <c r="L184" s="341"/>
      <c r="M184" s="341"/>
      <c r="N184" s="341"/>
      <c r="O184" s="341"/>
      <c r="P184" s="341"/>
    </row>
    <row r="185" spans="1:16" s="160" customFormat="1" ht="6.75" customHeight="1">
      <c r="A185" s="321"/>
      <c r="B185" s="321"/>
      <c r="C185" s="321"/>
      <c r="D185" s="321"/>
      <c r="E185" s="321"/>
      <c r="F185" s="321"/>
      <c r="G185" s="321"/>
      <c r="H185" s="321"/>
      <c r="I185" s="321"/>
      <c r="J185" s="341"/>
      <c r="K185" s="341"/>
      <c r="L185" s="341"/>
      <c r="M185" s="341"/>
      <c r="N185" s="341"/>
      <c r="O185" s="341"/>
      <c r="P185" s="341"/>
    </row>
    <row r="186" spans="1:16" s="160" customFormat="1" ht="25.5" customHeight="1">
      <c r="A186" s="315" t="s">
        <v>240</v>
      </c>
      <c r="B186" s="315"/>
      <c r="C186" s="316" t="s">
        <v>241</v>
      </c>
      <c r="D186" s="316"/>
      <c r="E186" s="317">
        <f>I170</f>
        <v>7004.99</v>
      </c>
      <c r="F186" s="317"/>
      <c r="G186" s="320">
        <f>ROUND((1/3375)*E186,2)</f>
        <v>2.08</v>
      </c>
      <c r="H186" s="320"/>
      <c r="I186" s="320"/>
      <c r="J186" s="341"/>
      <c r="K186" s="341"/>
      <c r="L186" s="341"/>
      <c r="M186" s="341"/>
      <c r="N186" s="341"/>
      <c r="O186" s="341"/>
      <c r="P186" s="341"/>
    </row>
    <row r="187" spans="1:16" s="160" customFormat="1" ht="9.75" customHeight="1">
      <c r="A187" s="322"/>
      <c r="B187" s="322"/>
      <c r="C187" s="322"/>
      <c r="D187" s="322"/>
      <c r="E187" s="322"/>
      <c r="F187" s="322"/>
      <c r="G187" s="322"/>
      <c r="H187" s="322"/>
      <c r="I187" s="322"/>
      <c r="J187" s="341"/>
      <c r="K187" s="341"/>
      <c r="L187" s="341"/>
      <c r="M187" s="341"/>
      <c r="N187" s="341"/>
      <c r="O187" s="341"/>
      <c r="P187" s="341"/>
    </row>
    <row r="188" spans="1:16" s="160" customFormat="1" ht="14.25" customHeight="1">
      <c r="A188" s="323" t="s">
        <v>242</v>
      </c>
      <c r="B188" s="323"/>
      <c r="C188" s="324" t="s">
        <v>243</v>
      </c>
      <c r="D188" s="324"/>
      <c r="E188" s="324">
        <f>I170</f>
        <v>7004.99</v>
      </c>
      <c r="F188" s="324"/>
      <c r="G188" s="325">
        <f>ROUND((1/196)*E188,2)</f>
        <v>35.74</v>
      </c>
      <c r="H188" s="325"/>
      <c r="I188" s="325"/>
      <c r="J188" s="341"/>
      <c r="K188" s="341"/>
      <c r="L188" s="341"/>
      <c r="M188" s="341"/>
      <c r="N188" s="341"/>
      <c r="O188" s="341"/>
      <c r="P188" s="341"/>
    </row>
    <row r="189" spans="1:16" s="160" customFormat="1" ht="9.75" customHeight="1">
      <c r="A189" s="322"/>
      <c r="B189" s="322"/>
      <c r="C189" s="322"/>
      <c r="D189" s="322"/>
      <c r="E189" s="322"/>
      <c r="F189" s="322"/>
      <c r="G189" s="322"/>
      <c r="H189" s="322"/>
      <c r="I189" s="322"/>
      <c r="J189" s="341"/>
      <c r="K189" s="341"/>
      <c r="L189" s="341"/>
      <c r="M189" s="341"/>
      <c r="N189" s="341"/>
      <c r="O189" s="341"/>
      <c r="P189" s="341"/>
    </row>
    <row r="190" spans="1:16" s="160" customFormat="1" ht="14.25" customHeight="1">
      <c r="A190" s="323" t="s">
        <v>244</v>
      </c>
      <c r="B190" s="323"/>
      <c r="C190" s="323"/>
      <c r="D190" s="323"/>
      <c r="E190" s="323"/>
      <c r="F190" s="323"/>
      <c r="G190" s="323"/>
      <c r="H190" s="323"/>
      <c r="I190" s="323"/>
      <c r="J190" s="341"/>
      <c r="K190" s="341"/>
      <c r="L190" s="341"/>
      <c r="M190" s="341"/>
      <c r="N190" s="341"/>
      <c r="O190" s="341"/>
      <c r="P190" s="341"/>
    </row>
    <row r="191" spans="1:16" s="160" customFormat="1" ht="9" customHeight="1">
      <c r="A191" s="326"/>
      <c r="B191" s="326"/>
      <c r="C191" s="326"/>
      <c r="D191" s="326"/>
      <c r="E191" s="326"/>
      <c r="F191" s="326"/>
      <c r="G191" s="326"/>
      <c r="H191" s="326"/>
      <c r="I191" s="326"/>
      <c r="J191" s="341"/>
      <c r="K191" s="341"/>
      <c r="L191" s="341"/>
      <c r="M191" s="341"/>
      <c r="N191" s="341"/>
      <c r="O191" s="341"/>
      <c r="P191" s="341"/>
    </row>
    <row r="192" spans="1:16" s="160" customFormat="1" ht="24" customHeight="1">
      <c r="A192" s="327" t="s">
        <v>245</v>
      </c>
      <c r="B192" s="327"/>
      <c r="C192" s="327"/>
      <c r="D192" s="327"/>
      <c r="E192" s="327"/>
      <c r="F192" s="327"/>
      <c r="G192" s="327"/>
      <c r="H192" s="327"/>
      <c r="I192" s="327"/>
      <c r="J192" s="341"/>
      <c r="K192" s="341"/>
      <c r="L192" s="341"/>
      <c r="M192" s="341"/>
      <c r="N192" s="341"/>
      <c r="O192" s="341"/>
      <c r="P192" s="341"/>
    </row>
    <row r="193" spans="1:16" s="160" customFormat="1" ht="9" customHeight="1">
      <c r="A193" s="326"/>
      <c r="B193" s="326"/>
      <c r="C193" s="326"/>
      <c r="D193" s="326"/>
      <c r="E193" s="326"/>
      <c r="F193" s="326"/>
      <c r="G193" s="326"/>
      <c r="H193" s="326"/>
      <c r="I193" s="326"/>
      <c r="J193" s="341"/>
      <c r="K193" s="341"/>
      <c r="L193" s="341"/>
      <c r="M193" s="341"/>
      <c r="N193" s="341"/>
      <c r="O193" s="341"/>
      <c r="P193" s="341"/>
    </row>
    <row r="194" spans="1:9" ht="46.5" customHeight="1">
      <c r="A194" s="342" t="s">
        <v>246</v>
      </c>
      <c r="B194" s="342"/>
      <c r="C194" s="342"/>
      <c r="D194" s="342"/>
      <c r="E194" s="342"/>
      <c r="F194" s="342"/>
      <c r="G194" s="342"/>
      <c r="H194" s="342"/>
      <c r="I194" s="342"/>
    </row>
    <row r="195" spans="1:9" ht="44.25" customHeight="1">
      <c r="A195" s="175" t="s">
        <v>247</v>
      </c>
      <c r="B195" s="175"/>
      <c r="C195" s="175" t="s">
        <v>248</v>
      </c>
      <c r="D195" s="175"/>
      <c r="E195" s="175" t="s">
        <v>249</v>
      </c>
      <c r="F195" s="175"/>
      <c r="G195" s="175" t="s">
        <v>231</v>
      </c>
      <c r="H195" s="175"/>
      <c r="I195" s="175"/>
    </row>
    <row r="196" spans="1:10" ht="42" customHeight="1">
      <c r="A196" s="177" t="s">
        <v>250</v>
      </c>
      <c r="B196" s="177"/>
      <c r="C196" s="343" t="s">
        <v>251</v>
      </c>
      <c r="D196" s="343"/>
      <c r="E196" s="319">
        <f>I170</f>
        <v>7004.99</v>
      </c>
      <c r="F196" s="319"/>
      <c r="G196" s="319">
        <f>ROUND((1/8100)*E196,2)</f>
        <v>0.86</v>
      </c>
      <c r="H196" s="319"/>
      <c r="I196" s="319"/>
      <c r="J196" s="382"/>
    </row>
    <row r="197" spans="1:9" ht="8.25" customHeight="1">
      <c r="A197" s="344"/>
      <c r="B197" s="344"/>
      <c r="C197" s="344"/>
      <c r="D197" s="344"/>
      <c r="E197" s="344"/>
      <c r="F197" s="344"/>
      <c r="G197" s="344"/>
      <c r="H197" s="344"/>
      <c r="I197" s="344"/>
    </row>
    <row r="198" spans="1:9" ht="15.75" customHeight="1">
      <c r="A198" s="177" t="s">
        <v>252</v>
      </c>
      <c r="B198" s="177"/>
      <c r="C198" s="177"/>
      <c r="D198" s="177"/>
      <c r="E198" s="177"/>
      <c r="F198" s="177"/>
      <c r="G198" s="177"/>
      <c r="H198" s="177"/>
      <c r="I198" s="177"/>
    </row>
    <row r="199" spans="1:9" ht="10.5" customHeight="1">
      <c r="A199" s="184"/>
      <c r="B199" s="184"/>
      <c r="C199" s="184"/>
      <c r="D199" s="184"/>
      <c r="E199" s="184"/>
      <c r="F199" s="184"/>
      <c r="G199" s="184"/>
      <c r="H199" s="184"/>
      <c r="I199" s="184"/>
    </row>
    <row r="200" spans="1:9" ht="24.75" customHeight="1">
      <c r="A200" s="209" t="s">
        <v>245</v>
      </c>
      <c r="B200" s="209"/>
      <c r="C200" s="209"/>
      <c r="D200" s="209"/>
      <c r="E200" s="209"/>
      <c r="F200" s="209"/>
      <c r="G200" s="209"/>
      <c r="H200" s="209"/>
      <c r="I200" s="209"/>
    </row>
    <row r="201" spans="1:9" ht="10.5" customHeight="1">
      <c r="A201" s="184"/>
      <c r="B201" s="184"/>
      <c r="C201" s="184"/>
      <c r="D201" s="184"/>
      <c r="E201" s="184"/>
      <c r="F201" s="184"/>
      <c r="G201" s="184"/>
      <c r="H201" s="184"/>
      <c r="I201" s="184"/>
    </row>
    <row r="202" spans="1:9" ht="12" customHeight="1">
      <c r="A202" s="168" t="s">
        <v>253</v>
      </c>
      <c r="B202" s="168"/>
      <c r="C202" s="168"/>
      <c r="D202" s="168"/>
      <c r="E202" s="168"/>
      <c r="F202" s="168"/>
      <c r="G202" s="168"/>
      <c r="H202" s="168"/>
      <c r="I202" s="168"/>
    </row>
    <row r="203" spans="1:9" ht="36.75" customHeight="1">
      <c r="A203" s="168"/>
      <c r="B203" s="168"/>
      <c r="C203" s="168"/>
      <c r="D203" s="168"/>
      <c r="E203" s="168"/>
      <c r="F203" s="168"/>
      <c r="G203" s="168"/>
      <c r="H203" s="168"/>
      <c r="I203" s="168"/>
    </row>
    <row r="204" spans="1:9" ht="69" customHeight="1">
      <c r="A204" s="175" t="s">
        <v>254</v>
      </c>
      <c r="B204" s="345" t="s">
        <v>255</v>
      </c>
      <c r="C204" s="345" t="s">
        <v>256</v>
      </c>
      <c r="D204" s="345" t="s">
        <v>257</v>
      </c>
      <c r="E204" s="345"/>
      <c r="F204" s="345" t="s">
        <v>258</v>
      </c>
      <c r="G204" s="345" t="s">
        <v>259</v>
      </c>
      <c r="H204" s="345" t="s">
        <v>260</v>
      </c>
      <c r="I204" s="345"/>
    </row>
    <row r="205" spans="1:9" ht="51" customHeight="1">
      <c r="A205" s="315" t="s">
        <v>261</v>
      </c>
      <c r="B205" s="343" t="s">
        <v>262</v>
      </c>
      <c r="C205" s="346" t="s">
        <v>263</v>
      </c>
      <c r="D205" s="347" t="s">
        <v>264</v>
      </c>
      <c r="E205" s="347"/>
      <c r="F205" s="348">
        <f>ROUND((1/320)*16*(1/188.76),7)</f>
        <v>0.0002649</v>
      </c>
      <c r="G205" s="333">
        <f>I170</f>
        <v>7004.99</v>
      </c>
      <c r="H205" s="319">
        <f>ROUND(F205*G205,2)</f>
        <v>1.86</v>
      </c>
      <c r="I205" s="319"/>
    </row>
    <row r="206" spans="1:9" ht="7.5" customHeight="1">
      <c r="A206" s="349"/>
      <c r="B206" s="349"/>
      <c r="C206" s="349"/>
      <c r="D206" s="349"/>
      <c r="E206" s="349"/>
      <c r="F206" s="349"/>
      <c r="G206" s="349"/>
      <c r="H206" s="349"/>
      <c r="I206" s="349"/>
    </row>
    <row r="207" spans="1:9" ht="51" customHeight="1">
      <c r="A207" s="315" t="s">
        <v>265</v>
      </c>
      <c r="B207" s="343" t="s">
        <v>266</v>
      </c>
      <c r="C207" s="346" t="s">
        <v>263</v>
      </c>
      <c r="D207" s="347" t="s">
        <v>264</v>
      </c>
      <c r="E207" s="347"/>
      <c r="F207" s="348">
        <f>ROUND((1/760)*16*(1/188.76),7)</f>
        <v>0.0001115</v>
      </c>
      <c r="G207" s="333">
        <f>I170</f>
        <v>7004.99</v>
      </c>
      <c r="H207" s="319">
        <f>ROUND(F207*G207,2)</f>
        <v>0.78</v>
      </c>
      <c r="I207" s="319"/>
    </row>
    <row r="208" spans="1:9" ht="6.75" customHeight="1">
      <c r="A208" s="349"/>
      <c r="B208" s="349"/>
      <c r="C208" s="349"/>
      <c r="D208" s="349"/>
      <c r="E208" s="349"/>
      <c r="F208" s="349"/>
      <c r="G208" s="349"/>
      <c r="H208" s="349"/>
      <c r="I208" s="349"/>
    </row>
    <row r="209" spans="1:9" ht="25.5" customHeight="1">
      <c r="A209" s="315" t="s">
        <v>267</v>
      </c>
      <c r="B209" s="350" t="s">
        <v>268</v>
      </c>
      <c r="C209" s="351" t="s">
        <v>263</v>
      </c>
      <c r="D209" s="347" t="s">
        <v>264</v>
      </c>
      <c r="E209" s="347"/>
      <c r="F209" s="348">
        <f>ROUND((1/380)*16*(1/188.76),7)</f>
        <v>0.0002231</v>
      </c>
      <c r="G209" s="333">
        <f>I170</f>
        <v>7004.99</v>
      </c>
      <c r="H209" s="319">
        <f>ROUND(F209*G209,2)</f>
        <v>1.56</v>
      </c>
      <c r="I209" s="319"/>
    </row>
    <row r="210" spans="1:9" ht="9.75" customHeight="1">
      <c r="A210" s="203"/>
      <c r="B210" s="203"/>
      <c r="C210" s="203"/>
      <c r="D210" s="203"/>
      <c r="E210" s="203"/>
      <c r="F210" s="203"/>
      <c r="G210" s="203"/>
      <c r="H210" s="203"/>
      <c r="I210" s="203"/>
    </row>
    <row r="211" spans="1:9" ht="12.75" customHeight="1">
      <c r="A211" s="196" t="s">
        <v>269</v>
      </c>
      <c r="B211" s="196"/>
      <c r="C211" s="196"/>
      <c r="D211" s="196"/>
      <c r="E211" s="196"/>
      <c r="F211" s="196"/>
      <c r="G211" s="196"/>
      <c r="H211" s="196"/>
      <c r="I211" s="196"/>
    </row>
    <row r="212" spans="1:9" ht="7.5" customHeight="1">
      <c r="A212" s="197"/>
      <c r="B212" s="197"/>
      <c r="C212" s="197"/>
      <c r="D212" s="197"/>
      <c r="E212" s="197"/>
      <c r="F212" s="197"/>
      <c r="G212" s="197"/>
      <c r="H212" s="197"/>
      <c r="I212" s="197"/>
    </row>
    <row r="213" spans="1:9" ht="25.5" customHeight="1">
      <c r="A213" s="352" t="s">
        <v>270</v>
      </c>
      <c r="B213" s="352"/>
      <c r="C213" s="352"/>
      <c r="D213" s="352"/>
      <c r="E213" s="352"/>
      <c r="F213" s="352"/>
      <c r="G213" s="352"/>
      <c r="H213" s="352"/>
      <c r="I213" s="352"/>
    </row>
    <row r="214" spans="1:9" ht="7.5" customHeight="1">
      <c r="A214" s="197"/>
      <c r="B214" s="197"/>
      <c r="C214" s="197"/>
      <c r="D214" s="197"/>
      <c r="E214" s="197"/>
      <c r="F214" s="197"/>
      <c r="G214" s="197"/>
      <c r="H214" s="197"/>
      <c r="I214" s="197"/>
    </row>
    <row r="215" spans="1:9" ht="11.25">
      <c r="A215" s="286" t="s">
        <v>271</v>
      </c>
      <c r="B215" s="286"/>
      <c r="C215" s="286"/>
      <c r="D215" s="286"/>
      <c r="E215" s="286"/>
      <c r="F215" s="286"/>
      <c r="G215" s="286"/>
      <c r="H215" s="286"/>
      <c r="I215" s="286"/>
    </row>
    <row r="216" spans="1:9" ht="11.25">
      <c r="A216" s="286"/>
      <c r="B216" s="286"/>
      <c r="C216" s="286"/>
      <c r="D216" s="286"/>
      <c r="E216" s="286"/>
      <c r="F216" s="286"/>
      <c r="G216" s="286"/>
      <c r="H216" s="286"/>
      <c r="I216" s="286"/>
    </row>
    <row r="217" spans="1:9" ht="25.5" customHeight="1">
      <c r="A217" s="353" t="s">
        <v>272</v>
      </c>
      <c r="B217" s="353"/>
      <c r="C217" s="353"/>
      <c r="D217" s="199" t="s">
        <v>273</v>
      </c>
      <c r="E217" s="199"/>
      <c r="F217" s="199" t="s">
        <v>274</v>
      </c>
      <c r="G217" s="199" t="s">
        <v>275</v>
      </c>
      <c r="H217" s="199"/>
      <c r="I217" s="199"/>
    </row>
    <row r="218" spans="1:9" ht="13.5" customHeight="1">
      <c r="A218" s="354" t="s">
        <v>163</v>
      </c>
      <c r="B218" s="354"/>
      <c r="C218" s="354"/>
      <c r="D218" s="355">
        <f>G178</f>
        <v>5.84</v>
      </c>
      <c r="E218" s="355"/>
      <c r="F218" s="356">
        <f aca="true" t="shared" si="1" ref="F218:F224">H13</f>
        <v>348.7</v>
      </c>
      <c r="G218" s="185">
        <f aca="true" t="shared" si="2" ref="G218:G223">ROUND(D218*F218,2)</f>
        <v>2036.41</v>
      </c>
      <c r="H218" s="185"/>
      <c r="I218" s="185"/>
    </row>
    <row r="219" spans="1:9" ht="13.5" customHeight="1">
      <c r="A219" s="354" t="s">
        <v>165</v>
      </c>
      <c r="B219" s="354"/>
      <c r="C219" s="354"/>
      <c r="D219" s="355">
        <f>G180</f>
        <v>2.99</v>
      </c>
      <c r="E219" s="355"/>
      <c r="F219" s="356">
        <f t="shared" si="1"/>
        <v>8500</v>
      </c>
      <c r="G219" s="185">
        <f t="shared" si="2"/>
        <v>25415</v>
      </c>
      <c r="H219" s="185"/>
      <c r="I219" s="185"/>
    </row>
    <row r="220" spans="1:9" ht="13.5" customHeight="1">
      <c r="A220" s="354" t="s">
        <v>166</v>
      </c>
      <c r="B220" s="354"/>
      <c r="C220" s="354"/>
      <c r="D220" s="355">
        <f>G182</f>
        <v>9.96</v>
      </c>
      <c r="E220" s="355"/>
      <c r="F220" s="356">
        <f t="shared" si="1"/>
        <v>1000</v>
      </c>
      <c r="G220" s="185">
        <f t="shared" si="2"/>
        <v>9960</v>
      </c>
      <c r="H220" s="185"/>
      <c r="I220" s="185"/>
    </row>
    <row r="221" spans="1:9" ht="13.5" customHeight="1">
      <c r="A221" s="354" t="s">
        <v>167</v>
      </c>
      <c r="B221" s="354"/>
      <c r="C221" s="354"/>
      <c r="D221" s="355">
        <f>G184</f>
        <v>1.49</v>
      </c>
      <c r="E221" s="355"/>
      <c r="F221" s="356">
        <f t="shared" si="1"/>
        <v>250</v>
      </c>
      <c r="G221" s="185">
        <f t="shared" si="2"/>
        <v>372.5</v>
      </c>
      <c r="H221" s="185"/>
      <c r="I221" s="185"/>
    </row>
    <row r="222" spans="1:9" ht="27" customHeight="1">
      <c r="A222" s="357" t="s">
        <v>168</v>
      </c>
      <c r="B222" s="357"/>
      <c r="C222" s="357"/>
      <c r="D222" s="355">
        <f>G186</f>
        <v>2.08</v>
      </c>
      <c r="E222" s="355"/>
      <c r="F222" s="356">
        <f t="shared" si="1"/>
        <v>2000</v>
      </c>
      <c r="G222" s="185">
        <f t="shared" si="2"/>
        <v>4160</v>
      </c>
      <c r="H222" s="185"/>
      <c r="I222" s="185"/>
    </row>
    <row r="223" spans="1:9" ht="20.25" customHeight="1">
      <c r="A223" s="168" t="s">
        <v>276</v>
      </c>
      <c r="B223" s="168"/>
      <c r="C223" s="168"/>
      <c r="D223" s="281">
        <f>G188</f>
        <v>35.74</v>
      </c>
      <c r="E223" s="281"/>
      <c r="F223" s="358">
        <f t="shared" si="1"/>
        <v>1175.98</v>
      </c>
      <c r="G223" s="185">
        <f t="shared" si="2"/>
        <v>42029.53</v>
      </c>
      <c r="H223" s="185"/>
      <c r="I223" s="185"/>
    </row>
    <row r="224" spans="1:9" ht="16.5" customHeight="1">
      <c r="A224" s="359" t="s">
        <v>174</v>
      </c>
      <c r="B224" s="359"/>
      <c r="C224" s="359"/>
      <c r="D224" s="359"/>
      <c r="E224" s="359"/>
      <c r="F224" s="360">
        <f t="shared" si="1"/>
        <v>13274.68</v>
      </c>
      <c r="G224" s="183">
        <f>SUM(G218:G223)</f>
        <v>83973.44</v>
      </c>
      <c r="H224" s="183"/>
      <c r="I224" s="183"/>
    </row>
    <row r="225" spans="1:9" ht="6.75" customHeight="1">
      <c r="A225" s="361"/>
      <c r="B225" s="361"/>
      <c r="C225" s="361"/>
      <c r="D225" s="361"/>
      <c r="E225" s="361"/>
      <c r="F225" s="361"/>
      <c r="G225" s="361"/>
      <c r="H225" s="361"/>
      <c r="I225" s="361"/>
    </row>
    <row r="226" spans="1:9" ht="24" customHeight="1">
      <c r="A226" s="362" t="s">
        <v>175</v>
      </c>
      <c r="B226" s="362"/>
      <c r="C226" s="362"/>
      <c r="D226" s="363">
        <f>G196</f>
        <v>0.86</v>
      </c>
      <c r="E226" s="363"/>
      <c r="F226" s="364">
        <f>H21</f>
        <v>1400</v>
      </c>
      <c r="G226" s="185">
        <f>ROUND(D226*F226,2)</f>
        <v>1204</v>
      </c>
      <c r="H226" s="185"/>
      <c r="I226" s="185"/>
    </row>
    <row r="227" spans="1:9" ht="12.75" customHeight="1">
      <c r="A227" s="359" t="s">
        <v>176</v>
      </c>
      <c r="B227" s="359"/>
      <c r="C227" s="359"/>
      <c r="D227" s="359"/>
      <c r="E227" s="359"/>
      <c r="F227" s="365">
        <f>H22</f>
        <v>1400</v>
      </c>
      <c r="G227" s="183">
        <f>SUM(G226:G226)</f>
        <v>1204</v>
      </c>
      <c r="H227" s="183"/>
      <c r="I227" s="183"/>
    </row>
    <row r="228" spans="1:9" ht="9" customHeight="1">
      <c r="A228" s="366"/>
      <c r="B228" s="366"/>
      <c r="C228" s="366"/>
      <c r="D228" s="366"/>
      <c r="E228" s="366"/>
      <c r="F228" s="366"/>
      <c r="G228" s="366"/>
      <c r="H228" s="366"/>
      <c r="I228" s="366"/>
    </row>
    <row r="229" spans="1:9" ht="25.5" customHeight="1">
      <c r="A229" s="367" t="s">
        <v>277</v>
      </c>
      <c r="B229" s="367"/>
      <c r="C229" s="367"/>
      <c r="D229" s="363">
        <f>H205</f>
        <v>1.86</v>
      </c>
      <c r="E229" s="363"/>
      <c r="F229" s="368">
        <f>H24</f>
        <v>470.61</v>
      </c>
      <c r="G229" s="185">
        <f>ROUND(D229*F229,2)</f>
        <v>875.33</v>
      </c>
      <c r="H229" s="185"/>
      <c r="I229" s="185"/>
    </row>
    <row r="230" spans="1:9" ht="24" customHeight="1">
      <c r="A230" s="369" t="s">
        <v>278</v>
      </c>
      <c r="B230" s="369"/>
      <c r="C230" s="369"/>
      <c r="D230" s="355">
        <f>H207</f>
        <v>0.78</v>
      </c>
      <c r="E230" s="355"/>
      <c r="F230" s="356">
        <f>H25</f>
        <v>1500</v>
      </c>
      <c r="G230" s="185">
        <f>ROUND((D230*F230),2)</f>
        <v>1170</v>
      </c>
      <c r="H230" s="185"/>
      <c r="I230" s="185"/>
    </row>
    <row r="231" spans="1:9" ht="13.5" customHeight="1">
      <c r="A231" s="369" t="s">
        <v>279</v>
      </c>
      <c r="B231" s="369"/>
      <c r="C231" s="369"/>
      <c r="D231" s="355">
        <f>H209</f>
        <v>1.56</v>
      </c>
      <c r="E231" s="355"/>
      <c r="F231" s="356">
        <f>H26</f>
        <v>2501.57</v>
      </c>
      <c r="G231" s="185">
        <f>ROUND((D231*F231),2)</f>
        <v>3902.45</v>
      </c>
      <c r="H231" s="185"/>
      <c r="I231" s="185"/>
    </row>
    <row r="232" spans="1:9" ht="12.75" customHeight="1">
      <c r="A232" s="359" t="s">
        <v>280</v>
      </c>
      <c r="B232" s="359"/>
      <c r="C232" s="359"/>
      <c r="D232" s="359"/>
      <c r="E232" s="359"/>
      <c r="F232" s="360">
        <f>H27</f>
        <v>4472.18</v>
      </c>
      <c r="G232" s="183">
        <f>SUM(G229:G231)</f>
        <v>5947.78</v>
      </c>
      <c r="H232" s="183"/>
      <c r="I232" s="183"/>
    </row>
    <row r="233" spans="1:9" ht="7.5" customHeight="1">
      <c r="A233" s="370"/>
      <c r="B233" s="370"/>
      <c r="C233" s="370"/>
      <c r="D233" s="370"/>
      <c r="E233" s="370"/>
      <c r="F233" s="370"/>
      <c r="G233" s="370"/>
      <c r="H233" s="370"/>
      <c r="I233" s="370"/>
    </row>
    <row r="234" spans="1:9" ht="12.75" customHeight="1">
      <c r="A234" s="371" t="s">
        <v>281</v>
      </c>
      <c r="B234" s="371"/>
      <c r="C234" s="371"/>
      <c r="D234" s="371"/>
      <c r="E234" s="371"/>
      <c r="F234" s="372">
        <f>ROUND(F224+F227+F232,2)</f>
        <v>19146.86</v>
      </c>
      <c r="G234" s="373">
        <f>SUM(G224+G227+G232)</f>
        <v>91125.22</v>
      </c>
      <c r="H234" s="373"/>
      <c r="I234" s="373"/>
    </row>
    <row r="235" spans="1:9" ht="6.75" customHeight="1">
      <c r="A235" s="321"/>
      <c r="B235" s="321"/>
      <c r="C235" s="321"/>
      <c r="D235" s="321"/>
      <c r="E235" s="321"/>
      <c r="F235" s="321"/>
      <c r="G235" s="321"/>
      <c r="H235" s="321"/>
      <c r="I235" s="321"/>
    </row>
    <row r="236" spans="1:9" ht="18.75" customHeight="1">
      <c r="A236" s="198" t="s">
        <v>282</v>
      </c>
      <c r="B236" s="198"/>
      <c r="C236" s="198"/>
      <c r="D236" s="198"/>
      <c r="E236" s="198"/>
      <c r="F236" s="198"/>
      <c r="G236" s="374">
        <f>G234</f>
        <v>91125.22</v>
      </c>
      <c r="H236" s="374"/>
      <c r="I236" s="374"/>
    </row>
    <row r="237" spans="1:9" ht="8.25" customHeight="1">
      <c r="A237" s="375"/>
      <c r="B237" s="375"/>
      <c r="C237" s="375"/>
      <c r="D237" s="375"/>
      <c r="E237" s="375"/>
      <c r="F237" s="375"/>
      <c r="G237" s="375"/>
      <c r="H237" s="375"/>
      <c r="I237" s="375"/>
    </row>
    <row r="238" spans="1:9" ht="19.5" customHeight="1">
      <c r="A238" s="168" t="s">
        <v>150</v>
      </c>
      <c r="B238" s="168"/>
      <c r="C238" s="168"/>
      <c r="D238" s="168"/>
      <c r="E238" s="168"/>
      <c r="F238" s="168"/>
      <c r="G238" s="169">
        <f>H10</f>
        <v>12</v>
      </c>
      <c r="H238" s="169"/>
      <c r="I238" s="169"/>
    </row>
    <row r="239" spans="1:9" ht="8.25" customHeight="1">
      <c r="A239" s="376"/>
      <c r="B239" s="376"/>
      <c r="C239" s="376"/>
      <c r="D239" s="376"/>
      <c r="E239" s="376"/>
      <c r="F239" s="376"/>
      <c r="G239" s="376"/>
      <c r="H239" s="376"/>
      <c r="I239" s="376"/>
    </row>
    <row r="240" spans="1:9" ht="31.5" customHeight="1">
      <c r="A240" s="377" t="s">
        <v>283</v>
      </c>
      <c r="B240" s="377"/>
      <c r="C240" s="377"/>
      <c r="D240" s="377"/>
      <c r="E240" s="377"/>
      <c r="F240" s="377"/>
      <c r="G240" s="378">
        <f>ROUND(G234*G238,2)</f>
        <v>1093502.64</v>
      </c>
      <c r="H240" s="378"/>
      <c r="I240" s="378"/>
    </row>
    <row r="241" spans="1:9" ht="8.25" customHeight="1">
      <c r="A241" s="255"/>
      <c r="B241" s="255"/>
      <c r="C241" s="255"/>
      <c r="D241" s="255"/>
      <c r="E241" s="255"/>
      <c r="F241" s="255"/>
      <c r="G241" s="255"/>
      <c r="H241" s="255"/>
      <c r="I241" s="255"/>
    </row>
    <row r="242" spans="1:9" ht="29.25" customHeight="1">
      <c r="A242" s="379" t="s">
        <v>284</v>
      </c>
      <c r="B242" s="379"/>
      <c r="C242" s="379"/>
      <c r="D242" s="379"/>
      <c r="E242" s="379"/>
      <c r="F242" s="379"/>
      <c r="G242" s="379"/>
      <c r="H242" s="379"/>
      <c r="I242" s="379"/>
    </row>
    <row r="243" spans="1:9" ht="12" customHeight="1">
      <c r="A243" s="239" t="s">
        <v>146</v>
      </c>
      <c r="B243" s="239"/>
      <c r="C243" s="239"/>
      <c r="D243" s="239"/>
      <c r="E243" s="239"/>
      <c r="F243" s="239"/>
      <c r="G243" s="239"/>
      <c r="H243" s="175" t="s">
        <v>147</v>
      </c>
      <c r="I243" s="175"/>
    </row>
    <row r="244" spans="1:9" ht="11.25">
      <c r="A244" s="239"/>
      <c r="B244" s="239"/>
      <c r="C244" s="239"/>
      <c r="D244" s="239"/>
      <c r="E244" s="239"/>
      <c r="F244" s="239"/>
      <c r="G244" s="239"/>
      <c r="H244" s="175"/>
      <c r="I244" s="175"/>
    </row>
    <row r="245" spans="1:9" ht="11.25">
      <c r="A245" s="380" t="s">
        <v>285</v>
      </c>
      <c r="B245" s="380"/>
      <c r="C245" s="380"/>
      <c r="D245" s="380"/>
      <c r="E245" s="380"/>
      <c r="F245" s="380"/>
      <c r="G245" s="380"/>
      <c r="H245" s="381"/>
      <c r="I245" s="381"/>
    </row>
    <row r="246" spans="1:9" ht="12.75" customHeight="1">
      <c r="A246" s="369"/>
      <c r="B246" s="369"/>
      <c r="C246" s="369"/>
      <c r="D246" s="369"/>
      <c r="E246" s="369"/>
      <c r="F246" s="369"/>
      <c r="G246" s="369"/>
      <c r="H246" s="369"/>
      <c r="I246" s="369"/>
    </row>
    <row r="247" spans="1:9" ht="9" customHeight="1">
      <c r="A247" s="326"/>
      <c r="B247" s="326"/>
      <c r="C247" s="326"/>
      <c r="D247" s="326"/>
      <c r="E247" s="326"/>
      <c r="F247" s="326"/>
      <c r="G247" s="326"/>
      <c r="H247" s="326"/>
      <c r="I247" s="326"/>
    </row>
    <row r="248" spans="1:9" ht="11.25" hidden="1">
      <c r="A248" s="326"/>
      <c r="B248" s="326"/>
      <c r="C248" s="326"/>
      <c r="D248" s="326"/>
      <c r="E248" s="326"/>
      <c r="F248" s="326"/>
      <c r="G248" s="326"/>
      <c r="H248" s="326"/>
      <c r="I248" s="326"/>
    </row>
  </sheetData>
  <sheetProtection selectLockedCells="1" selectUnlockedCells="1"/>
  <mergeCells count="401">
    <mergeCell ref="A1:I1"/>
    <mergeCell ref="A2:I2"/>
    <mergeCell ref="A3:E3"/>
    <mergeCell ref="F3:I3"/>
    <mergeCell ref="A4:E4"/>
    <mergeCell ref="F4:I4"/>
    <mergeCell ref="A5:I5"/>
    <mergeCell ref="A6:I6"/>
    <mergeCell ref="B7:G7"/>
    <mergeCell ref="H7:I7"/>
    <mergeCell ref="B8:G8"/>
    <mergeCell ref="H8:I8"/>
    <mergeCell ref="B9:G9"/>
    <mergeCell ref="H9:I9"/>
    <mergeCell ref="B10:G10"/>
    <mergeCell ref="H10:I10"/>
    <mergeCell ref="A11:I11"/>
    <mergeCell ref="A12:E12"/>
    <mergeCell ref="F12:G12"/>
    <mergeCell ref="H12:I12"/>
    <mergeCell ref="A13:E13"/>
    <mergeCell ref="F13:G13"/>
    <mergeCell ref="H13:I13"/>
    <mergeCell ref="A14:E14"/>
    <mergeCell ref="F14:G14"/>
    <mergeCell ref="H14:I14"/>
    <mergeCell ref="A15:E15"/>
    <mergeCell ref="F15:G15"/>
    <mergeCell ref="H15:I15"/>
    <mergeCell ref="A16:E16"/>
    <mergeCell ref="F16:G16"/>
    <mergeCell ref="H16:I16"/>
    <mergeCell ref="A17:E17"/>
    <mergeCell ref="F17:G17"/>
    <mergeCell ref="H17:I17"/>
    <mergeCell ref="A18:E18"/>
    <mergeCell ref="F18:G18"/>
    <mergeCell ref="H18:I18"/>
    <mergeCell ref="A19:G19"/>
    <mergeCell ref="H19:I19"/>
    <mergeCell ref="A20:I20"/>
    <mergeCell ref="A21:E21"/>
    <mergeCell ref="F21:G21"/>
    <mergeCell ref="H21:I21"/>
    <mergeCell ref="A22:G22"/>
    <mergeCell ref="H22:I22"/>
    <mergeCell ref="A23:I23"/>
    <mergeCell ref="A24:E24"/>
    <mergeCell ref="F24:G24"/>
    <mergeCell ref="H24:I24"/>
    <mergeCell ref="A25:E25"/>
    <mergeCell ref="F25:G25"/>
    <mergeCell ref="H25:I25"/>
    <mergeCell ref="A26:E26"/>
    <mergeCell ref="F26:G26"/>
    <mergeCell ref="H26:I26"/>
    <mergeCell ref="A27:G27"/>
    <mergeCell ref="H27:I27"/>
    <mergeCell ref="A28:I28"/>
    <mergeCell ref="A29:G29"/>
    <mergeCell ref="H29:I29"/>
    <mergeCell ref="A30:I30"/>
    <mergeCell ref="A31:I31"/>
    <mergeCell ref="A32:I32"/>
    <mergeCell ref="A33:I33"/>
    <mergeCell ref="J33:P33"/>
    <mergeCell ref="Q33:X33"/>
    <mergeCell ref="Y33:AF33"/>
    <mergeCell ref="AG33:AN33"/>
    <mergeCell ref="AO33:AV33"/>
    <mergeCell ref="AW33:BD33"/>
    <mergeCell ref="BE33:BL33"/>
    <mergeCell ref="BM33:BT33"/>
    <mergeCell ref="BU33:CB33"/>
    <mergeCell ref="CC33:CJ33"/>
    <mergeCell ref="CK33:CR33"/>
    <mergeCell ref="CS33:CZ33"/>
    <mergeCell ref="DA33:DH33"/>
    <mergeCell ref="DI33:DP33"/>
    <mergeCell ref="DQ33:DX33"/>
    <mergeCell ref="DY33:EF33"/>
    <mergeCell ref="EG33:EN33"/>
    <mergeCell ref="EO33:EV33"/>
    <mergeCell ref="EW33:FD33"/>
    <mergeCell ref="FE33:FL33"/>
    <mergeCell ref="FM33:FT33"/>
    <mergeCell ref="FU33:GB33"/>
    <mergeCell ref="GC33:GJ33"/>
    <mergeCell ref="GK33:GR33"/>
    <mergeCell ref="GS33:GZ33"/>
    <mergeCell ref="HA33:HH33"/>
    <mergeCell ref="HI33:HP33"/>
    <mergeCell ref="HQ33:HX33"/>
    <mergeCell ref="HY33:IF33"/>
    <mergeCell ref="IG33:IN33"/>
    <mergeCell ref="IO33:IV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A39:I39"/>
    <mergeCell ref="A40:I40"/>
    <mergeCell ref="A41:I41"/>
    <mergeCell ref="A42:I42"/>
    <mergeCell ref="B43:G43"/>
    <mergeCell ref="B44:H44"/>
    <mergeCell ref="B45:G45"/>
    <mergeCell ref="A46:H46"/>
    <mergeCell ref="A47:I47"/>
    <mergeCell ref="A48:I48"/>
    <mergeCell ref="A49:I49"/>
    <mergeCell ref="A50:I50"/>
    <mergeCell ref="A51:I51"/>
    <mergeCell ref="B52:H52"/>
    <mergeCell ref="B53:G53"/>
    <mergeCell ref="B54:G54"/>
    <mergeCell ref="A55:H55"/>
    <mergeCell ref="A56:I56"/>
    <mergeCell ref="B57:G57"/>
    <mergeCell ref="B58:G58"/>
    <mergeCell ref="B59:G59"/>
    <mergeCell ref="B60:C60"/>
    <mergeCell ref="B61:G61"/>
    <mergeCell ref="B62:G62"/>
    <mergeCell ref="B63:G63"/>
    <mergeCell ref="B64:G64"/>
    <mergeCell ref="B65:G65"/>
    <mergeCell ref="A66:G66"/>
    <mergeCell ref="A68:I68"/>
    <mergeCell ref="A69:I69"/>
    <mergeCell ref="A70:I70"/>
    <mergeCell ref="B71:H71"/>
    <mergeCell ref="B72:H72"/>
    <mergeCell ref="B73:G73"/>
    <mergeCell ref="B74:G74"/>
    <mergeCell ref="B75:G75"/>
    <mergeCell ref="B76:G76"/>
    <mergeCell ref="B77:H77"/>
    <mergeCell ref="B78:G78"/>
    <mergeCell ref="B79:G79"/>
    <mergeCell ref="B80:G80"/>
    <mergeCell ref="B81:H81"/>
    <mergeCell ref="B82:H82"/>
    <mergeCell ref="A83:I83"/>
    <mergeCell ref="A84:I84"/>
    <mergeCell ref="A85:I85"/>
    <mergeCell ref="A86:I86"/>
    <mergeCell ref="B87:H87"/>
    <mergeCell ref="B88:H88"/>
    <mergeCell ref="B89:H89"/>
    <mergeCell ref="B90:H90"/>
    <mergeCell ref="A91:H91"/>
    <mergeCell ref="A92:I92"/>
    <mergeCell ref="A93:I93"/>
    <mergeCell ref="B94:H94"/>
    <mergeCell ref="B95:H95"/>
    <mergeCell ref="B96:H96"/>
    <mergeCell ref="B97:H97"/>
    <mergeCell ref="B98:H98"/>
    <mergeCell ref="B99:G99"/>
    <mergeCell ref="A100:H100"/>
    <mergeCell ref="A101:I101"/>
    <mergeCell ref="A102:I102"/>
    <mergeCell ref="A103:I103"/>
    <mergeCell ref="A104:I104"/>
    <mergeCell ref="A105:I105"/>
    <mergeCell ref="A106:I106"/>
    <mergeCell ref="A107:I107"/>
    <mergeCell ref="A109:I109"/>
    <mergeCell ref="A110:I110"/>
    <mergeCell ref="B111:H111"/>
    <mergeCell ref="B112:F112"/>
    <mergeCell ref="B113:H113"/>
    <mergeCell ref="B114:H114"/>
    <mergeCell ref="B115:H115"/>
    <mergeCell ref="B116:H116"/>
    <mergeCell ref="B117:H117"/>
    <mergeCell ref="A118:H118"/>
    <mergeCell ref="A119:I119"/>
    <mergeCell ref="A120:I120"/>
    <mergeCell ref="B121:H121"/>
    <mergeCell ref="B122:H122"/>
    <mergeCell ref="A123:H123"/>
    <mergeCell ref="A124:I124"/>
    <mergeCell ref="A125:I125"/>
    <mergeCell ref="B126:H126"/>
    <mergeCell ref="B127:H127"/>
    <mergeCell ref="B128:H128"/>
    <mergeCell ref="B129:H129"/>
    <mergeCell ref="B130:H130"/>
    <mergeCell ref="B131:H131"/>
    <mergeCell ref="A132:H132"/>
    <mergeCell ref="A133:I133"/>
    <mergeCell ref="A134:I134"/>
    <mergeCell ref="A136:I136"/>
    <mergeCell ref="B137:G137"/>
    <mergeCell ref="A138:G138"/>
    <mergeCell ref="B139:G139"/>
    <mergeCell ref="A140:G140"/>
    <mergeCell ref="B141:G141"/>
    <mergeCell ref="A142:G142"/>
    <mergeCell ref="B143:G143"/>
    <mergeCell ref="B144:G144"/>
    <mergeCell ref="B145:G145"/>
    <mergeCell ref="B146:G146"/>
    <mergeCell ref="B147:G147"/>
    <mergeCell ref="B148:G148"/>
    <mergeCell ref="B149:G149"/>
    <mergeCell ref="B150:G150"/>
    <mergeCell ref="B151:G151"/>
    <mergeCell ref="A152:H152"/>
    <mergeCell ref="A153:I153"/>
    <mergeCell ref="A154:G154"/>
    <mergeCell ref="C155:I155"/>
    <mergeCell ref="C156:I156"/>
    <mergeCell ref="C157:I157"/>
    <mergeCell ref="A158:I158"/>
    <mergeCell ref="A159:I159"/>
    <mergeCell ref="A160:I160"/>
    <mergeCell ref="A161:I161"/>
    <mergeCell ref="A162:H162"/>
    <mergeCell ref="B163:H163"/>
    <mergeCell ref="B164:H164"/>
    <mergeCell ref="B165:H165"/>
    <mergeCell ref="B166:H166"/>
    <mergeCell ref="B167:H167"/>
    <mergeCell ref="A168:H168"/>
    <mergeCell ref="B169:H169"/>
    <mergeCell ref="A170:H170"/>
    <mergeCell ref="A172:I172"/>
    <mergeCell ref="A173:I173"/>
    <mergeCell ref="A175:I175"/>
    <mergeCell ref="A176:I176"/>
    <mergeCell ref="A177:B177"/>
    <mergeCell ref="C177:D177"/>
    <mergeCell ref="E177:F177"/>
    <mergeCell ref="G177:I177"/>
    <mergeCell ref="A178:B178"/>
    <mergeCell ref="C178:D178"/>
    <mergeCell ref="E178:F178"/>
    <mergeCell ref="G178:I178"/>
    <mergeCell ref="A179:I179"/>
    <mergeCell ref="A180:B180"/>
    <mergeCell ref="C180:D180"/>
    <mergeCell ref="E180:F180"/>
    <mergeCell ref="G180:I180"/>
    <mergeCell ref="A181:I181"/>
    <mergeCell ref="A182:B182"/>
    <mergeCell ref="C182:D182"/>
    <mergeCell ref="E182:F182"/>
    <mergeCell ref="G182:I182"/>
    <mergeCell ref="A183:I183"/>
    <mergeCell ref="A184:B184"/>
    <mergeCell ref="C184:D184"/>
    <mergeCell ref="E184:F184"/>
    <mergeCell ref="G184:I184"/>
    <mergeCell ref="A185:I185"/>
    <mergeCell ref="A186:B186"/>
    <mergeCell ref="C186:D186"/>
    <mergeCell ref="E186:F186"/>
    <mergeCell ref="G186:I186"/>
    <mergeCell ref="A187:I187"/>
    <mergeCell ref="A188:B188"/>
    <mergeCell ref="C188:D188"/>
    <mergeCell ref="E188:F188"/>
    <mergeCell ref="G188:I188"/>
    <mergeCell ref="A189:I189"/>
    <mergeCell ref="A190:I190"/>
    <mergeCell ref="A191:I191"/>
    <mergeCell ref="A192:I192"/>
    <mergeCell ref="A193:I193"/>
    <mergeCell ref="A194:I194"/>
    <mergeCell ref="A195:B195"/>
    <mergeCell ref="C195:D195"/>
    <mergeCell ref="E195:F195"/>
    <mergeCell ref="G195:I195"/>
    <mergeCell ref="A196:B196"/>
    <mergeCell ref="C196:D196"/>
    <mergeCell ref="E196:F196"/>
    <mergeCell ref="G196:I196"/>
    <mergeCell ref="A197:I197"/>
    <mergeCell ref="A198:I198"/>
    <mergeCell ref="A199:I199"/>
    <mergeCell ref="A200:I200"/>
    <mergeCell ref="A201:I201"/>
    <mergeCell ref="D204:E204"/>
    <mergeCell ref="H204:I204"/>
    <mergeCell ref="D205:E205"/>
    <mergeCell ref="H205:I205"/>
    <mergeCell ref="A206:I206"/>
    <mergeCell ref="D207:E207"/>
    <mergeCell ref="H207:I207"/>
    <mergeCell ref="A208:I208"/>
    <mergeCell ref="D209:E209"/>
    <mergeCell ref="H209:I209"/>
    <mergeCell ref="A210:I210"/>
    <mergeCell ref="A211:I211"/>
    <mergeCell ref="A212:I212"/>
    <mergeCell ref="A213:I213"/>
    <mergeCell ref="A214:I214"/>
    <mergeCell ref="A217:C217"/>
    <mergeCell ref="D217:E217"/>
    <mergeCell ref="G217:I217"/>
    <mergeCell ref="A218:C218"/>
    <mergeCell ref="D218:E218"/>
    <mergeCell ref="G218:I218"/>
    <mergeCell ref="A219:C219"/>
    <mergeCell ref="D219:E219"/>
    <mergeCell ref="G219:I219"/>
    <mergeCell ref="A220:C220"/>
    <mergeCell ref="D220:E220"/>
    <mergeCell ref="G220:I220"/>
    <mergeCell ref="A221:C221"/>
    <mergeCell ref="D221:E221"/>
    <mergeCell ref="G221:I221"/>
    <mergeCell ref="A222:C222"/>
    <mergeCell ref="D222:E222"/>
    <mergeCell ref="G222:I222"/>
    <mergeCell ref="A223:C223"/>
    <mergeCell ref="D223:E223"/>
    <mergeCell ref="G223:I223"/>
    <mergeCell ref="A224:E224"/>
    <mergeCell ref="G224:I224"/>
    <mergeCell ref="A225:I225"/>
    <mergeCell ref="A226:C226"/>
    <mergeCell ref="D226:E226"/>
    <mergeCell ref="G226:I226"/>
    <mergeCell ref="A227:E227"/>
    <mergeCell ref="G227:I227"/>
    <mergeCell ref="A228:I228"/>
    <mergeCell ref="A229:C229"/>
    <mergeCell ref="D229:E229"/>
    <mergeCell ref="G229:I229"/>
    <mergeCell ref="A230:C230"/>
    <mergeCell ref="D230:E230"/>
    <mergeCell ref="G230:I230"/>
    <mergeCell ref="A231:C231"/>
    <mergeCell ref="D231:E231"/>
    <mergeCell ref="G231:I231"/>
    <mergeCell ref="A232:E232"/>
    <mergeCell ref="G232:I232"/>
    <mergeCell ref="A233:I233"/>
    <mergeCell ref="A234:E234"/>
    <mergeCell ref="G234:I234"/>
    <mergeCell ref="A235:I235"/>
    <mergeCell ref="A236:F236"/>
    <mergeCell ref="G236:I236"/>
    <mergeCell ref="A237:I237"/>
    <mergeCell ref="A238:F238"/>
    <mergeCell ref="G238:I238"/>
    <mergeCell ref="A239:I239"/>
    <mergeCell ref="A240:F240"/>
    <mergeCell ref="G240:I240"/>
    <mergeCell ref="A241:I241"/>
    <mergeCell ref="A242:I242"/>
    <mergeCell ref="A245:G245"/>
    <mergeCell ref="H245:I245"/>
    <mergeCell ref="A246:I246"/>
    <mergeCell ref="A155:B157"/>
    <mergeCell ref="A247:I248"/>
    <mergeCell ref="J184:P191"/>
    <mergeCell ref="Q184:X191"/>
    <mergeCell ref="Y184:AF191"/>
    <mergeCell ref="AG184:AN191"/>
    <mergeCell ref="AO184:AV191"/>
    <mergeCell ref="AW184:BD191"/>
    <mergeCell ref="BE184:BL191"/>
    <mergeCell ref="BM184:BT191"/>
    <mergeCell ref="BU184:CB191"/>
    <mergeCell ref="CC184:CJ191"/>
    <mergeCell ref="CK184:CR191"/>
    <mergeCell ref="CS184:CZ191"/>
    <mergeCell ref="DA184:DH191"/>
    <mergeCell ref="DI184:DP191"/>
    <mergeCell ref="DQ184:DX191"/>
    <mergeCell ref="DY184:EF191"/>
    <mergeCell ref="EG184:EN191"/>
    <mergeCell ref="EO184:EV191"/>
    <mergeCell ref="EW184:FD191"/>
    <mergeCell ref="FE184:FL191"/>
    <mergeCell ref="FM184:FT191"/>
    <mergeCell ref="FU184:GB191"/>
    <mergeCell ref="GC184:GJ191"/>
    <mergeCell ref="GK184:GR191"/>
    <mergeCell ref="GS184:GZ191"/>
    <mergeCell ref="HA184:HH191"/>
    <mergeCell ref="HI184:HP191"/>
    <mergeCell ref="HQ184:HX191"/>
    <mergeCell ref="HY184:IF191"/>
    <mergeCell ref="IG184:IN191"/>
    <mergeCell ref="IO184:IV191"/>
    <mergeCell ref="A202:I203"/>
    <mergeCell ref="A215:I216"/>
    <mergeCell ref="A243:G244"/>
    <mergeCell ref="H243:I244"/>
  </mergeCells>
  <printOptions/>
  <pageMargins left="0.5511811023622047" right="0.11811023622047245" top="0.4330708661417323" bottom="0.31496062992125984" header="0.5118110236220472" footer="0.5118110236220472"/>
  <pageSetup fitToHeight="0" fitToWidth="1" horizontalDpi="300" verticalDpi="300" orientation="portrait" paperSize="9" scale="8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B34">
      <selection activeCell="J49" sqref="J49"/>
    </sheetView>
  </sheetViews>
  <sheetFormatPr defaultColWidth="9.140625" defaultRowHeight="12.75"/>
  <cols>
    <col min="1" max="1" width="26.140625" style="85" customWidth="1"/>
    <col min="2" max="2" width="20.00390625" style="85" customWidth="1"/>
    <col min="3" max="3" width="12.00390625" style="85" customWidth="1"/>
    <col min="4" max="4" width="12.28125" style="85" customWidth="1"/>
    <col min="5" max="5" width="12.8515625" style="111" customWidth="1"/>
    <col min="6" max="6" width="12.8515625" style="85" customWidth="1"/>
    <col min="7" max="7" width="11.00390625" style="111" customWidth="1"/>
    <col min="8" max="8" width="13.57421875" style="111" customWidth="1"/>
    <col min="9" max="9" width="4.00390625" style="85" customWidth="1"/>
    <col min="10" max="10" width="11.28125" style="85" customWidth="1"/>
    <col min="11" max="11" width="3.00390625" style="85" customWidth="1"/>
    <col min="12" max="12" width="6.57421875" style="85" customWidth="1"/>
    <col min="13" max="13" width="2.421875" style="85" customWidth="1"/>
    <col min="14" max="14" width="11.140625" style="85" customWidth="1"/>
    <col min="15" max="15" width="10.00390625" style="85" customWidth="1"/>
    <col min="16" max="16" width="9.57421875" style="85" customWidth="1"/>
    <col min="17" max="17" width="11.7109375" style="85" customWidth="1"/>
    <col min="18" max="16384" width="9.140625" style="85" customWidth="1"/>
  </cols>
  <sheetData>
    <row r="1" spans="1:16" s="111" customFormat="1" ht="114.75" customHeight="1">
      <c r="A1" s="113" t="s">
        <v>272</v>
      </c>
      <c r="B1" s="113" t="s">
        <v>286</v>
      </c>
      <c r="C1" s="114" t="s">
        <v>287</v>
      </c>
      <c r="D1" s="115" t="s">
        <v>288</v>
      </c>
      <c r="E1" s="115" t="s">
        <v>289</v>
      </c>
      <c r="F1" s="115" t="s">
        <v>290</v>
      </c>
      <c r="G1" s="115" t="s">
        <v>291</v>
      </c>
      <c r="H1" s="115" t="s">
        <v>292</v>
      </c>
      <c r="I1" s="115" t="s">
        <v>293</v>
      </c>
      <c r="J1" s="115"/>
      <c r="K1" s="115"/>
      <c r="L1" s="115"/>
      <c r="M1" s="115"/>
      <c r="N1" s="115"/>
      <c r="O1" s="115"/>
      <c r="P1" s="115"/>
    </row>
    <row r="2" spans="1:18" ht="38.25">
      <c r="A2" s="113" t="s">
        <v>294</v>
      </c>
      <c r="B2" s="116" t="s">
        <v>295</v>
      </c>
      <c r="C2" s="117">
        <v>1200</v>
      </c>
      <c r="D2" s="118">
        <v>348.7</v>
      </c>
      <c r="E2" s="113">
        <f aca="true" t="shared" si="0" ref="E2:E14">D2/C2</f>
        <v>0.2905833333333333</v>
      </c>
      <c r="F2" s="119">
        <f aca="true" t="shared" si="1" ref="F2:F19">TRUNC(E2,0)</f>
        <v>0</v>
      </c>
      <c r="G2" s="113">
        <f>E2-F2</f>
        <v>0.2905833333333333</v>
      </c>
      <c r="H2" s="113">
        <f aca="true" t="shared" si="2" ref="H2:H19">G2*$C$23*60</f>
        <v>139.48</v>
      </c>
      <c r="I2" s="149">
        <f aca="true" t="shared" si="3" ref="I2:I19">F2</f>
        <v>0</v>
      </c>
      <c r="J2" s="115" t="s">
        <v>296</v>
      </c>
      <c r="K2" s="149">
        <f aca="true" t="shared" si="4" ref="K2:K19">$C$23</f>
        <v>8</v>
      </c>
      <c r="L2" s="115" t="s">
        <v>297</v>
      </c>
      <c r="M2" s="149">
        <v>1</v>
      </c>
      <c r="N2" s="115" t="s">
        <v>298</v>
      </c>
      <c r="O2" s="149">
        <f aca="true" t="shared" si="5" ref="O2:O19">H2</f>
        <v>139.48</v>
      </c>
      <c r="P2" s="115" t="s">
        <v>299</v>
      </c>
      <c r="Q2" s="125"/>
      <c r="R2" s="153"/>
    </row>
    <row r="3" spans="1:16" ht="38.25">
      <c r="A3" s="113"/>
      <c r="B3" s="116" t="s">
        <v>300</v>
      </c>
      <c r="C3" s="120">
        <v>2344</v>
      </c>
      <c r="D3" s="118">
        <v>8500</v>
      </c>
      <c r="E3" s="113">
        <f t="shared" si="0"/>
        <v>3.6262798634812285</v>
      </c>
      <c r="F3" s="119">
        <f t="shared" si="1"/>
        <v>3</v>
      </c>
      <c r="G3" s="113">
        <f aca="true" t="shared" si="6" ref="G3:G19">E3-F3</f>
        <v>0.6262798634812285</v>
      </c>
      <c r="H3" s="113">
        <f t="shared" si="2"/>
        <v>300.6143344709897</v>
      </c>
      <c r="I3" s="149">
        <f t="shared" si="3"/>
        <v>3</v>
      </c>
      <c r="J3" s="115" t="s">
        <v>296</v>
      </c>
      <c r="K3" s="149">
        <f t="shared" si="4"/>
        <v>8</v>
      </c>
      <c r="L3" s="115" t="s">
        <v>297</v>
      </c>
      <c r="M3" s="149">
        <v>1</v>
      </c>
      <c r="N3" s="115" t="s">
        <v>298</v>
      </c>
      <c r="O3" s="149">
        <f t="shared" si="5"/>
        <v>300.6143344709897</v>
      </c>
      <c r="P3" s="115" t="s">
        <v>299</v>
      </c>
    </row>
    <row r="4" spans="1:16" ht="38.25">
      <c r="A4" s="113"/>
      <c r="B4" s="116" t="s">
        <v>301</v>
      </c>
      <c r="C4" s="120">
        <v>703</v>
      </c>
      <c r="D4" s="118">
        <v>1000</v>
      </c>
      <c r="E4" s="113">
        <f t="shared" si="0"/>
        <v>1.422475106685633</v>
      </c>
      <c r="F4" s="119">
        <f t="shared" si="1"/>
        <v>1</v>
      </c>
      <c r="G4" s="113">
        <f t="shared" si="6"/>
        <v>0.42247510668563293</v>
      </c>
      <c r="H4" s="113">
        <f t="shared" si="2"/>
        <v>202.7880512091038</v>
      </c>
      <c r="I4" s="149">
        <f t="shared" si="3"/>
        <v>1</v>
      </c>
      <c r="J4" s="115" t="s">
        <v>296</v>
      </c>
      <c r="K4" s="149">
        <f t="shared" si="4"/>
        <v>8</v>
      </c>
      <c r="L4" s="115" t="s">
        <v>297</v>
      </c>
      <c r="M4" s="149">
        <v>1</v>
      </c>
      <c r="N4" s="115" t="s">
        <v>298</v>
      </c>
      <c r="O4" s="149">
        <f t="shared" si="5"/>
        <v>202.7880512091038</v>
      </c>
      <c r="P4" s="115" t="s">
        <v>299</v>
      </c>
    </row>
    <row r="5" spans="1:16" ht="38.25">
      <c r="A5" s="113"/>
      <c r="B5" s="121" t="s">
        <v>302</v>
      </c>
      <c r="C5" s="117">
        <v>4688</v>
      </c>
      <c r="D5" s="118">
        <v>250</v>
      </c>
      <c r="E5" s="113">
        <f t="shared" si="0"/>
        <v>0.05332764505119454</v>
      </c>
      <c r="F5" s="119">
        <f t="shared" si="1"/>
        <v>0</v>
      </c>
      <c r="G5" s="113">
        <f t="shared" si="6"/>
        <v>0.05332764505119454</v>
      </c>
      <c r="H5" s="113">
        <f t="shared" si="2"/>
        <v>25.59726962457338</v>
      </c>
      <c r="I5" s="149">
        <f t="shared" si="3"/>
        <v>0</v>
      </c>
      <c r="J5" s="115" t="s">
        <v>296</v>
      </c>
      <c r="K5" s="149">
        <f t="shared" si="4"/>
        <v>8</v>
      </c>
      <c r="L5" s="115" t="s">
        <v>297</v>
      </c>
      <c r="M5" s="149">
        <v>1</v>
      </c>
      <c r="N5" s="115" t="s">
        <v>298</v>
      </c>
      <c r="O5" s="149">
        <f t="shared" si="5"/>
        <v>25.59726962457338</v>
      </c>
      <c r="P5" s="115" t="s">
        <v>299</v>
      </c>
    </row>
    <row r="6" spans="1:16" ht="38.25">
      <c r="A6" s="113"/>
      <c r="B6" s="116" t="s">
        <v>303</v>
      </c>
      <c r="C6" s="117">
        <v>1800</v>
      </c>
      <c r="D6" s="118">
        <v>0</v>
      </c>
      <c r="E6" s="113">
        <f t="shared" si="0"/>
        <v>0</v>
      </c>
      <c r="F6" s="119">
        <f t="shared" si="1"/>
        <v>0</v>
      </c>
      <c r="G6" s="113">
        <f t="shared" si="6"/>
        <v>0</v>
      </c>
      <c r="H6" s="113">
        <f t="shared" si="2"/>
        <v>0</v>
      </c>
      <c r="I6" s="149">
        <f t="shared" si="3"/>
        <v>0</v>
      </c>
      <c r="J6" s="115" t="s">
        <v>296</v>
      </c>
      <c r="K6" s="149">
        <f t="shared" si="4"/>
        <v>8</v>
      </c>
      <c r="L6" s="115" t="s">
        <v>297</v>
      </c>
      <c r="M6" s="149">
        <v>1</v>
      </c>
      <c r="N6" s="115" t="s">
        <v>298</v>
      </c>
      <c r="O6" s="149">
        <f t="shared" si="5"/>
        <v>0</v>
      </c>
      <c r="P6" s="115" t="s">
        <v>299</v>
      </c>
    </row>
    <row r="7" spans="1:16" ht="38.25">
      <c r="A7" s="113"/>
      <c r="B7" s="121" t="s">
        <v>304</v>
      </c>
      <c r="C7" s="117">
        <v>3375</v>
      </c>
      <c r="D7" s="118">
        <v>2000</v>
      </c>
      <c r="E7" s="113">
        <f t="shared" si="0"/>
        <v>0.5925925925925926</v>
      </c>
      <c r="F7" s="119">
        <f t="shared" si="1"/>
        <v>0</v>
      </c>
      <c r="G7" s="113">
        <f t="shared" si="6"/>
        <v>0.5925925925925926</v>
      </c>
      <c r="H7" s="113">
        <f t="shared" si="2"/>
        <v>284.44444444444446</v>
      </c>
      <c r="I7" s="149">
        <f t="shared" si="3"/>
        <v>0</v>
      </c>
      <c r="J7" s="115" t="s">
        <v>296</v>
      </c>
      <c r="K7" s="149">
        <f t="shared" si="4"/>
        <v>8</v>
      </c>
      <c r="L7" s="115" t="s">
        <v>297</v>
      </c>
      <c r="M7" s="149">
        <v>1</v>
      </c>
      <c r="N7" s="115" t="s">
        <v>298</v>
      </c>
      <c r="O7" s="149">
        <f t="shared" si="5"/>
        <v>284.44444444444446</v>
      </c>
      <c r="P7" s="115" t="s">
        <v>299</v>
      </c>
    </row>
    <row r="8" spans="1:16" ht="38.25">
      <c r="A8" s="113"/>
      <c r="B8" s="122" t="s">
        <v>305</v>
      </c>
      <c r="C8" s="117">
        <v>196</v>
      </c>
      <c r="D8" s="118">
        <v>1175.98</v>
      </c>
      <c r="E8" s="113">
        <f t="shared" si="0"/>
        <v>5.999897959183674</v>
      </c>
      <c r="F8" s="119">
        <f t="shared" si="1"/>
        <v>5</v>
      </c>
      <c r="G8" s="113">
        <f t="shared" si="6"/>
        <v>0.9998979591836736</v>
      </c>
      <c r="H8" s="113">
        <f t="shared" si="2"/>
        <v>479.95102040816334</v>
      </c>
      <c r="I8" s="149">
        <f t="shared" si="3"/>
        <v>5</v>
      </c>
      <c r="J8" s="115" t="s">
        <v>296</v>
      </c>
      <c r="K8" s="149">
        <f t="shared" si="4"/>
        <v>8</v>
      </c>
      <c r="L8" s="115" t="s">
        <v>297</v>
      </c>
      <c r="M8" s="149">
        <v>1</v>
      </c>
      <c r="N8" s="115" t="s">
        <v>298</v>
      </c>
      <c r="O8" s="149">
        <f t="shared" si="5"/>
        <v>479.95102040816334</v>
      </c>
      <c r="P8" s="115" t="s">
        <v>299</v>
      </c>
    </row>
    <row r="9" spans="1:16" ht="38.25">
      <c r="A9" s="113" t="s">
        <v>306</v>
      </c>
      <c r="B9" s="121" t="s">
        <v>307</v>
      </c>
      <c r="C9" s="117">
        <v>8100</v>
      </c>
      <c r="D9" s="118">
        <v>1400</v>
      </c>
      <c r="E9" s="113">
        <f t="shared" si="0"/>
        <v>0.1728395061728395</v>
      </c>
      <c r="F9" s="119">
        <f t="shared" si="1"/>
        <v>0</v>
      </c>
      <c r="G9" s="113">
        <f t="shared" si="6"/>
        <v>0.1728395061728395</v>
      </c>
      <c r="H9" s="113">
        <f t="shared" si="2"/>
        <v>82.96296296296296</v>
      </c>
      <c r="I9" s="149">
        <f t="shared" si="3"/>
        <v>0</v>
      </c>
      <c r="J9" s="115" t="s">
        <v>296</v>
      </c>
      <c r="K9" s="149">
        <f t="shared" si="4"/>
        <v>8</v>
      </c>
      <c r="L9" s="115" t="s">
        <v>297</v>
      </c>
      <c r="M9" s="149">
        <v>1</v>
      </c>
      <c r="N9" s="115" t="s">
        <v>298</v>
      </c>
      <c r="O9" s="149">
        <f t="shared" si="5"/>
        <v>82.96296296296296</v>
      </c>
      <c r="P9" s="115" t="s">
        <v>299</v>
      </c>
    </row>
    <row r="10" spans="1:16" ht="38.25">
      <c r="A10" s="113"/>
      <c r="B10" s="121" t="s">
        <v>308</v>
      </c>
      <c r="C10" s="117">
        <v>9000</v>
      </c>
      <c r="D10" s="118">
        <v>0</v>
      </c>
      <c r="E10" s="113">
        <f t="shared" si="0"/>
        <v>0</v>
      </c>
      <c r="F10" s="119">
        <f t="shared" si="1"/>
        <v>0</v>
      </c>
      <c r="G10" s="113">
        <f t="shared" si="6"/>
        <v>0</v>
      </c>
      <c r="H10" s="113">
        <f t="shared" si="2"/>
        <v>0</v>
      </c>
      <c r="I10" s="149">
        <f t="shared" si="3"/>
        <v>0</v>
      </c>
      <c r="J10" s="115" t="s">
        <v>296</v>
      </c>
      <c r="K10" s="149">
        <f t="shared" si="4"/>
        <v>8</v>
      </c>
      <c r="L10" s="115" t="s">
        <v>297</v>
      </c>
      <c r="M10" s="149">
        <v>1</v>
      </c>
      <c r="N10" s="115" t="s">
        <v>298</v>
      </c>
      <c r="O10" s="149">
        <f t="shared" si="5"/>
        <v>0</v>
      </c>
      <c r="P10" s="115" t="s">
        <v>299</v>
      </c>
    </row>
    <row r="11" spans="1:16" ht="38.25">
      <c r="A11" s="113"/>
      <c r="B11" s="121" t="s">
        <v>309</v>
      </c>
      <c r="C11" s="117">
        <v>2700</v>
      </c>
      <c r="D11" s="118">
        <v>0</v>
      </c>
      <c r="E11" s="113">
        <f t="shared" si="0"/>
        <v>0</v>
      </c>
      <c r="F11" s="119">
        <f t="shared" si="1"/>
        <v>0</v>
      </c>
      <c r="G11" s="113">
        <f t="shared" si="6"/>
        <v>0</v>
      </c>
      <c r="H11" s="113">
        <f t="shared" si="2"/>
        <v>0</v>
      </c>
      <c r="I11" s="149">
        <f t="shared" si="3"/>
        <v>0</v>
      </c>
      <c r="J11" s="115" t="s">
        <v>296</v>
      </c>
      <c r="K11" s="149">
        <f t="shared" si="4"/>
        <v>8</v>
      </c>
      <c r="L11" s="115" t="s">
        <v>297</v>
      </c>
      <c r="M11" s="149">
        <v>1</v>
      </c>
      <c r="N11" s="115" t="s">
        <v>298</v>
      </c>
      <c r="O11" s="149">
        <f t="shared" si="5"/>
        <v>0</v>
      </c>
      <c r="P11" s="115" t="s">
        <v>299</v>
      </c>
    </row>
    <row r="12" spans="1:16" ht="38.25">
      <c r="A12" s="113"/>
      <c r="B12" s="121" t="s">
        <v>310</v>
      </c>
      <c r="C12" s="117">
        <v>2700</v>
      </c>
      <c r="D12" s="118">
        <v>0</v>
      </c>
      <c r="E12" s="113">
        <f t="shared" si="0"/>
        <v>0</v>
      </c>
      <c r="F12" s="119">
        <f t="shared" si="1"/>
        <v>0</v>
      </c>
      <c r="G12" s="113">
        <f t="shared" si="6"/>
        <v>0</v>
      </c>
      <c r="H12" s="113">
        <f t="shared" si="2"/>
        <v>0</v>
      </c>
      <c r="I12" s="149">
        <f t="shared" si="3"/>
        <v>0</v>
      </c>
      <c r="J12" s="115" t="s">
        <v>296</v>
      </c>
      <c r="K12" s="149">
        <f t="shared" si="4"/>
        <v>8</v>
      </c>
      <c r="L12" s="115" t="s">
        <v>297</v>
      </c>
      <c r="M12" s="149">
        <v>1</v>
      </c>
      <c r="N12" s="115" t="s">
        <v>298</v>
      </c>
      <c r="O12" s="149">
        <f t="shared" si="5"/>
        <v>0</v>
      </c>
      <c r="P12" s="115" t="s">
        <v>299</v>
      </c>
    </row>
    <row r="13" spans="1:16" ht="38.25">
      <c r="A13" s="113"/>
      <c r="B13" s="121" t="s">
        <v>311</v>
      </c>
      <c r="C13" s="117">
        <v>2700</v>
      </c>
      <c r="D13" s="118">
        <v>0</v>
      </c>
      <c r="E13" s="113">
        <f t="shared" si="0"/>
        <v>0</v>
      </c>
      <c r="F13" s="119">
        <f t="shared" si="1"/>
        <v>0</v>
      </c>
      <c r="G13" s="113">
        <f t="shared" si="6"/>
        <v>0</v>
      </c>
      <c r="H13" s="113">
        <f t="shared" si="2"/>
        <v>0</v>
      </c>
      <c r="I13" s="149">
        <f t="shared" si="3"/>
        <v>0</v>
      </c>
      <c r="J13" s="115" t="s">
        <v>296</v>
      </c>
      <c r="K13" s="149">
        <f t="shared" si="4"/>
        <v>8</v>
      </c>
      <c r="L13" s="115" t="s">
        <v>297</v>
      </c>
      <c r="M13" s="149">
        <v>1</v>
      </c>
      <c r="N13" s="115" t="s">
        <v>298</v>
      </c>
      <c r="O13" s="149">
        <f t="shared" si="5"/>
        <v>0</v>
      </c>
      <c r="P13" s="115" t="s">
        <v>299</v>
      </c>
    </row>
    <row r="14" spans="1:16" ht="38.25">
      <c r="A14" s="113"/>
      <c r="B14" s="121" t="s">
        <v>312</v>
      </c>
      <c r="C14" s="117">
        <v>100000</v>
      </c>
      <c r="D14" s="118">
        <v>0</v>
      </c>
      <c r="E14" s="113">
        <f t="shared" si="0"/>
        <v>0</v>
      </c>
      <c r="F14" s="119">
        <f t="shared" si="1"/>
        <v>0</v>
      </c>
      <c r="G14" s="113">
        <f t="shared" si="6"/>
        <v>0</v>
      </c>
      <c r="H14" s="113">
        <f t="shared" si="2"/>
        <v>0</v>
      </c>
      <c r="I14" s="149">
        <f t="shared" si="3"/>
        <v>0</v>
      </c>
      <c r="J14" s="115" t="s">
        <v>296</v>
      </c>
      <c r="K14" s="149">
        <f t="shared" si="4"/>
        <v>8</v>
      </c>
      <c r="L14" s="115" t="s">
        <v>297</v>
      </c>
      <c r="M14" s="149">
        <v>1</v>
      </c>
      <c r="N14" s="115" t="s">
        <v>298</v>
      </c>
      <c r="O14" s="149">
        <f t="shared" si="5"/>
        <v>0</v>
      </c>
      <c r="P14" s="115" t="s">
        <v>299</v>
      </c>
    </row>
    <row r="15" spans="1:16" ht="38.25" customHeight="1">
      <c r="A15" s="115" t="s">
        <v>313</v>
      </c>
      <c r="B15" s="121" t="s">
        <v>314</v>
      </c>
      <c r="C15" s="117">
        <v>320</v>
      </c>
      <c r="D15" s="118">
        <v>470.61</v>
      </c>
      <c r="E15" s="113">
        <f>(D15/C15)*(16/188.76)</f>
        <v>0.12465829624920535</v>
      </c>
      <c r="F15" s="119">
        <f t="shared" si="1"/>
        <v>0</v>
      </c>
      <c r="G15" s="113">
        <f t="shared" si="6"/>
        <v>0.12465829624920535</v>
      </c>
      <c r="H15" s="113">
        <f t="shared" si="2"/>
        <v>59.83598219961857</v>
      </c>
      <c r="I15" s="149">
        <f t="shared" si="3"/>
        <v>0</v>
      </c>
      <c r="J15" s="115" t="s">
        <v>296</v>
      </c>
      <c r="K15" s="149">
        <f t="shared" si="4"/>
        <v>8</v>
      </c>
      <c r="L15" s="115" t="s">
        <v>297</v>
      </c>
      <c r="M15" s="149">
        <v>1</v>
      </c>
      <c r="N15" s="115" t="s">
        <v>298</v>
      </c>
      <c r="O15" s="149">
        <f t="shared" si="5"/>
        <v>59.83598219961857</v>
      </c>
      <c r="P15" s="115" t="s">
        <v>299</v>
      </c>
    </row>
    <row r="16" spans="1:16" ht="38.25">
      <c r="A16" s="115"/>
      <c r="B16" s="121" t="s">
        <v>315</v>
      </c>
      <c r="C16" s="117">
        <v>760</v>
      </c>
      <c r="D16" s="118">
        <v>1500</v>
      </c>
      <c r="E16" s="113">
        <f>(D16/C16)*(16/188.76)</f>
        <v>0.16729681801452137</v>
      </c>
      <c r="F16" s="119">
        <f t="shared" si="1"/>
        <v>0</v>
      </c>
      <c r="G16" s="113">
        <f t="shared" si="6"/>
        <v>0.16729681801452137</v>
      </c>
      <c r="H16" s="113">
        <f t="shared" si="2"/>
        <v>80.30247264697026</v>
      </c>
      <c r="I16" s="149">
        <f t="shared" si="3"/>
        <v>0</v>
      </c>
      <c r="J16" s="115" t="s">
        <v>296</v>
      </c>
      <c r="K16" s="149">
        <f t="shared" si="4"/>
        <v>8</v>
      </c>
      <c r="L16" s="115" t="s">
        <v>297</v>
      </c>
      <c r="M16" s="149">
        <v>1</v>
      </c>
      <c r="N16" s="115" t="s">
        <v>298</v>
      </c>
      <c r="O16" s="149">
        <f t="shared" si="5"/>
        <v>80.30247264697026</v>
      </c>
      <c r="P16" s="115" t="s">
        <v>299</v>
      </c>
    </row>
    <row r="17" spans="1:16" ht="38.25">
      <c r="A17" s="115"/>
      <c r="B17" s="121" t="s">
        <v>316</v>
      </c>
      <c r="C17" s="117">
        <v>380</v>
      </c>
      <c r="D17" s="118">
        <v>2501.57</v>
      </c>
      <c r="E17" s="113">
        <f>(D17/C17)*(16/188.76)</f>
        <v>0.558006268054115</v>
      </c>
      <c r="F17" s="119">
        <f t="shared" si="1"/>
        <v>0</v>
      </c>
      <c r="G17" s="113">
        <f t="shared" si="6"/>
        <v>0.558006268054115</v>
      </c>
      <c r="H17" s="113">
        <f t="shared" si="2"/>
        <v>267.8430086659752</v>
      </c>
      <c r="I17" s="149">
        <f t="shared" si="3"/>
        <v>0</v>
      </c>
      <c r="J17" s="115" t="s">
        <v>296</v>
      </c>
      <c r="K17" s="149">
        <f t="shared" si="4"/>
        <v>8</v>
      </c>
      <c r="L17" s="115" t="s">
        <v>297</v>
      </c>
      <c r="M17" s="149">
        <v>1</v>
      </c>
      <c r="N17" s="115" t="s">
        <v>298</v>
      </c>
      <c r="O17" s="149">
        <f t="shared" si="5"/>
        <v>267.8430086659752</v>
      </c>
      <c r="P17" s="115" t="s">
        <v>299</v>
      </c>
    </row>
    <row r="18" spans="1:16" ht="38.25">
      <c r="A18" s="121" t="s">
        <v>317</v>
      </c>
      <c r="B18" s="121" t="s">
        <v>318</v>
      </c>
      <c r="C18" s="123">
        <v>160</v>
      </c>
      <c r="D18" s="118">
        <v>0</v>
      </c>
      <c r="E18" s="113">
        <f>(D18/C18)*(8/1132.6)</f>
        <v>0</v>
      </c>
      <c r="F18" s="119">
        <f t="shared" si="1"/>
        <v>0</v>
      </c>
      <c r="G18" s="113">
        <f t="shared" si="6"/>
        <v>0</v>
      </c>
      <c r="H18" s="113">
        <f t="shared" si="2"/>
        <v>0</v>
      </c>
      <c r="I18" s="149">
        <f t="shared" si="3"/>
        <v>0</v>
      </c>
      <c r="J18" s="115" t="s">
        <v>296</v>
      </c>
      <c r="K18" s="149">
        <f t="shared" si="4"/>
        <v>8</v>
      </c>
      <c r="L18" s="115" t="s">
        <v>297</v>
      </c>
      <c r="M18" s="149">
        <v>1</v>
      </c>
      <c r="N18" s="115" t="s">
        <v>298</v>
      </c>
      <c r="O18" s="149">
        <f t="shared" si="5"/>
        <v>0</v>
      </c>
      <c r="P18" s="115" t="s">
        <v>299</v>
      </c>
    </row>
    <row r="19" spans="1:16" ht="38.25">
      <c r="A19" s="121" t="s">
        <v>319</v>
      </c>
      <c r="B19" s="121" t="s">
        <v>320</v>
      </c>
      <c r="C19" s="124">
        <v>450</v>
      </c>
      <c r="D19" s="118">
        <v>0</v>
      </c>
      <c r="E19" s="113">
        <f>0</f>
        <v>0</v>
      </c>
      <c r="F19" s="119">
        <f t="shared" si="1"/>
        <v>0</v>
      </c>
      <c r="G19" s="113">
        <f t="shared" si="6"/>
        <v>0</v>
      </c>
      <c r="H19" s="113">
        <f t="shared" si="2"/>
        <v>0</v>
      </c>
      <c r="I19" s="149">
        <f t="shared" si="3"/>
        <v>0</v>
      </c>
      <c r="J19" s="115" t="s">
        <v>296</v>
      </c>
      <c r="K19" s="149">
        <f t="shared" si="4"/>
        <v>8</v>
      </c>
      <c r="L19" s="115" t="s">
        <v>297</v>
      </c>
      <c r="M19" s="149">
        <v>1</v>
      </c>
      <c r="N19" s="115" t="s">
        <v>298</v>
      </c>
      <c r="O19" s="149">
        <f t="shared" si="5"/>
        <v>0</v>
      </c>
      <c r="P19" s="115" t="s">
        <v>299</v>
      </c>
    </row>
    <row r="20" spans="1:16" ht="15.75">
      <c r="A20" s="125"/>
      <c r="B20" s="125"/>
      <c r="C20" s="126"/>
      <c r="D20" s="127">
        <f>SUM(D2:D19)</f>
        <v>19146.86</v>
      </c>
      <c r="E20" s="128"/>
      <c r="F20" s="119"/>
      <c r="G20" s="128"/>
      <c r="H20" s="128"/>
      <c r="I20" s="150"/>
      <c r="J20" s="126"/>
      <c r="K20" s="150"/>
      <c r="L20" s="126"/>
      <c r="M20" s="150"/>
      <c r="N20" s="126"/>
      <c r="O20" s="150"/>
      <c r="P20" s="126"/>
    </row>
    <row r="21" spans="1:18" ht="52.5" customHeight="1">
      <c r="A21" s="129" t="s">
        <v>321</v>
      </c>
      <c r="B21" s="129"/>
      <c r="C21" s="129"/>
      <c r="D21" s="129"/>
      <c r="E21" s="113">
        <f>SUM(E2:E19)</f>
        <v>13.007957388818337</v>
      </c>
      <c r="F21" s="130">
        <f>TRUNC(E21,0)</f>
        <v>13</v>
      </c>
      <c r="G21" s="113">
        <f>E21-F21</f>
        <v>0.007957388818336852</v>
      </c>
      <c r="H21" s="113">
        <f>G21*$C$23*60</f>
        <v>3.819546632801689</v>
      </c>
      <c r="I21" s="151">
        <f>F21</f>
        <v>13</v>
      </c>
      <c r="J21" s="115" t="s">
        <v>296</v>
      </c>
      <c r="K21" s="149">
        <f>$C$23</f>
        <v>8</v>
      </c>
      <c r="L21" s="115" t="s">
        <v>297</v>
      </c>
      <c r="M21" s="151">
        <v>1</v>
      </c>
      <c r="N21" s="115" t="s">
        <v>298</v>
      </c>
      <c r="O21" s="151">
        <f>H21</f>
        <v>3.819546632801689</v>
      </c>
      <c r="P21" s="115" t="s">
        <v>299</v>
      </c>
      <c r="Q21" s="154" t="s">
        <v>322</v>
      </c>
      <c r="R21" s="155"/>
    </row>
    <row r="22" spans="1:16" ht="15.75">
      <c r="A22" s="125"/>
      <c r="B22" s="125"/>
      <c r="C22" s="125"/>
      <c r="D22" s="131"/>
      <c r="F22" s="132"/>
      <c r="I22" s="112"/>
      <c r="J22" s="126"/>
      <c r="K22" s="150"/>
      <c r="L22" s="126"/>
      <c r="M22" s="150"/>
      <c r="N22" s="126"/>
      <c r="O22" s="112"/>
      <c r="P22" s="126"/>
    </row>
    <row r="23" spans="1:17" ht="20.25" customHeight="1">
      <c r="A23" s="133" t="s">
        <v>323</v>
      </c>
      <c r="B23" s="133"/>
      <c r="C23" s="134">
        <v>8</v>
      </c>
      <c r="D23" s="135" t="s">
        <v>324</v>
      </c>
      <c r="E23" s="136" t="s">
        <v>325</v>
      </c>
      <c r="F23" s="136"/>
      <c r="G23" s="136"/>
      <c r="H23" s="136"/>
      <c r="I23" s="136"/>
      <c r="J23" s="136"/>
      <c r="K23" s="136"/>
      <c r="L23" s="152">
        <f>ROUND(F21+G21,0)</f>
        <v>13</v>
      </c>
      <c r="M23" s="152"/>
      <c r="N23" s="152"/>
      <c r="Q23" s="85">
        <f>44/5</f>
        <v>8.8</v>
      </c>
    </row>
    <row r="24" spans="1:8" ht="15">
      <c r="A24" s="137"/>
      <c r="B24" s="137"/>
      <c r="C24" s="138"/>
      <c r="D24" s="138"/>
      <c r="E24" s="138"/>
      <c r="F24" s="112"/>
      <c r="G24" s="138"/>
      <c r="H24" s="138"/>
    </row>
    <row r="25" spans="1:16" ht="18.75" customHeight="1">
      <c r="A25" s="139" t="s">
        <v>326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</row>
    <row r="26" spans="1:16" s="112" customFormat="1" ht="18.75" customHeight="1">
      <c r="A26" s="139" t="s">
        <v>327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</row>
    <row r="27" spans="1:19" s="112" customFormat="1" ht="35.25" customHeight="1">
      <c r="A27" s="140" t="s">
        <v>328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5"/>
      <c r="R27" s="145"/>
      <c r="S27" s="145"/>
    </row>
    <row r="28" spans="1:19" s="112" customFormat="1" ht="36" customHeight="1">
      <c r="A28" s="140" t="s">
        <v>329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5"/>
      <c r="R28" s="145"/>
      <c r="S28" s="145"/>
    </row>
    <row r="29" spans="1:19" s="112" customFormat="1" ht="36" customHeight="1">
      <c r="A29" s="140" t="s">
        <v>330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5"/>
      <c r="R29" s="145"/>
      <c r="S29" s="145"/>
    </row>
    <row r="30" spans="1:19" s="112" customFormat="1" ht="18.7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5"/>
      <c r="R30" s="145"/>
      <c r="S30" s="145"/>
    </row>
    <row r="31" spans="1:19" s="112" customFormat="1" ht="18.75" customHeight="1">
      <c r="A31" s="141" t="s">
        <v>331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5"/>
      <c r="R31" s="145"/>
      <c r="S31" s="145"/>
    </row>
    <row r="32" spans="1:19" s="112" customFormat="1" ht="36" customHeight="1">
      <c r="A32" s="141" t="s">
        <v>332</v>
      </c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5"/>
      <c r="R32" s="145"/>
      <c r="S32" s="145"/>
    </row>
    <row r="33" spans="1:19" s="112" customFormat="1" ht="18">
      <c r="A33" s="142" t="s">
        <v>333</v>
      </c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5"/>
      <c r="R33" s="145"/>
      <c r="S33" s="145"/>
    </row>
    <row r="34" spans="1:19" s="112" customFormat="1" ht="18">
      <c r="A34" s="143" t="s">
        <v>334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5"/>
      <c r="R34" s="145"/>
      <c r="S34" s="145"/>
    </row>
    <row r="35" spans="1:19" s="112" customFormat="1" ht="36" customHeight="1">
      <c r="A35" s="144" t="s">
        <v>335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5"/>
      <c r="R35" s="145"/>
      <c r="S35" s="145"/>
    </row>
    <row r="36" spans="1:19" s="112" customFormat="1" ht="18">
      <c r="A36" s="145"/>
      <c r="B36" s="145"/>
      <c r="C36" s="145"/>
      <c r="D36" s="145"/>
      <c r="E36" s="146"/>
      <c r="F36" s="145"/>
      <c r="G36" s="146"/>
      <c r="H36" s="146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</row>
    <row r="37" spans="1:19" s="112" customFormat="1" ht="18">
      <c r="A37" s="145"/>
      <c r="B37" s="145"/>
      <c r="C37" s="145"/>
      <c r="D37" s="145"/>
      <c r="E37" s="146"/>
      <c r="F37" s="145"/>
      <c r="G37" s="146"/>
      <c r="H37" s="146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</row>
    <row r="38" spans="1:19" s="112" customFormat="1" ht="18.75" customHeight="1">
      <c r="A38" s="147" t="s">
        <v>336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</row>
    <row r="39" spans="1:19" s="112" customFormat="1" ht="18">
      <c r="A39" s="145"/>
      <c r="B39" s="145"/>
      <c r="C39" s="145"/>
      <c r="D39" s="145"/>
      <c r="E39" s="146"/>
      <c r="F39" s="145"/>
      <c r="G39" s="146"/>
      <c r="H39" s="146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</row>
    <row r="40" spans="1:19" s="112" customFormat="1" ht="36" customHeight="1">
      <c r="A40" s="147" t="s">
        <v>337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</row>
    <row r="41" spans="1:19" s="112" customFormat="1" ht="18">
      <c r="A41" s="145"/>
      <c r="B41" s="145"/>
      <c r="C41" s="145"/>
      <c r="D41" s="145"/>
      <c r="E41" s="146"/>
      <c r="F41" s="145"/>
      <c r="G41" s="146"/>
      <c r="H41" s="146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</row>
    <row r="42" spans="1:19" s="112" customFormat="1" ht="18.75" customHeight="1">
      <c r="A42" s="147" t="s">
        <v>338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</row>
    <row r="43" spans="1:19" s="112" customFormat="1" ht="18.75" customHeight="1">
      <c r="A43" s="147" t="s">
        <v>339</v>
      </c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5"/>
      <c r="Q43" s="145"/>
      <c r="R43" s="145"/>
      <c r="S43" s="145"/>
    </row>
    <row r="44" spans="1:19" s="112" customFormat="1" ht="35.25" customHeight="1">
      <c r="A44" s="148" t="s">
        <v>340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5"/>
      <c r="R44" s="145"/>
      <c r="S44" s="145"/>
    </row>
  </sheetData>
  <sheetProtection/>
  <mergeCells count="24">
    <mergeCell ref="I1:P1"/>
    <mergeCell ref="A21:D21"/>
    <mergeCell ref="A23:B23"/>
    <mergeCell ref="E23:K23"/>
    <mergeCell ref="L23:N23"/>
    <mergeCell ref="A25:P25"/>
    <mergeCell ref="A26:P26"/>
    <mergeCell ref="A27:P27"/>
    <mergeCell ref="A28:P28"/>
    <mergeCell ref="A29:P29"/>
    <mergeCell ref="A30:P30"/>
    <mergeCell ref="A31:P31"/>
    <mergeCell ref="A32:P32"/>
    <mergeCell ref="A33:P33"/>
    <mergeCell ref="A34:P34"/>
    <mergeCell ref="A35:P35"/>
    <mergeCell ref="A38:S38"/>
    <mergeCell ref="A40:S40"/>
    <mergeCell ref="A42:S42"/>
    <mergeCell ref="A43:O43"/>
    <mergeCell ref="A44:P44"/>
    <mergeCell ref="A2:A8"/>
    <mergeCell ref="A9:A14"/>
    <mergeCell ref="A15:A17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23"/>
  <sheetViews>
    <sheetView zoomScaleSheetLayoutView="100" workbookViewId="0" topLeftCell="A119">
      <selection activeCell="A129" sqref="A129"/>
    </sheetView>
  </sheetViews>
  <sheetFormatPr defaultColWidth="9.00390625" defaultRowHeight="12.75"/>
  <cols>
    <col min="1" max="1" width="7.57421875" style="1" customWidth="1"/>
    <col min="2" max="2" width="52.28125" style="2" customWidth="1"/>
    <col min="3" max="3" width="12.140625" style="3" customWidth="1"/>
    <col min="4" max="4" width="11.8515625" style="3" customWidth="1"/>
    <col min="5" max="5" width="13.00390625" style="3" customWidth="1"/>
    <col min="6" max="6" width="13.7109375" style="3" customWidth="1"/>
    <col min="7" max="8" width="14.140625" style="3" customWidth="1"/>
    <col min="9" max="9" width="13.421875" style="4" customWidth="1"/>
    <col min="10" max="10" width="9.421875" style="4" bestFit="1" customWidth="1"/>
    <col min="11" max="254" width="9.140625" style="4" bestFit="1" customWidth="1"/>
    <col min="255" max="16384" width="9.00390625" style="4" customWidth="1"/>
  </cols>
  <sheetData>
    <row r="1" ht="69.75" customHeight="1"/>
    <row r="2" spans="1:8" ht="12.75">
      <c r="A2" s="1" t="s">
        <v>341</v>
      </c>
      <c r="B2" s="4"/>
      <c r="C2" s="4"/>
      <c r="D2" s="4"/>
      <c r="E2" s="4"/>
      <c r="F2" s="4"/>
      <c r="G2" s="4"/>
      <c r="H2" s="4"/>
    </row>
    <row r="3" spans="1:8" ht="12.75">
      <c r="A3" s="1" t="s">
        <v>342</v>
      </c>
      <c r="B3" s="4"/>
      <c r="C3" s="4"/>
      <c r="D3" s="4"/>
      <c r="E3" s="4"/>
      <c r="F3" s="4"/>
      <c r="G3" s="4"/>
      <c r="H3" s="4"/>
    </row>
    <row r="4" spans="1:8" ht="12.75">
      <c r="A4" s="1" t="s">
        <v>343</v>
      </c>
      <c r="B4" s="4"/>
      <c r="C4" s="4"/>
      <c r="D4" s="4"/>
      <c r="E4" s="4"/>
      <c r="F4" s="4"/>
      <c r="G4" s="4"/>
      <c r="H4" s="4"/>
    </row>
    <row r="5" spans="1:8" ht="12.75">
      <c r="A5" s="1" t="s">
        <v>344</v>
      </c>
      <c r="B5" s="4"/>
      <c r="C5" s="4"/>
      <c r="D5" s="4"/>
      <c r="E5" s="4"/>
      <c r="F5" s="4"/>
      <c r="G5" s="4"/>
      <c r="H5" s="4"/>
    </row>
    <row r="6" spans="1:8" ht="12.75">
      <c r="A6" s="1" t="s">
        <v>345</v>
      </c>
      <c r="B6" s="4"/>
      <c r="C6" s="4"/>
      <c r="D6" s="4"/>
      <c r="E6" s="4"/>
      <c r="F6" s="4"/>
      <c r="G6" s="4"/>
      <c r="H6" s="4"/>
    </row>
    <row r="7" spans="1:8" ht="28.5" customHeight="1">
      <c r="A7" s="1" t="s">
        <v>346</v>
      </c>
      <c r="B7" s="4"/>
      <c r="C7" s="4"/>
      <c r="D7" s="4"/>
      <c r="E7" s="4"/>
      <c r="F7" s="4"/>
      <c r="G7" s="4"/>
      <c r="H7" s="4"/>
    </row>
    <row r="8" spans="1:8" ht="54" customHeight="1">
      <c r="A8" s="5" t="s">
        <v>347</v>
      </c>
      <c r="B8" s="3"/>
      <c r="C8" s="5"/>
      <c r="D8" s="5"/>
      <c r="E8" s="5"/>
      <c r="F8" s="5"/>
      <c r="G8" s="5"/>
      <c r="H8" s="5"/>
    </row>
    <row r="9" spans="1:12" ht="40.5" customHeight="1">
      <c r="A9" s="6" t="s">
        <v>348</v>
      </c>
      <c r="B9" s="6" t="s">
        <v>349</v>
      </c>
      <c r="C9" s="6" t="s">
        <v>350</v>
      </c>
      <c r="D9" s="6" t="s">
        <v>351</v>
      </c>
      <c r="E9" s="6" t="s">
        <v>352</v>
      </c>
      <c r="F9" s="7" t="s">
        <v>353</v>
      </c>
      <c r="G9" s="6" t="s">
        <v>354</v>
      </c>
      <c r="H9" s="8"/>
      <c r="I9" s="34"/>
      <c r="J9" s="35"/>
      <c r="K9" s="35"/>
      <c r="L9" s="35"/>
    </row>
    <row r="10" spans="1:12" ht="12.75">
      <c r="A10" s="9">
        <v>1</v>
      </c>
      <c r="B10" s="10" t="s">
        <v>355</v>
      </c>
      <c r="C10" s="9" t="s">
        <v>356</v>
      </c>
      <c r="D10" s="9">
        <v>240</v>
      </c>
      <c r="E10" s="9">
        <f>D10*12</f>
        <v>2880</v>
      </c>
      <c r="F10" s="11">
        <v>3.17</v>
      </c>
      <c r="G10" s="12">
        <f>F10*E10</f>
        <v>9129.6</v>
      </c>
      <c r="H10" s="13"/>
      <c r="I10" s="36"/>
      <c r="J10" s="37"/>
      <c r="K10" s="38"/>
      <c r="L10" s="39"/>
    </row>
    <row r="11" spans="1:12" ht="12.75">
      <c r="A11" s="9">
        <v>2</v>
      </c>
      <c r="B11" s="10" t="s">
        <v>357</v>
      </c>
      <c r="C11" s="9" t="s">
        <v>356</v>
      </c>
      <c r="D11" s="9">
        <v>48</v>
      </c>
      <c r="E11" s="9">
        <f aca="true" t="shared" si="0" ref="E11:E25">D11*12</f>
        <v>576</v>
      </c>
      <c r="F11" s="14">
        <v>8.19</v>
      </c>
      <c r="G11" s="12">
        <f aca="true" t="shared" si="1" ref="G11:G25">F11*E11</f>
        <v>4717.44</v>
      </c>
      <c r="H11" s="13"/>
      <c r="I11" s="36"/>
      <c r="J11" s="37"/>
      <c r="K11" s="38"/>
      <c r="L11" s="39"/>
    </row>
    <row r="12" spans="1:12" ht="12.75">
      <c r="A12" s="9">
        <v>3</v>
      </c>
      <c r="B12" s="10" t="s">
        <v>358</v>
      </c>
      <c r="C12" s="9" t="s">
        <v>356</v>
      </c>
      <c r="D12" s="9">
        <v>5</v>
      </c>
      <c r="E12" s="9">
        <f t="shared" si="0"/>
        <v>60</v>
      </c>
      <c r="F12" s="14">
        <v>6.94</v>
      </c>
      <c r="G12" s="12">
        <f t="shared" si="1"/>
        <v>416.40000000000003</v>
      </c>
      <c r="H12" s="13"/>
      <c r="I12" s="40"/>
      <c r="J12" s="37"/>
      <c r="K12" s="38"/>
      <c r="L12" s="39"/>
    </row>
    <row r="13" spans="1:12" ht="12.75">
      <c r="A13" s="9">
        <v>4</v>
      </c>
      <c r="B13" s="10" t="s">
        <v>359</v>
      </c>
      <c r="C13" s="9" t="s">
        <v>356</v>
      </c>
      <c r="D13" s="9">
        <v>3</v>
      </c>
      <c r="E13" s="9">
        <f t="shared" si="0"/>
        <v>36</v>
      </c>
      <c r="F13" s="14">
        <v>19.25</v>
      </c>
      <c r="G13" s="12">
        <f t="shared" si="1"/>
        <v>693</v>
      </c>
      <c r="H13" s="13"/>
      <c r="I13" s="36"/>
      <c r="J13" s="37"/>
      <c r="K13" s="38"/>
      <c r="L13" s="39"/>
    </row>
    <row r="14" spans="1:12" ht="51">
      <c r="A14" s="9">
        <v>5</v>
      </c>
      <c r="B14" s="10" t="s">
        <v>360</v>
      </c>
      <c r="C14" s="9" t="s">
        <v>361</v>
      </c>
      <c r="D14" s="9">
        <v>10</v>
      </c>
      <c r="E14" s="9">
        <f t="shared" si="0"/>
        <v>120</v>
      </c>
      <c r="F14" s="14">
        <v>38.8</v>
      </c>
      <c r="G14" s="12">
        <f t="shared" si="1"/>
        <v>4656</v>
      </c>
      <c r="H14" s="13"/>
      <c r="I14" s="41"/>
      <c r="J14" s="39"/>
      <c r="K14" s="42"/>
      <c r="L14" s="39"/>
    </row>
    <row r="15" spans="1:12" ht="25.5">
      <c r="A15" s="9">
        <v>6</v>
      </c>
      <c r="B15" s="10" t="s">
        <v>362</v>
      </c>
      <c r="C15" s="9" t="s">
        <v>356</v>
      </c>
      <c r="D15" s="9">
        <v>680</v>
      </c>
      <c r="E15" s="9">
        <f t="shared" si="0"/>
        <v>8160</v>
      </c>
      <c r="F15" s="14">
        <v>4.8</v>
      </c>
      <c r="G15" s="12">
        <f t="shared" si="1"/>
        <v>39168</v>
      </c>
      <c r="H15" s="13"/>
      <c r="I15" s="43"/>
      <c r="J15" s="39"/>
      <c r="K15" s="42"/>
      <c r="L15" s="39"/>
    </row>
    <row r="16" spans="1:12" ht="25.5">
      <c r="A16" s="9">
        <v>7</v>
      </c>
      <c r="B16" s="10" t="s">
        <v>363</v>
      </c>
      <c r="C16" s="9" t="s">
        <v>356</v>
      </c>
      <c r="D16" s="9">
        <v>200</v>
      </c>
      <c r="E16" s="9">
        <f t="shared" si="0"/>
        <v>2400</v>
      </c>
      <c r="F16" s="14">
        <v>3.56</v>
      </c>
      <c r="G16" s="12">
        <f t="shared" si="1"/>
        <v>8544</v>
      </c>
      <c r="H16" s="13"/>
      <c r="I16" s="41"/>
      <c r="J16" s="39"/>
      <c r="K16" s="42"/>
      <c r="L16" s="39"/>
    </row>
    <row r="17" spans="1:12" ht="12.75">
      <c r="A17" s="9">
        <v>8</v>
      </c>
      <c r="B17" s="10" t="s">
        <v>364</v>
      </c>
      <c r="C17" s="9" t="s">
        <v>356</v>
      </c>
      <c r="D17" s="9">
        <v>120</v>
      </c>
      <c r="E17" s="9">
        <f t="shared" si="0"/>
        <v>1440</v>
      </c>
      <c r="F17" s="14">
        <v>9.66</v>
      </c>
      <c r="G17" s="12">
        <f t="shared" si="1"/>
        <v>13910.4</v>
      </c>
      <c r="H17" s="4"/>
      <c r="I17" s="40"/>
      <c r="J17" s="39"/>
      <c r="K17" s="42"/>
      <c r="L17" s="39"/>
    </row>
    <row r="18" spans="1:9" ht="25.5">
      <c r="A18" s="9">
        <v>9</v>
      </c>
      <c r="B18" s="10" t="s">
        <v>365</v>
      </c>
      <c r="C18" s="9" t="s">
        <v>356</v>
      </c>
      <c r="D18" s="9">
        <v>200</v>
      </c>
      <c r="E18" s="9">
        <f t="shared" si="0"/>
        <v>2400</v>
      </c>
      <c r="F18" s="11">
        <v>6.06</v>
      </c>
      <c r="G18" s="12">
        <f t="shared" si="1"/>
        <v>14543.999999999998</v>
      </c>
      <c r="H18" s="15"/>
      <c r="I18" s="44"/>
    </row>
    <row r="19" spans="1:9" ht="25.5">
      <c r="A19" s="9">
        <v>10</v>
      </c>
      <c r="B19" s="10" t="s">
        <v>366</v>
      </c>
      <c r="C19" s="9" t="s">
        <v>367</v>
      </c>
      <c r="D19" s="9">
        <v>12</v>
      </c>
      <c r="E19" s="9">
        <f t="shared" si="0"/>
        <v>144</v>
      </c>
      <c r="F19" s="11">
        <v>52.42</v>
      </c>
      <c r="G19" s="12">
        <f t="shared" si="1"/>
        <v>7548.4800000000005</v>
      </c>
      <c r="H19" s="13"/>
      <c r="I19" s="44"/>
    </row>
    <row r="20" spans="1:8" ht="12.75">
      <c r="A20" s="9">
        <v>11</v>
      </c>
      <c r="B20" s="10" t="s">
        <v>368</v>
      </c>
      <c r="C20" s="9" t="s">
        <v>367</v>
      </c>
      <c r="D20" s="9">
        <v>6</v>
      </c>
      <c r="E20" s="9">
        <f t="shared" si="0"/>
        <v>72</v>
      </c>
      <c r="F20" s="14">
        <v>33.39</v>
      </c>
      <c r="G20" s="12">
        <f t="shared" si="1"/>
        <v>2404.08</v>
      </c>
      <c r="H20" s="13"/>
    </row>
    <row r="21" spans="1:8" ht="12.75">
      <c r="A21" s="9">
        <v>12</v>
      </c>
      <c r="B21" s="10" t="s">
        <v>369</v>
      </c>
      <c r="C21" s="9" t="s">
        <v>356</v>
      </c>
      <c r="D21" s="9">
        <v>48</v>
      </c>
      <c r="E21" s="9">
        <f t="shared" si="0"/>
        <v>576</v>
      </c>
      <c r="F21" s="14">
        <v>3.46</v>
      </c>
      <c r="G21" s="12">
        <f t="shared" si="1"/>
        <v>1992.96</v>
      </c>
      <c r="H21" s="13"/>
    </row>
    <row r="22" spans="1:8" ht="12.75">
      <c r="A22" s="9">
        <v>13</v>
      </c>
      <c r="B22" s="16" t="s">
        <v>370</v>
      </c>
      <c r="C22" s="9" t="s">
        <v>367</v>
      </c>
      <c r="D22" s="9">
        <v>0.5</v>
      </c>
      <c r="E22" s="9">
        <f t="shared" si="0"/>
        <v>6</v>
      </c>
      <c r="F22" s="14">
        <v>52.58</v>
      </c>
      <c r="G22" s="12">
        <f t="shared" si="1"/>
        <v>315.48</v>
      </c>
      <c r="H22" s="13"/>
    </row>
    <row r="23" spans="1:8" ht="25.5">
      <c r="A23" s="9">
        <v>14</v>
      </c>
      <c r="B23" s="10" t="s">
        <v>371</v>
      </c>
      <c r="C23" s="9" t="s">
        <v>356</v>
      </c>
      <c r="D23" s="9">
        <v>50</v>
      </c>
      <c r="E23" s="9">
        <f t="shared" si="0"/>
        <v>600</v>
      </c>
      <c r="F23" s="14">
        <v>6.06</v>
      </c>
      <c r="G23" s="12">
        <f t="shared" si="1"/>
        <v>3635.9999999999995</v>
      </c>
      <c r="H23" s="13"/>
    </row>
    <row r="24" spans="1:8" ht="12.75">
      <c r="A24" s="9">
        <v>15</v>
      </c>
      <c r="B24" s="16" t="s">
        <v>372</v>
      </c>
      <c r="C24" s="9" t="s">
        <v>356</v>
      </c>
      <c r="D24" s="9">
        <v>3</v>
      </c>
      <c r="E24" s="9">
        <f t="shared" si="0"/>
        <v>36</v>
      </c>
      <c r="F24" s="14">
        <v>8.6</v>
      </c>
      <c r="G24" s="12">
        <f t="shared" si="1"/>
        <v>309.59999999999997</v>
      </c>
      <c r="H24" s="13"/>
    </row>
    <row r="25" spans="1:8" ht="12.75">
      <c r="A25" s="9">
        <v>16</v>
      </c>
      <c r="B25" s="10" t="s">
        <v>373</v>
      </c>
      <c r="C25" s="9" t="s">
        <v>356</v>
      </c>
      <c r="D25" s="9">
        <v>16</v>
      </c>
      <c r="E25" s="9">
        <f t="shared" si="0"/>
        <v>192</v>
      </c>
      <c r="F25" s="14">
        <v>4.55</v>
      </c>
      <c r="G25" s="12">
        <f t="shared" si="1"/>
        <v>873.5999999999999</v>
      </c>
      <c r="H25" s="13"/>
    </row>
    <row r="26" spans="1:8" ht="12.75">
      <c r="A26" s="17" t="s">
        <v>374</v>
      </c>
      <c r="B26" s="18"/>
      <c r="C26" s="18"/>
      <c r="D26" s="18"/>
      <c r="E26" s="18"/>
      <c r="F26" s="18"/>
      <c r="G26" s="19">
        <f>SUM(G10:G25)</f>
        <v>112859.04000000001</v>
      </c>
      <c r="H26" s="20"/>
    </row>
    <row r="27" spans="1:8" ht="12.75">
      <c r="A27" s="17" t="s">
        <v>375</v>
      </c>
      <c r="B27" s="18"/>
      <c r="C27" s="18"/>
      <c r="D27" s="18"/>
      <c r="E27" s="18"/>
      <c r="F27" s="18"/>
      <c r="G27" s="19">
        <f>G26/12</f>
        <v>9404.92</v>
      </c>
      <c r="H27" s="20"/>
    </row>
    <row r="28" spans="1:8" ht="34.5" customHeight="1">
      <c r="A28" s="21"/>
      <c r="B28" s="22"/>
      <c r="C28" s="23"/>
      <c r="D28" s="23"/>
      <c r="E28" s="24"/>
      <c r="F28" s="24"/>
      <c r="G28" s="24"/>
      <c r="H28" s="13"/>
    </row>
    <row r="29" spans="1:13" ht="25.5">
      <c r="A29" s="25" t="s">
        <v>348</v>
      </c>
      <c r="B29" s="25" t="s">
        <v>376</v>
      </c>
      <c r="C29" s="25" t="s">
        <v>350</v>
      </c>
      <c r="D29" s="25" t="s">
        <v>377</v>
      </c>
      <c r="E29" s="25" t="s">
        <v>378</v>
      </c>
      <c r="F29" s="25" t="s">
        <v>352</v>
      </c>
      <c r="G29" s="25" t="s">
        <v>353</v>
      </c>
      <c r="H29" s="6" t="s">
        <v>354</v>
      </c>
      <c r="I29" s="45"/>
      <c r="J29" s="35"/>
      <c r="K29" s="35"/>
      <c r="L29" s="35"/>
      <c r="M29" s="35"/>
    </row>
    <row r="30" spans="1:13" ht="12.75">
      <c r="A30" s="26">
        <v>1</v>
      </c>
      <c r="B30" s="27" t="s">
        <v>379</v>
      </c>
      <c r="C30" s="9" t="s">
        <v>356</v>
      </c>
      <c r="D30" s="9">
        <v>3</v>
      </c>
      <c r="E30" s="9">
        <v>4</v>
      </c>
      <c r="F30" s="9">
        <v>9</v>
      </c>
      <c r="G30" s="28">
        <v>19.96</v>
      </c>
      <c r="H30" s="12">
        <f>G30*F30</f>
        <v>179.64000000000001</v>
      </c>
      <c r="I30" s="46"/>
      <c r="J30" s="37"/>
      <c r="K30" s="37"/>
      <c r="L30" s="38"/>
      <c r="M30" s="47"/>
    </row>
    <row r="31" spans="1:13" ht="12.75">
      <c r="A31" s="26">
        <v>2</v>
      </c>
      <c r="B31" s="27" t="s">
        <v>380</v>
      </c>
      <c r="C31" s="9" t="s">
        <v>356</v>
      </c>
      <c r="D31" s="9">
        <v>4</v>
      </c>
      <c r="E31" s="9">
        <v>4</v>
      </c>
      <c r="F31" s="9">
        <v>12</v>
      </c>
      <c r="G31" s="28">
        <v>10.55</v>
      </c>
      <c r="H31" s="12">
        <f aca="true" t="shared" si="2" ref="H31:H55">G31*F31</f>
        <v>126.60000000000001</v>
      </c>
      <c r="I31" s="48"/>
      <c r="J31" s="37"/>
      <c r="K31" s="37"/>
      <c r="L31" s="38"/>
      <c r="M31" s="47"/>
    </row>
    <row r="32" spans="1:13" ht="12.75">
      <c r="A32" s="26">
        <v>3</v>
      </c>
      <c r="B32" s="27" t="s">
        <v>381</v>
      </c>
      <c r="C32" s="9" t="s">
        <v>356</v>
      </c>
      <c r="D32" s="9">
        <v>12</v>
      </c>
      <c r="E32" s="9">
        <v>4</v>
      </c>
      <c r="F32" s="9">
        <v>36</v>
      </c>
      <c r="G32" s="28">
        <v>11.97</v>
      </c>
      <c r="H32" s="12">
        <f t="shared" si="2"/>
        <v>430.92</v>
      </c>
      <c r="I32" s="46"/>
      <c r="J32" s="37"/>
      <c r="K32" s="37"/>
      <c r="L32" s="38"/>
      <c r="M32" s="47"/>
    </row>
    <row r="33" spans="1:13" ht="12.75">
      <c r="A33" s="26">
        <v>4</v>
      </c>
      <c r="B33" s="27" t="s">
        <v>382</v>
      </c>
      <c r="C33" s="9" t="s">
        <v>356</v>
      </c>
      <c r="D33" s="9">
        <v>3</v>
      </c>
      <c r="E33" s="9">
        <v>1</v>
      </c>
      <c r="F33" s="9">
        <v>36</v>
      </c>
      <c r="G33" s="28">
        <v>13.04</v>
      </c>
      <c r="H33" s="12">
        <f t="shared" si="2"/>
        <v>469.43999999999994</v>
      </c>
      <c r="I33" s="49"/>
      <c r="J33" s="39"/>
      <c r="K33" s="39"/>
      <c r="L33" s="42"/>
      <c r="M33" s="47"/>
    </row>
    <row r="34" spans="1:13" ht="25.5">
      <c r="A34" s="26">
        <v>5</v>
      </c>
      <c r="B34" s="16" t="s">
        <v>383</v>
      </c>
      <c r="C34" s="9" t="s">
        <v>356</v>
      </c>
      <c r="D34" s="9">
        <v>4</v>
      </c>
      <c r="E34" s="9">
        <v>2</v>
      </c>
      <c r="F34" s="9">
        <v>24</v>
      </c>
      <c r="G34" s="28">
        <v>44.68</v>
      </c>
      <c r="H34" s="12">
        <f t="shared" si="2"/>
        <v>1072.32</v>
      </c>
      <c r="I34" s="50"/>
      <c r="J34" s="39"/>
      <c r="K34" s="39"/>
      <c r="L34" s="42"/>
      <c r="M34" s="47"/>
    </row>
    <row r="35" spans="1:13" ht="12.75">
      <c r="A35" s="26">
        <v>6</v>
      </c>
      <c r="B35" s="27" t="s">
        <v>384</v>
      </c>
      <c r="C35" s="9" t="s">
        <v>356</v>
      </c>
      <c r="D35" s="9">
        <v>4</v>
      </c>
      <c r="E35" s="9">
        <v>6</v>
      </c>
      <c r="F35" s="9">
        <v>8</v>
      </c>
      <c r="G35" s="28">
        <v>129.55</v>
      </c>
      <c r="H35" s="12">
        <f t="shared" si="2"/>
        <v>1036.4</v>
      </c>
      <c r="I35" s="46"/>
      <c r="J35" s="37"/>
      <c r="K35" s="37"/>
      <c r="L35" s="38"/>
      <c r="M35" s="47"/>
    </row>
    <row r="36" spans="1:13" ht="25.5">
      <c r="A36" s="26">
        <v>7</v>
      </c>
      <c r="B36" s="27" t="s">
        <v>385</v>
      </c>
      <c r="C36" s="9" t="s">
        <v>356</v>
      </c>
      <c r="D36" s="9">
        <v>8</v>
      </c>
      <c r="E36" s="9">
        <v>6</v>
      </c>
      <c r="F36" s="9">
        <v>16</v>
      </c>
      <c r="G36" s="28">
        <v>29.7</v>
      </c>
      <c r="H36" s="12">
        <f t="shared" si="2"/>
        <v>475.2</v>
      </c>
      <c r="I36" s="50"/>
      <c r="J36" s="39"/>
      <c r="K36" s="39"/>
      <c r="L36" s="42"/>
      <c r="M36" s="47"/>
    </row>
    <row r="37" spans="1:13" ht="12.75">
      <c r="A37" s="26">
        <v>8</v>
      </c>
      <c r="B37" s="27" t="s">
        <v>386</v>
      </c>
      <c r="C37" s="9" t="s">
        <v>356</v>
      </c>
      <c r="D37" s="9">
        <v>60</v>
      </c>
      <c r="E37" s="9">
        <v>1</v>
      </c>
      <c r="F37" s="9">
        <v>720</v>
      </c>
      <c r="G37" s="28">
        <v>0.95</v>
      </c>
      <c r="H37" s="12">
        <f t="shared" si="2"/>
        <v>684</v>
      </c>
      <c r="I37" s="50"/>
      <c r="J37" s="39"/>
      <c r="K37" s="39"/>
      <c r="L37" s="42"/>
      <c r="M37" s="47"/>
    </row>
    <row r="38" spans="1:13" ht="12.75">
      <c r="A38" s="26">
        <v>9</v>
      </c>
      <c r="B38" s="27" t="s">
        <v>387</v>
      </c>
      <c r="C38" s="9" t="s">
        <v>356</v>
      </c>
      <c r="D38" s="9">
        <v>60</v>
      </c>
      <c r="E38" s="9">
        <v>1</v>
      </c>
      <c r="F38" s="9">
        <v>720</v>
      </c>
      <c r="G38" s="28">
        <v>3.47</v>
      </c>
      <c r="H38" s="12">
        <f t="shared" si="2"/>
        <v>2498.4</v>
      </c>
      <c r="I38" s="49"/>
      <c r="J38" s="39"/>
      <c r="K38" s="39"/>
      <c r="L38" s="42"/>
      <c r="M38" s="47"/>
    </row>
    <row r="39" spans="1:13" ht="12.75">
      <c r="A39" s="26">
        <v>10</v>
      </c>
      <c r="B39" s="10" t="s">
        <v>388</v>
      </c>
      <c r="C39" s="9" t="s">
        <v>356</v>
      </c>
      <c r="D39" s="9">
        <v>1</v>
      </c>
      <c r="E39" s="9">
        <v>1</v>
      </c>
      <c r="F39" s="9">
        <v>12</v>
      </c>
      <c r="G39" s="28">
        <v>36.62</v>
      </c>
      <c r="H39" s="12">
        <f t="shared" si="2"/>
        <v>439.43999999999994</v>
      </c>
      <c r="I39" s="49"/>
      <c r="J39" s="39"/>
      <c r="K39" s="39"/>
      <c r="L39" s="42"/>
      <c r="M39" s="47"/>
    </row>
    <row r="40" spans="1:13" ht="25.5">
      <c r="A40" s="26">
        <v>11</v>
      </c>
      <c r="B40" s="10" t="s">
        <v>389</v>
      </c>
      <c r="C40" s="9" t="s">
        <v>356</v>
      </c>
      <c r="D40" s="9">
        <v>1</v>
      </c>
      <c r="E40" s="9">
        <v>1</v>
      </c>
      <c r="F40" s="9">
        <v>12</v>
      </c>
      <c r="G40" s="28">
        <v>6.07</v>
      </c>
      <c r="H40" s="12">
        <f t="shared" si="2"/>
        <v>72.84</v>
      </c>
      <c r="I40" s="49"/>
      <c r="J40" s="39"/>
      <c r="K40" s="39"/>
      <c r="L40" s="42"/>
      <c r="M40" s="47"/>
    </row>
    <row r="41" spans="1:13" ht="25.5">
      <c r="A41" s="26">
        <v>12</v>
      </c>
      <c r="B41" s="27" t="s">
        <v>390</v>
      </c>
      <c r="C41" s="9" t="s">
        <v>391</v>
      </c>
      <c r="D41" s="9">
        <v>48</v>
      </c>
      <c r="E41" s="9">
        <v>1</v>
      </c>
      <c r="F41" s="9">
        <v>576</v>
      </c>
      <c r="G41" s="28">
        <v>4.19</v>
      </c>
      <c r="H41" s="12">
        <f t="shared" si="2"/>
        <v>2413.44</v>
      </c>
      <c r="I41" s="51"/>
      <c r="J41" s="39"/>
      <c r="K41" s="39"/>
      <c r="L41" s="42"/>
      <c r="M41" s="47"/>
    </row>
    <row r="42" spans="1:13" ht="25.5">
      <c r="A42" s="26">
        <v>13</v>
      </c>
      <c r="B42" s="27" t="s">
        <v>392</v>
      </c>
      <c r="C42" s="9" t="s">
        <v>356</v>
      </c>
      <c r="D42" s="9">
        <v>36</v>
      </c>
      <c r="E42" s="9">
        <v>1</v>
      </c>
      <c r="F42" s="9">
        <v>432</v>
      </c>
      <c r="G42" s="28">
        <v>9.48</v>
      </c>
      <c r="H42" s="12">
        <f t="shared" si="2"/>
        <v>4095.36</v>
      </c>
      <c r="I42" s="51"/>
      <c r="J42" s="39"/>
      <c r="K42" s="39"/>
      <c r="L42" s="42"/>
      <c r="M42" s="47"/>
    </row>
    <row r="43" spans="1:8" ht="12.75">
      <c r="A43" s="26">
        <v>14</v>
      </c>
      <c r="B43" s="27" t="s">
        <v>393</v>
      </c>
      <c r="C43" s="9" t="s">
        <v>356</v>
      </c>
      <c r="D43" s="9">
        <v>16</v>
      </c>
      <c r="E43" s="9">
        <v>3</v>
      </c>
      <c r="F43" s="9">
        <v>64</v>
      </c>
      <c r="G43" s="28">
        <v>6.83</v>
      </c>
      <c r="H43" s="12">
        <f t="shared" si="2"/>
        <v>437.12</v>
      </c>
    </row>
    <row r="44" spans="1:8" ht="12.75">
      <c r="A44" s="26">
        <v>15</v>
      </c>
      <c r="B44" s="27" t="s">
        <v>394</v>
      </c>
      <c r="C44" s="9" t="s">
        <v>356</v>
      </c>
      <c r="D44" s="9">
        <v>12</v>
      </c>
      <c r="E44" s="9">
        <v>3</v>
      </c>
      <c r="F44" s="9">
        <v>48</v>
      </c>
      <c r="G44" s="28">
        <v>20.37</v>
      </c>
      <c r="H44" s="12">
        <f t="shared" si="2"/>
        <v>977.76</v>
      </c>
    </row>
    <row r="45" spans="1:8" ht="12.75">
      <c r="A45" s="26">
        <v>16</v>
      </c>
      <c r="B45" s="27" t="s">
        <v>395</v>
      </c>
      <c r="C45" s="9" t="s">
        <v>356</v>
      </c>
      <c r="D45" s="9">
        <v>4</v>
      </c>
      <c r="E45" s="9">
        <v>1</v>
      </c>
      <c r="F45" s="9">
        <v>48</v>
      </c>
      <c r="G45" s="28">
        <v>44.16</v>
      </c>
      <c r="H45" s="12">
        <f t="shared" si="2"/>
        <v>2119.68</v>
      </c>
    </row>
    <row r="46" spans="1:8" ht="12.75">
      <c r="A46" s="26">
        <v>17</v>
      </c>
      <c r="B46" s="27" t="s">
        <v>396</v>
      </c>
      <c r="C46" s="9" t="s">
        <v>356</v>
      </c>
      <c r="D46" s="9">
        <v>6</v>
      </c>
      <c r="E46" s="9">
        <v>1</v>
      </c>
      <c r="F46" s="9">
        <v>72</v>
      </c>
      <c r="G46" s="28">
        <v>13.33</v>
      </c>
      <c r="H46" s="12">
        <f t="shared" si="2"/>
        <v>959.76</v>
      </c>
    </row>
    <row r="47" spans="1:8" ht="12.75">
      <c r="A47" s="26">
        <v>18</v>
      </c>
      <c r="B47" s="27" t="s">
        <v>397</v>
      </c>
      <c r="C47" s="9" t="s">
        <v>356</v>
      </c>
      <c r="D47" s="9">
        <v>3</v>
      </c>
      <c r="E47" s="9">
        <v>1</v>
      </c>
      <c r="F47" s="9">
        <v>36</v>
      </c>
      <c r="G47" s="28">
        <v>25.18</v>
      </c>
      <c r="H47" s="12">
        <f t="shared" si="2"/>
        <v>906.48</v>
      </c>
    </row>
    <row r="48" spans="1:8" ht="25.5">
      <c r="A48" s="26">
        <v>19</v>
      </c>
      <c r="B48" s="27" t="s">
        <v>398</v>
      </c>
      <c r="C48" s="9" t="s">
        <v>356</v>
      </c>
      <c r="D48" s="9">
        <v>8</v>
      </c>
      <c r="E48" s="9">
        <v>1</v>
      </c>
      <c r="F48" s="9">
        <v>96</v>
      </c>
      <c r="G48" s="28">
        <v>14.38</v>
      </c>
      <c r="H48" s="12">
        <f t="shared" si="2"/>
        <v>1380.48</v>
      </c>
    </row>
    <row r="49" spans="1:8" ht="12.75">
      <c r="A49" s="26">
        <v>20</v>
      </c>
      <c r="B49" s="27" t="s">
        <v>399</v>
      </c>
      <c r="C49" s="9" t="s">
        <v>356</v>
      </c>
      <c r="D49" s="9">
        <v>400</v>
      </c>
      <c r="E49" s="9">
        <v>1</v>
      </c>
      <c r="F49" s="9">
        <v>4800</v>
      </c>
      <c r="G49" s="28">
        <v>0.59</v>
      </c>
      <c r="H49" s="12">
        <f t="shared" si="2"/>
        <v>2832</v>
      </c>
    </row>
    <row r="50" spans="1:8" ht="12.75">
      <c r="A50" s="26">
        <v>21</v>
      </c>
      <c r="B50" s="27" t="s">
        <v>400</v>
      </c>
      <c r="C50" s="9" t="s">
        <v>356</v>
      </c>
      <c r="D50" s="9">
        <v>800</v>
      </c>
      <c r="E50" s="9">
        <v>1</v>
      </c>
      <c r="F50" s="9">
        <v>9600</v>
      </c>
      <c r="G50" s="28">
        <v>0.37</v>
      </c>
      <c r="H50" s="12">
        <f t="shared" si="2"/>
        <v>3552</v>
      </c>
    </row>
    <row r="51" spans="1:8" ht="12.75">
      <c r="A51" s="26">
        <v>22</v>
      </c>
      <c r="B51" s="27" t="s">
        <v>401</v>
      </c>
      <c r="C51" s="9" t="s">
        <v>356</v>
      </c>
      <c r="D51" s="9">
        <v>300</v>
      </c>
      <c r="E51" s="9">
        <v>1</v>
      </c>
      <c r="F51" s="9">
        <v>3600</v>
      </c>
      <c r="G51" s="28">
        <v>0.25</v>
      </c>
      <c r="H51" s="12">
        <f t="shared" si="2"/>
        <v>900</v>
      </c>
    </row>
    <row r="52" spans="1:8" ht="12.75">
      <c r="A52" s="26">
        <v>23</v>
      </c>
      <c r="B52" s="29" t="s">
        <v>402</v>
      </c>
      <c r="C52" s="26" t="s">
        <v>391</v>
      </c>
      <c r="D52" s="26">
        <v>2</v>
      </c>
      <c r="E52" s="26">
        <v>1</v>
      </c>
      <c r="F52" s="26">
        <v>24</v>
      </c>
      <c r="G52" s="28">
        <v>25.99</v>
      </c>
      <c r="H52" s="12">
        <f t="shared" si="2"/>
        <v>623.76</v>
      </c>
    </row>
    <row r="53" spans="1:8" ht="12.75">
      <c r="A53" s="26">
        <v>24</v>
      </c>
      <c r="B53" s="27" t="s">
        <v>403</v>
      </c>
      <c r="C53" s="9" t="s">
        <v>356</v>
      </c>
      <c r="D53" s="9">
        <v>12</v>
      </c>
      <c r="E53" s="9">
        <v>1</v>
      </c>
      <c r="F53" s="9">
        <v>144</v>
      </c>
      <c r="G53" s="28">
        <v>10.05</v>
      </c>
      <c r="H53" s="12">
        <f t="shared" si="2"/>
        <v>1447.2</v>
      </c>
    </row>
    <row r="54" spans="1:8" ht="12.75">
      <c r="A54" s="26">
        <v>25</v>
      </c>
      <c r="B54" s="16" t="s">
        <v>404</v>
      </c>
      <c r="C54" s="9" t="s">
        <v>356</v>
      </c>
      <c r="D54" s="9">
        <v>4</v>
      </c>
      <c r="E54" s="9">
        <v>60</v>
      </c>
      <c r="F54" s="9">
        <v>0.8</v>
      </c>
      <c r="G54" s="28">
        <v>31.29</v>
      </c>
      <c r="H54" s="12">
        <f t="shared" si="2"/>
        <v>25.032</v>
      </c>
    </row>
    <row r="55" spans="1:8" ht="12.75">
      <c r="A55" s="26">
        <v>26</v>
      </c>
      <c r="B55" s="16" t="s">
        <v>405</v>
      </c>
      <c r="C55" s="9" t="s">
        <v>356</v>
      </c>
      <c r="D55" s="9">
        <v>4</v>
      </c>
      <c r="E55" s="9">
        <v>61</v>
      </c>
      <c r="F55" s="9">
        <v>0.8</v>
      </c>
      <c r="G55" s="28">
        <v>51.38</v>
      </c>
      <c r="H55" s="12">
        <f t="shared" si="2"/>
        <v>41.104000000000006</v>
      </c>
    </row>
    <row r="56" spans="1:8" ht="12.75">
      <c r="A56" s="30" t="s">
        <v>406</v>
      </c>
      <c r="B56" s="31"/>
      <c r="C56" s="31"/>
      <c r="D56" s="31"/>
      <c r="E56" s="31"/>
      <c r="F56" s="31"/>
      <c r="G56" s="31"/>
      <c r="H56" s="32">
        <f>SUM(H30:H55)</f>
        <v>30196.375999999997</v>
      </c>
    </row>
    <row r="57" spans="1:8" ht="12.75">
      <c r="A57" s="30" t="s">
        <v>407</v>
      </c>
      <c r="B57" s="31"/>
      <c r="C57" s="31"/>
      <c r="D57" s="31"/>
      <c r="E57" s="31"/>
      <c r="F57" s="31"/>
      <c r="G57" s="31"/>
      <c r="H57" s="32">
        <f>H56/12</f>
        <v>2516.3646666666664</v>
      </c>
    </row>
    <row r="58" ht="43.5" customHeight="1"/>
    <row r="59" spans="1:13" ht="42.75" customHeight="1">
      <c r="A59" s="6" t="s">
        <v>348</v>
      </c>
      <c r="B59" s="6" t="s">
        <v>408</v>
      </c>
      <c r="C59" s="6" t="s">
        <v>350</v>
      </c>
      <c r="D59" s="6" t="s">
        <v>377</v>
      </c>
      <c r="E59" s="6" t="s">
        <v>409</v>
      </c>
      <c r="F59" s="6" t="s">
        <v>352</v>
      </c>
      <c r="G59" s="6" t="s">
        <v>353</v>
      </c>
      <c r="H59" s="6" t="s">
        <v>354</v>
      </c>
      <c r="I59" s="45"/>
      <c r="J59" s="35"/>
      <c r="K59" s="35"/>
      <c r="L59" s="35"/>
      <c r="M59" s="35"/>
    </row>
    <row r="60" spans="1:13" ht="12.75">
      <c r="A60" s="9">
        <v>1</v>
      </c>
      <c r="B60" s="16" t="s">
        <v>410</v>
      </c>
      <c r="C60" s="9" t="s">
        <v>356</v>
      </c>
      <c r="D60" s="9">
        <v>1</v>
      </c>
      <c r="E60" s="9">
        <v>12</v>
      </c>
      <c r="F60" s="9">
        <v>1</v>
      </c>
      <c r="G60" s="28">
        <v>367.23</v>
      </c>
      <c r="H60" s="12">
        <f aca="true" t="shared" si="3" ref="H60:H65">G60*F60</f>
        <v>367.23</v>
      </c>
      <c r="I60" s="52"/>
      <c r="J60" s="38"/>
      <c r="K60" s="38"/>
      <c r="L60" s="38"/>
      <c r="M60" s="47"/>
    </row>
    <row r="61" spans="1:13" ht="12.75">
      <c r="A61" s="9">
        <v>2</v>
      </c>
      <c r="B61" s="10" t="s">
        <v>411</v>
      </c>
      <c r="C61" s="9" t="s">
        <v>356</v>
      </c>
      <c r="D61" s="9">
        <v>1</v>
      </c>
      <c r="E61" s="9">
        <v>12</v>
      </c>
      <c r="F61" s="9">
        <v>1</v>
      </c>
      <c r="G61" s="28">
        <v>263.85</v>
      </c>
      <c r="H61" s="12">
        <f t="shared" si="3"/>
        <v>263.85</v>
      </c>
      <c r="I61" s="52"/>
      <c r="J61" s="38"/>
      <c r="K61" s="38"/>
      <c r="L61" s="38"/>
      <c r="M61" s="47"/>
    </row>
    <row r="62" spans="1:13" ht="12.75">
      <c r="A62" s="9">
        <v>3</v>
      </c>
      <c r="B62" s="16" t="s">
        <v>412</v>
      </c>
      <c r="C62" s="9" t="s">
        <v>356</v>
      </c>
      <c r="D62" s="9">
        <v>2</v>
      </c>
      <c r="E62" s="9">
        <v>12</v>
      </c>
      <c r="F62" s="9">
        <v>2</v>
      </c>
      <c r="G62" s="28">
        <v>747.24</v>
      </c>
      <c r="H62" s="12">
        <f t="shared" si="3"/>
        <v>1494.48</v>
      </c>
      <c r="I62" s="52"/>
      <c r="J62" s="38"/>
      <c r="K62" s="38"/>
      <c r="L62" s="38"/>
      <c r="M62" s="47"/>
    </row>
    <row r="63" spans="1:13" ht="38.25">
      <c r="A63" s="26">
        <v>4</v>
      </c>
      <c r="B63" s="27" t="s">
        <v>413</v>
      </c>
      <c r="C63" s="9" t="s">
        <v>356</v>
      </c>
      <c r="D63" s="9">
        <v>3</v>
      </c>
      <c r="E63" s="9">
        <v>60</v>
      </c>
      <c r="F63" s="9">
        <v>0.6</v>
      </c>
      <c r="G63" s="33">
        <v>356.05</v>
      </c>
      <c r="H63" s="12">
        <f t="shared" si="3"/>
        <v>213.63</v>
      </c>
      <c r="I63" s="52"/>
      <c r="J63" s="38"/>
      <c r="K63" s="38"/>
      <c r="L63" s="38"/>
      <c r="M63" s="47"/>
    </row>
    <row r="64" spans="1:13" ht="63.75">
      <c r="A64" s="9">
        <v>5</v>
      </c>
      <c r="B64" s="16" t="s">
        <v>414</v>
      </c>
      <c r="C64" s="16" t="s">
        <v>356</v>
      </c>
      <c r="D64" s="9">
        <v>1</v>
      </c>
      <c r="E64" s="9">
        <v>60</v>
      </c>
      <c r="F64" s="9">
        <v>0.2</v>
      </c>
      <c r="G64" s="33">
        <v>934.45</v>
      </c>
      <c r="H64" s="12">
        <f t="shared" si="3"/>
        <v>186.89000000000001</v>
      </c>
      <c r="I64" s="52"/>
      <c r="J64" s="38"/>
      <c r="K64" s="38"/>
      <c r="L64" s="38"/>
      <c r="M64" s="47"/>
    </row>
    <row r="65" spans="1:8" ht="51">
      <c r="A65" s="9">
        <v>6</v>
      </c>
      <c r="B65" s="16" t="s">
        <v>415</v>
      </c>
      <c r="C65" s="16" t="s">
        <v>356</v>
      </c>
      <c r="D65" s="9">
        <v>2</v>
      </c>
      <c r="E65" s="9">
        <v>60</v>
      </c>
      <c r="F65" s="53">
        <v>0.4</v>
      </c>
      <c r="G65" s="33">
        <v>1431.86</v>
      </c>
      <c r="H65" s="12">
        <f t="shared" si="3"/>
        <v>572.744</v>
      </c>
    </row>
    <row r="66" spans="1:8" ht="12.75">
      <c r="A66" s="54" t="s">
        <v>416</v>
      </c>
      <c r="B66" s="55"/>
      <c r="C66" s="55"/>
      <c r="D66" s="55"/>
      <c r="E66" s="55"/>
      <c r="F66" s="55"/>
      <c r="G66" s="55"/>
      <c r="H66" s="56">
        <f>SUM(H60:H65)</f>
        <v>3098.824</v>
      </c>
    </row>
    <row r="67" spans="1:8" ht="12.75">
      <c r="A67" s="54" t="s">
        <v>417</v>
      </c>
      <c r="B67" s="55"/>
      <c r="C67" s="55"/>
      <c r="D67" s="55"/>
      <c r="E67" s="55"/>
      <c r="F67" s="55"/>
      <c r="G67" s="55"/>
      <c r="H67" s="56">
        <f>H66/12</f>
        <v>258.23533333333336</v>
      </c>
    </row>
    <row r="68" spans="1:8" ht="31.5" customHeight="1">
      <c r="A68" s="57"/>
      <c r="B68" s="58"/>
      <c r="C68" s="58"/>
      <c r="D68" s="58"/>
      <c r="E68" s="58"/>
      <c r="F68" s="58"/>
      <c r="G68" s="59"/>
      <c r="H68" s="59"/>
    </row>
    <row r="69" spans="1:11" ht="38.25">
      <c r="A69" s="6" t="s">
        <v>348</v>
      </c>
      <c r="B69" s="6" t="s">
        <v>418</v>
      </c>
      <c r="C69" s="6" t="s">
        <v>350</v>
      </c>
      <c r="D69" s="6" t="s">
        <v>352</v>
      </c>
      <c r="E69" s="6" t="s">
        <v>353</v>
      </c>
      <c r="F69" s="6" t="s">
        <v>419</v>
      </c>
      <c r="G69" s="8"/>
      <c r="H69" s="8"/>
      <c r="I69" s="103"/>
      <c r="J69" s="35"/>
      <c r="K69" s="35"/>
    </row>
    <row r="70" spans="1:11" ht="12.75">
      <c r="A70" s="9">
        <v>1</v>
      </c>
      <c r="B70" s="10" t="s">
        <v>420</v>
      </c>
      <c r="C70" s="9" t="s">
        <v>356</v>
      </c>
      <c r="D70" s="26">
        <v>1</v>
      </c>
      <c r="E70" s="60">
        <v>14.45</v>
      </c>
      <c r="F70" s="60">
        <f>E70*D70</f>
        <v>14.45</v>
      </c>
      <c r="G70" s="24"/>
      <c r="H70" s="13"/>
      <c r="I70" s="104"/>
      <c r="J70" s="104"/>
      <c r="K70" s="38"/>
    </row>
    <row r="71" spans="1:11" ht="12.75">
      <c r="A71" s="9">
        <v>2</v>
      </c>
      <c r="B71" s="16" t="s">
        <v>421</v>
      </c>
      <c r="C71" s="9" t="s">
        <v>356</v>
      </c>
      <c r="D71" s="9">
        <v>1</v>
      </c>
      <c r="E71" s="60">
        <v>75.83</v>
      </c>
      <c r="F71" s="60">
        <f aca="true" t="shared" si="4" ref="F71:F83">E71*D71</f>
        <v>75.83</v>
      </c>
      <c r="G71" s="24"/>
      <c r="H71" s="13"/>
      <c r="I71" s="104"/>
      <c r="J71" s="104"/>
      <c r="K71" s="38"/>
    </row>
    <row r="72" spans="1:11" ht="12.75">
      <c r="A72" s="9">
        <v>3</v>
      </c>
      <c r="B72" s="16" t="s">
        <v>422</v>
      </c>
      <c r="C72" s="9" t="s">
        <v>423</v>
      </c>
      <c r="D72" s="9">
        <v>1</v>
      </c>
      <c r="E72" s="60">
        <v>43.48</v>
      </c>
      <c r="F72" s="60">
        <f t="shared" si="4"/>
        <v>43.48</v>
      </c>
      <c r="G72" s="24"/>
      <c r="H72" s="13"/>
      <c r="I72" s="104"/>
      <c r="J72" s="104"/>
      <c r="K72" s="38"/>
    </row>
    <row r="73" spans="1:11" ht="25.5">
      <c r="A73" s="9">
        <v>4</v>
      </c>
      <c r="B73" s="16" t="s">
        <v>424</v>
      </c>
      <c r="C73" s="9" t="s">
        <v>423</v>
      </c>
      <c r="D73" s="9">
        <v>2</v>
      </c>
      <c r="E73" s="60">
        <v>63.62</v>
      </c>
      <c r="F73" s="60">
        <f t="shared" si="4"/>
        <v>127.24</v>
      </c>
      <c r="G73" s="24"/>
      <c r="H73" s="13"/>
      <c r="I73" s="104"/>
      <c r="J73" s="104"/>
      <c r="K73" s="38"/>
    </row>
    <row r="74" spans="1:11" ht="12.75">
      <c r="A74" s="9">
        <v>5</v>
      </c>
      <c r="B74" s="16" t="s">
        <v>425</v>
      </c>
      <c r="C74" s="9" t="s">
        <v>356</v>
      </c>
      <c r="D74" s="9">
        <v>1</v>
      </c>
      <c r="E74" s="60">
        <v>25.94</v>
      </c>
      <c r="F74" s="60">
        <f t="shared" si="4"/>
        <v>25.94</v>
      </c>
      <c r="G74" s="24"/>
      <c r="H74" s="13"/>
      <c r="I74" s="104"/>
      <c r="J74" s="104"/>
      <c r="K74" s="38"/>
    </row>
    <row r="75" spans="1:11" ht="12.75">
      <c r="A75" s="9">
        <v>6</v>
      </c>
      <c r="B75" s="16" t="s">
        <v>426</v>
      </c>
      <c r="C75" s="9" t="s">
        <v>356</v>
      </c>
      <c r="D75" s="9">
        <v>2</v>
      </c>
      <c r="E75" s="60">
        <v>40.63</v>
      </c>
      <c r="F75" s="60">
        <f t="shared" si="4"/>
        <v>81.26</v>
      </c>
      <c r="G75" s="24"/>
      <c r="H75" s="13"/>
      <c r="I75" s="104"/>
      <c r="J75" s="104"/>
      <c r="K75" s="38"/>
    </row>
    <row r="76" spans="1:11" ht="12.75">
      <c r="A76" s="9">
        <v>7</v>
      </c>
      <c r="B76" s="16" t="s">
        <v>427</v>
      </c>
      <c r="C76" s="9" t="s">
        <v>428</v>
      </c>
      <c r="D76" s="9">
        <v>2</v>
      </c>
      <c r="E76" s="60">
        <v>129.69</v>
      </c>
      <c r="F76" s="60">
        <f t="shared" si="4"/>
        <v>259.38</v>
      </c>
      <c r="G76" s="24"/>
      <c r="H76" s="13"/>
      <c r="I76" s="52"/>
      <c r="J76" s="38"/>
      <c r="K76" s="105"/>
    </row>
    <row r="77" spans="1:11" ht="12.75">
      <c r="A77" s="9">
        <v>8</v>
      </c>
      <c r="B77" s="16" t="s">
        <v>429</v>
      </c>
      <c r="C77" s="9" t="s">
        <v>356</v>
      </c>
      <c r="D77" s="9">
        <v>1</v>
      </c>
      <c r="E77" s="60">
        <v>116.51</v>
      </c>
      <c r="F77" s="60">
        <f t="shared" si="4"/>
        <v>116.51</v>
      </c>
      <c r="G77" s="24"/>
      <c r="H77" s="13"/>
      <c r="I77" s="52"/>
      <c r="J77" s="38"/>
      <c r="K77" s="105"/>
    </row>
    <row r="78" spans="1:11" ht="38.25">
      <c r="A78" s="9">
        <v>9</v>
      </c>
      <c r="B78" s="10" t="s">
        <v>430</v>
      </c>
      <c r="C78" s="9" t="s">
        <v>423</v>
      </c>
      <c r="D78" s="9">
        <v>24</v>
      </c>
      <c r="E78" s="60">
        <v>19.53</v>
      </c>
      <c r="F78" s="60">
        <f t="shared" si="4"/>
        <v>468.72</v>
      </c>
      <c r="G78" s="24"/>
      <c r="H78" s="13"/>
      <c r="I78" s="52"/>
      <c r="J78" s="38"/>
      <c r="K78" s="105"/>
    </row>
    <row r="79" spans="1:11" ht="12.75">
      <c r="A79" s="9">
        <v>10</v>
      </c>
      <c r="B79" s="10" t="s">
        <v>431</v>
      </c>
      <c r="C79" s="9" t="s">
        <v>356</v>
      </c>
      <c r="D79" s="9">
        <v>3</v>
      </c>
      <c r="E79" s="60">
        <v>11.23</v>
      </c>
      <c r="F79" s="60">
        <f t="shared" si="4"/>
        <v>33.69</v>
      </c>
      <c r="G79" s="24"/>
      <c r="H79" s="13"/>
      <c r="I79" s="52"/>
      <c r="J79" s="38"/>
      <c r="K79" s="105"/>
    </row>
    <row r="80" spans="1:11" ht="25.5">
      <c r="A80" s="9">
        <v>11</v>
      </c>
      <c r="B80" s="10" t="s">
        <v>432</v>
      </c>
      <c r="C80" s="9" t="s">
        <v>356</v>
      </c>
      <c r="D80" s="9">
        <v>1</v>
      </c>
      <c r="E80" s="60">
        <v>31.62</v>
      </c>
      <c r="F80" s="60">
        <f t="shared" si="4"/>
        <v>31.62</v>
      </c>
      <c r="G80" s="24"/>
      <c r="H80" s="13"/>
      <c r="I80" s="52"/>
      <c r="J80" s="38"/>
      <c r="K80" s="105"/>
    </row>
    <row r="81" spans="1:11" ht="12.75">
      <c r="A81" s="9">
        <v>12</v>
      </c>
      <c r="B81" s="16" t="s">
        <v>433</v>
      </c>
      <c r="C81" s="9" t="s">
        <v>391</v>
      </c>
      <c r="D81" s="9">
        <v>3</v>
      </c>
      <c r="E81" s="60">
        <v>29.1</v>
      </c>
      <c r="F81" s="60">
        <f t="shared" si="4"/>
        <v>87.30000000000001</v>
      </c>
      <c r="G81" s="24"/>
      <c r="H81" s="13"/>
      <c r="I81" s="52"/>
      <c r="J81" s="38"/>
      <c r="K81" s="105"/>
    </row>
    <row r="82" spans="1:11" ht="12.75">
      <c r="A82" s="9">
        <v>13</v>
      </c>
      <c r="B82" s="10" t="s">
        <v>434</v>
      </c>
      <c r="C82" s="9" t="s">
        <v>356</v>
      </c>
      <c r="D82" s="9">
        <v>1</v>
      </c>
      <c r="E82" s="60">
        <v>13.82</v>
      </c>
      <c r="F82" s="60">
        <f t="shared" si="4"/>
        <v>13.82</v>
      </c>
      <c r="G82" s="24"/>
      <c r="H82" s="13"/>
      <c r="I82" s="46"/>
      <c r="J82" s="37"/>
      <c r="K82" s="106"/>
    </row>
    <row r="83" spans="1:11" ht="25.5">
      <c r="A83" s="9">
        <v>14</v>
      </c>
      <c r="B83" s="10" t="s">
        <v>435</v>
      </c>
      <c r="C83" s="9" t="s">
        <v>356</v>
      </c>
      <c r="D83" s="9">
        <v>1</v>
      </c>
      <c r="E83" s="60">
        <v>27.26</v>
      </c>
      <c r="F83" s="60">
        <f t="shared" si="4"/>
        <v>27.26</v>
      </c>
      <c r="G83" s="24"/>
      <c r="H83" s="13"/>
      <c r="I83" s="50"/>
      <c r="J83" s="39"/>
      <c r="K83" s="107"/>
    </row>
    <row r="84" spans="1:11" ht="12.75">
      <c r="A84" s="61" t="s">
        <v>436</v>
      </c>
      <c r="B84" s="62"/>
      <c r="C84" s="62"/>
      <c r="D84" s="62"/>
      <c r="E84" s="63"/>
      <c r="F84" s="64">
        <f>SUM(F70:F83)</f>
        <v>1406.4999999999998</v>
      </c>
      <c r="G84" s="24"/>
      <c r="H84" s="65"/>
      <c r="I84" s="50"/>
      <c r="J84" s="38"/>
      <c r="K84" s="105"/>
    </row>
    <row r="85" spans="1:8" ht="12.75">
      <c r="A85" s="66" t="s">
        <v>437</v>
      </c>
      <c r="B85" s="67"/>
      <c r="C85" s="67"/>
      <c r="D85" s="67"/>
      <c r="E85" s="67"/>
      <c r="F85" s="64">
        <f>F84/12</f>
        <v>117.20833333333331</v>
      </c>
      <c r="G85" s="68"/>
      <c r="H85" s="68"/>
    </row>
    <row r="86" spans="1:8" ht="12.75">
      <c r="A86" s="69"/>
      <c r="B86" s="68"/>
      <c r="C86" s="68"/>
      <c r="D86" s="68"/>
      <c r="E86" s="68"/>
      <c r="F86" s="68"/>
      <c r="G86" s="68"/>
      <c r="H86" s="68"/>
    </row>
    <row r="88" spans="2:9" ht="39" customHeight="1">
      <c r="B88" s="70" t="s">
        <v>438</v>
      </c>
      <c r="C88" s="70" t="s">
        <v>439</v>
      </c>
      <c r="D88" s="70"/>
      <c r="E88" s="70" t="s">
        <v>440</v>
      </c>
      <c r="F88" s="70"/>
      <c r="G88" s="71" t="s">
        <v>441</v>
      </c>
      <c r="H88" s="71"/>
      <c r="I88" s="71"/>
    </row>
    <row r="89" spans="2:9" ht="12.75">
      <c r="B89" s="72" t="s">
        <v>442</v>
      </c>
      <c r="C89" s="73">
        <f>G26</f>
        <v>112859.04000000001</v>
      </c>
      <c r="D89" s="73"/>
      <c r="E89" s="73">
        <f>C89/12</f>
        <v>9404.92</v>
      </c>
      <c r="F89" s="73"/>
      <c r="G89" s="74">
        <f>E89/'CÁLCULO DO Nº DE SERVENTES'!L23</f>
        <v>723.4553846153847</v>
      </c>
      <c r="H89" s="74"/>
      <c r="I89" s="74"/>
    </row>
    <row r="90" spans="2:9" ht="12.75">
      <c r="B90" s="72" t="s">
        <v>443</v>
      </c>
      <c r="C90" s="73">
        <f>H56</f>
        <v>30196.375999999997</v>
      </c>
      <c r="D90" s="73"/>
      <c r="E90" s="73">
        <f>C90/12</f>
        <v>2516.3646666666664</v>
      </c>
      <c r="F90" s="73"/>
      <c r="G90" s="74">
        <f>E90/'CÁLCULO DO Nº DE SERVENTES'!L23</f>
        <v>193.5665128205128</v>
      </c>
      <c r="H90" s="74"/>
      <c r="I90" s="74"/>
    </row>
    <row r="91" spans="2:9" ht="12.75">
      <c r="B91" s="75" t="s">
        <v>444</v>
      </c>
      <c r="C91" s="76">
        <f>SUM(C89:C90)</f>
        <v>143055.416</v>
      </c>
      <c r="D91" s="76"/>
      <c r="E91" s="76">
        <f>C91/12</f>
        <v>11921.284666666666</v>
      </c>
      <c r="F91" s="76"/>
      <c r="G91" s="77">
        <f>G89+G90</f>
        <v>917.0218974358975</v>
      </c>
      <c r="H91" s="77"/>
      <c r="I91" s="77"/>
    </row>
    <row r="92" spans="2:9" ht="12.75">
      <c r="B92" s="78"/>
      <c r="C92" s="78"/>
      <c r="D92" s="78"/>
      <c r="E92" s="78"/>
      <c r="F92" s="78"/>
      <c r="G92" s="74"/>
      <c r="H92" s="74"/>
      <c r="I92" s="74"/>
    </row>
    <row r="93" spans="2:9" ht="12.75">
      <c r="B93" s="75" t="s">
        <v>408</v>
      </c>
      <c r="C93" s="76">
        <f>H66</f>
        <v>3098.824</v>
      </c>
      <c r="D93" s="76"/>
      <c r="E93" s="76">
        <f>ROUND(C93/12,2)</f>
        <v>258.24</v>
      </c>
      <c r="F93" s="76"/>
      <c r="G93" s="77">
        <f>E93/'CÁLCULO DO Nº DE SERVENTES'!L23</f>
        <v>19.864615384615384</v>
      </c>
      <c r="H93" s="77"/>
      <c r="I93" s="77"/>
    </row>
    <row r="94" spans="2:9" ht="12.75">
      <c r="B94" s="79"/>
      <c r="C94" s="79"/>
      <c r="D94" s="79"/>
      <c r="E94" s="79"/>
      <c r="F94" s="79"/>
      <c r="G94" s="74"/>
      <c r="H94" s="74"/>
      <c r="I94" s="74"/>
    </row>
    <row r="95" spans="2:9" ht="12.75">
      <c r="B95" s="75" t="s">
        <v>445</v>
      </c>
      <c r="C95" s="76">
        <f>F84</f>
        <v>1406.4999999999998</v>
      </c>
      <c r="D95" s="76"/>
      <c r="E95" s="76">
        <f>C95/12</f>
        <v>117.20833333333331</v>
      </c>
      <c r="F95" s="76"/>
      <c r="G95" s="77">
        <f>E95</f>
        <v>117.20833333333331</v>
      </c>
      <c r="H95" s="77"/>
      <c r="I95" s="77"/>
    </row>
    <row r="96" spans="2:9" ht="12.75">
      <c r="B96" s="79"/>
      <c r="C96" s="79"/>
      <c r="D96" s="79"/>
      <c r="E96" s="79"/>
      <c r="F96" s="79"/>
      <c r="G96" s="74"/>
      <c r="H96" s="74"/>
      <c r="I96" s="74"/>
    </row>
    <row r="97" spans="2:9" ht="12.75">
      <c r="B97" s="75" t="s">
        <v>446</v>
      </c>
      <c r="C97" s="80">
        <f>C91+C93+C95</f>
        <v>147560.74</v>
      </c>
      <c r="D97" s="80"/>
      <c r="E97" s="80">
        <f>E91+E93+E95</f>
        <v>12296.733</v>
      </c>
      <c r="F97" s="80"/>
      <c r="G97" s="81">
        <f>G91+G93+G95</f>
        <v>1054.0948461538462</v>
      </c>
      <c r="H97" s="81"/>
      <c r="I97" s="81"/>
    </row>
    <row r="98" spans="2:9" ht="12.75">
      <c r="B98" s="82"/>
      <c r="C98" s="83"/>
      <c r="D98" s="83"/>
      <c r="E98" s="83"/>
      <c r="F98" s="83"/>
      <c r="G98" s="84"/>
      <c r="H98" s="85"/>
      <c r="I98" s="85"/>
    </row>
    <row r="99" spans="2:9" ht="33" customHeight="1">
      <c r="B99" s="86" t="s">
        <v>447</v>
      </c>
      <c r="C99" s="86"/>
      <c r="D99" s="86"/>
      <c r="E99" s="86"/>
      <c r="F99" s="86"/>
      <c r="G99" s="86"/>
      <c r="H99" s="86"/>
      <c r="I99" s="108">
        <v>13</v>
      </c>
    </row>
    <row r="104" spans="1:6" ht="38.25">
      <c r="A104" s="6" t="s">
        <v>348</v>
      </c>
      <c r="B104" s="87" t="s">
        <v>448</v>
      </c>
      <c r="C104" s="6" t="s">
        <v>350</v>
      </c>
      <c r="D104" s="6" t="s">
        <v>352</v>
      </c>
      <c r="E104" s="6" t="s">
        <v>353</v>
      </c>
      <c r="F104" s="6" t="s">
        <v>419</v>
      </c>
    </row>
    <row r="105" spans="1:6" ht="12.75">
      <c r="A105" s="9">
        <v>1</v>
      </c>
      <c r="B105" s="16" t="s">
        <v>421</v>
      </c>
      <c r="C105" s="9" t="s">
        <v>356</v>
      </c>
      <c r="D105" s="9">
        <v>1</v>
      </c>
      <c r="E105" s="60">
        <v>75.83</v>
      </c>
      <c r="F105" s="60">
        <f>E105*D105</f>
        <v>75.83</v>
      </c>
    </row>
    <row r="106" spans="1:6" ht="25.5">
      <c r="A106" s="9">
        <v>2</v>
      </c>
      <c r="B106" s="16" t="s">
        <v>424</v>
      </c>
      <c r="C106" s="9" t="s">
        <v>423</v>
      </c>
      <c r="D106" s="9">
        <v>2</v>
      </c>
      <c r="E106" s="60">
        <v>63.62</v>
      </c>
      <c r="F106" s="60">
        <f aca="true" t="shared" si="5" ref="F106:F112">E106*D106</f>
        <v>127.24</v>
      </c>
    </row>
    <row r="107" spans="1:6" ht="12.75">
      <c r="A107" s="9">
        <v>3</v>
      </c>
      <c r="B107" s="16" t="s">
        <v>425</v>
      </c>
      <c r="C107" s="9" t="s">
        <v>356</v>
      </c>
      <c r="D107" s="9">
        <v>1</v>
      </c>
      <c r="E107" s="60">
        <v>25.94</v>
      </c>
      <c r="F107" s="60">
        <f t="shared" si="5"/>
        <v>25.94</v>
      </c>
    </row>
    <row r="108" spans="1:6" ht="12.75">
      <c r="A108" s="9">
        <v>4</v>
      </c>
      <c r="B108" s="16" t="s">
        <v>426</v>
      </c>
      <c r="C108" s="9" t="s">
        <v>356</v>
      </c>
      <c r="D108" s="9">
        <v>2</v>
      </c>
      <c r="E108" s="60">
        <v>40.63</v>
      </c>
      <c r="F108" s="60">
        <f t="shared" si="5"/>
        <v>81.26</v>
      </c>
    </row>
    <row r="109" spans="1:6" ht="12.75">
      <c r="A109" s="9">
        <v>5</v>
      </c>
      <c r="B109" s="16" t="s">
        <v>427</v>
      </c>
      <c r="C109" s="9" t="s">
        <v>428</v>
      </c>
      <c r="D109" s="9">
        <v>2</v>
      </c>
      <c r="E109" s="60">
        <v>129.69</v>
      </c>
      <c r="F109" s="60">
        <f t="shared" si="5"/>
        <v>259.38</v>
      </c>
    </row>
    <row r="110" spans="1:6" ht="12.75">
      <c r="A110" s="9">
        <v>6</v>
      </c>
      <c r="B110" s="16" t="s">
        <v>429</v>
      </c>
      <c r="C110" s="9" t="s">
        <v>356</v>
      </c>
      <c r="D110" s="9">
        <v>1</v>
      </c>
      <c r="E110" s="60">
        <v>116.51</v>
      </c>
      <c r="F110" s="60">
        <f t="shared" si="5"/>
        <v>116.51</v>
      </c>
    </row>
    <row r="111" spans="1:6" ht="38.25">
      <c r="A111" s="9">
        <v>7</v>
      </c>
      <c r="B111" s="10" t="s">
        <v>430</v>
      </c>
      <c r="C111" s="9" t="s">
        <v>423</v>
      </c>
      <c r="D111" s="9">
        <v>4</v>
      </c>
      <c r="E111" s="60">
        <v>19.53</v>
      </c>
      <c r="F111" s="60">
        <f t="shared" si="5"/>
        <v>78.12</v>
      </c>
    </row>
    <row r="112" spans="1:6" ht="12.75">
      <c r="A112" s="9">
        <v>8</v>
      </c>
      <c r="B112" s="16" t="s">
        <v>433</v>
      </c>
      <c r="C112" s="9" t="s">
        <v>391</v>
      </c>
      <c r="D112" s="9">
        <v>3</v>
      </c>
      <c r="E112" s="60">
        <v>29.1</v>
      </c>
      <c r="F112" s="60">
        <f t="shared" si="5"/>
        <v>87.30000000000001</v>
      </c>
    </row>
    <row r="113" spans="1:6" ht="12.75">
      <c r="A113" s="61" t="s">
        <v>449</v>
      </c>
      <c r="B113" s="62"/>
      <c r="C113" s="62"/>
      <c r="D113" s="62"/>
      <c r="E113" s="63"/>
      <c r="F113" s="64">
        <f>SUM(F105:F112)</f>
        <v>851.5799999999999</v>
      </c>
    </row>
    <row r="114" spans="1:6" ht="12.75">
      <c r="A114" s="66" t="s">
        <v>450</v>
      </c>
      <c r="B114" s="67"/>
      <c r="C114" s="67"/>
      <c r="D114" s="67"/>
      <c r="E114" s="67"/>
      <c r="F114" s="64">
        <f>F113/12</f>
        <v>70.96499999999999</v>
      </c>
    </row>
    <row r="118" ht="13.5"/>
    <row r="119" spans="1:10" ht="38.25">
      <c r="A119" s="88" t="s">
        <v>451</v>
      </c>
      <c r="B119" s="89" t="s">
        <v>452</v>
      </c>
      <c r="C119" s="90" t="s">
        <v>453</v>
      </c>
      <c r="D119" s="90" t="s">
        <v>454</v>
      </c>
      <c r="E119" s="90" t="s">
        <v>455</v>
      </c>
      <c r="F119" s="90" t="s">
        <v>456</v>
      </c>
      <c r="G119" s="91" t="s">
        <v>457</v>
      </c>
      <c r="H119" s="91" t="s">
        <v>458</v>
      </c>
      <c r="I119" s="109" t="s">
        <v>459</v>
      </c>
      <c r="J119"/>
    </row>
    <row r="120" spans="1:10" ht="13.5">
      <c r="A120" s="92"/>
      <c r="B120" s="93"/>
      <c r="C120" s="94"/>
      <c r="D120" s="94"/>
      <c r="E120" s="94"/>
      <c r="F120" s="94"/>
      <c r="G120" s="95" t="s">
        <v>460</v>
      </c>
      <c r="H120" s="95" t="s">
        <v>461</v>
      </c>
      <c r="I120" s="110" t="s">
        <v>462</v>
      </c>
      <c r="J120"/>
    </row>
    <row r="121" spans="1:10" ht="42" customHeight="1">
      <c r="A121" s="96">
        <v>1</v>
      </c>
      <c r="B121" s="97" t="s">
        <v>463</v>
      </c>
      <c r="C121" s="98" t="s">
        <v>464</v>
      </c>
      <c r="D121" s="99">
        <v>2</v>
      </c>
      <c r="E121" s="100">
        <v>128.67</v>
      </c>
      <c r="F121" s="101">
        <v>5</v>
      </c>
      <c r="G121" s="102">
        <f>E121*(90)%</f>
        <v>115.803</v>
      </c>
      <c r="H121" s="102">
        <f>G121/F121</f>
        <v>23.1606</v>
      </c>
      <c r="I121" s="100">
        <f>H121/12*D121</f>
        <v>3.8600999999999996</v>
      </c>
      <c r="J121"/>
    </row>
    <row r="122" spans="1:10" ht="12.75">
      <c r="A122" s="4"/>
      <c r="B122" s="4"/>
      <c r="C122" s="4"/>
      <c r="D122" s="4"/>
      <c r="E122" s="4"/>
      <c r="F122" s="4"/>
      <c r="G122" s="4"/>
      <c r="H122" s="4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</sheetData>
  <sheetProtection/>
  <mergeCells count="53">
    <mergeCell ref="D1:E1"/>
    <mergeCell ref="A2:H2"/>
    <mergeCell ref="A3:H3"/>
    <mergeCell ref="A4:H4"/>
    <mergeCell ref="A5:H5"/>
    <mergeCell ref="A6:H6"/>
    <mergeCell ref="A7:H7"/>
    <mergeCell ref="A8:H8"/>
    <mergeCell ref="A26:F26"/>
    <mergeCell ref="A27:F27"/>
    <mergeCell ref="A56:G56"/>
    <mergeCell ref="A57:G57"/>
    <mergeCell ref="A66:G66"/>
    <mergeCell ref="A67:G67"/>
    <mergeCell ref="A68:H68"/>
    <mergeCell ref="A84:E84"/>
    <mergeCell ref="A85:E85"/>
    <mergeCell ref="C88:D88"/>
    <mergeCell ref="E88:F88"/>
    <mergeCell ref="G88:I88"/>
    <mergeCell ref="C89:D89"/>
    <mergeCell ref="E89:F89"/>
    <mergeCell ref="G89:I89"/>
    <mergeCell ref="C90:D90"/>
    <mergeCell ref="E90:F90"/>
    <mergeCell ref="G90:I90"/>
    <mergeCell ref="C91:D91"/>
    <mergeCell ref="E91:F91"/>
    <mergeCell ref="G91:I91"/>
    <mergeCell ref="B92:F92"/>
    <mergeCell ref="G92:I92"/>
    <mergeCell ref="C93:D93"/>
    <mergeCell ref="E93:F93"/>
    <mergeCell ref="G93:I93"/>
    <mergeCell ref="B94:F94"/>
    <mergeCell ref="G94:I94"/>
    <mergeCell ref="C95:D95"/>
    <mergeCell ref="E95:F95"/>
    <mergeCell ref="G95:I95"/>
    <mergeCell ref="B96:F96"/>
    <mergeCell ref="G96:I96"/>
    <mergeCell ref="C97:D97"/>
    <mergeCell ref="E97:F97"/>
    <mergeCell ref="G97:I97"/>
    <mergeCell ref="B99:H99"/>
    <mergeCell ref="A113:E113"/>
    <mergeCell ref="A114:E114"/>
    <mergeCell ref="A119:A120"/>
    <mergeCell ref="B119:B120"/>
    <mergeCell ref="C119:C120"/>
    <mergeCell ref="D119:D120"/>
    <mergeCell ref="E119:E120"/>
    <mergeCell ref="F119:F12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2024-04-17T14:53:00Z</cp:lastPrinted>
  <dcterms:created xsi:type="dcterms:W3CDTF">2024-03-21T21:21:12Z</dcterms:created>
  <dcterms:modified xsi:type="dcterms:W3CDTF">2024-04-18T19:19:50Z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1D8B2DC80E244B71BE5E5DF3F9FBF2FF_13</vt:lpwstr>
  </property>
  <property fmtid="{D5CDD505-2E9C-101B-9397-08002B2CF9AE}" pid="4" name="KSOProductBuildV">
    <vt:lpwstr>1046-12.2.0.16731</vt:lpwstr>
  </property>
</Properties>
</file>