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Item 7 Vigilância" sheetId="1" r:id="rId1"/>
    <sheet name="Uniforme_EPIs" sheetId="2" r:id="rId2"/>
    <sheet name="Relógio Ponto" sheetId="3" r:id="rId3"/>
  </sheets>
  <definedNames>
    <definedName name="_xlnm.Print_Area" localSheetId="0">'Item 7 Vigilância'!$A$1:$I$188</definedName>
    <definedName name="Z_39527353_0250_4DC8_8DF6_D0486DA9C43D_.wvu.Rows" localSheetId="0" hidden="1">'Item 7 Vigilância'!$173:$173</definedName>
    <definedName name="Z_4CF892A2_CFBB_40EC_9BB5_81912B51B11A_.wvu.Rows" localSheetId="0" hidden="1">'Item 7 Vigilância'!$173:$173</definedName>
  </definedNames>
  <calcPr fullCalcOnLoad="1"/>
</workbook>
</file>

<file path=xl/sharedStrings.xml><?xml version="1.0" encoding="utf-8"?>
<sst xmlns="http://schemas.openxmlformats.org/spreadsheetml/2006/main" count="350" uniqueCount="244">
  <si>
    <t xml:space="preserve">VIGILÂNCIA 12 x 36 NOTURNA DESARMADA - Lucro Real </t>
  </si>
  <si>
    <t>Nº do processo:</t>
  </si>
  <si>
    <t>23371.000079/2024-31</t>
  </si>
  <si>
    <t>Licitação nº:</t>
  </si>
  <si>
    <t>Pregão IFRS nº 90004/2024</t>
  </si>
  <si>
    <r>
      <t>Dia: XX</t>
    </r>
    <r>
      <rPr>
        <b/>
        <sz val="10"/>
        <color indexed="10"/>
        <rFont val="Arial"/>
        <family val="2"/>
      </rPr>
      <t xml:space="preserve">/XX/2024 às 9H </t>
    </r>
  </si>
  <si>
    <t xml:space="preserve">DISCRIMINAÇÃO DOS SERVIÇOS (DADOS REFERENTES À CONTRATAÇÃO) </t>
  </si>
  <si>
    <t>A</t>
  </si>
  <si>
    <t>Data de apresentação da proposta (dia/mês/ano)</t>
  </si>
  <si>
    <t>XX/XX/202</t>
  </si>
  <si>
    <t>B</t>
  </si>
  <si>
    <t>Município/UF</t>
  </si>
  <si>
    <t>Sertão/RS</t>
  </si>
  <si>
    <t>C</t>
  </si>
  <si>
    <t>Ano do Acordo, Convenção ou Dissídio Coletivo</t>
  </si>
  <si>
    <t>01/02/2024 a 31/01/2025
SINDIVIGILANTES RS
(que engloba Sertão)</t>
  </si>
  <si>
    <t>D</t>
  </si>
  <si>
    <t>Número de meses de execução contratual</t>
  </si>
  <si>
    <t xml:space="preserve">IDENTIFICAÇÃO DO SERVIÇO </t>
  </si>
  <si>
    <t xml:space="preserve">Tipo de serviço:
                  Vigilância e Segurança Armada e Desarmada                                                                                            </t>
  </si>
  <si>
    <t>Unidade
 de 
Medida</t>
  </si>
  <si>
    <t xml:space="preserve">Quantidade total a contratar (Em função da unidade de medida) </t>
  </si>
  <si>
    <t>12 x 36 horas noturnas - de segunda-feira a domingo</t>
  </si>
  <si>
    <t>posto</t>
  </si>
  <si>
    <t>TOTAL DE POSTOS</t>
  </si>
  <si>
    <t>1. MÓDULOS - Mão de obra</t>
  </si>
  <si>
    <t>Dados para composição dos custos referente à mão de obra</t>
  </si>
  <si>
    <t>Tipo de serviço (mesmo serviço com características distintas)</t>
  </si>
  <si>
    <t xml:space="preserve">Vigilância e Segurança Desarmada </t>
  </si>
  <si>
    <t>Classificação Brasileira de Ocupações (CBO)</t>
  </si>
  <si>
    <t>5173-30</t>
  </si>
  <si>
    <t>Salário Normativo da Categoria Profissional</t>
  </si>
  <si>
    <t xml:space="preserve">Categoria Profissional (vinculada à execução contratual) </t>
  </si>
  <si>
    <t>vigilante</t>
  </si>
  <si>
    <t xml:space="preserve">Data-Base da Categoria (dia/mês/ano) </t>
  </si>
  <si>
    <t>1º de fevereiro 2023</t>
  </si>
  <si>
    <r>
      <rPr>
        <b/>
        <sz val="10"/>
        <color indexed="10"/>
        <rFont val="Arial"/>
        <family val="2"/>
      </rPr>
      <t xml:space="preserve">Valor do salárioxhora sem periculosidade
</t>
    </r>
    <r>
      <rPr>
        <b/>
        <sz val="10"/>
        <color indexed="12"/>
        <rFont val="Arial"/>
        <family val="2"/>
      </rPr>
      <t>VSH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do salário normativo / 220 h)</t>
    </r>
  </si>
  <si>
    <r>
      <rPr>
        <b/>
        <sz val="10"/>
        <color indexed="10"/>
        <rFont val="Arial"/>
        <family val="2"/>
      </rPr>
      <t xml:space="preserve">Valor do salárioxhora com periculosidade
</t>
    </r>
    <r>
      <rPr>
        <b/>
        <sz val="10"/>
        <color indexed="12"/>
        <rFont val="Arial"/>
        <family val="2"/>
      </rPr>
      <t>VSH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</t>
    </r>
  </si>
  <si>
    <r>
      <rPr>
        <b/>
        <sz val="10"/>
        <color indexed="10"/>
        <rFont val="Arial"/>
        <family val="2"/>
      </rPr>
      <t xml:space="preserve">Valor da hora extra sem periculosidade com 50% 
</t>
    </r>
    <r>
      <rPr>
        <b/>
        <sz val="10"/>
        <color indexed="12"/>
        <rFont val="Arial"/>
        <family val="2"/>
      </rPr>
      <t>HE (c/peri) = (valor da hora + 50% de peri)</t>
    </r>
  </si>
  <si>
    <r>
      <rPr>
        <b/>
        <sz val="10"/>
        <color indexed="10"/>
        <rFont val="Arial"/>
        <family val="2"/>
      </rPr>
      <t xml:space="preserve">Valor da hora extra com periculosidade com 50% 
</t>
    </r>
    <r>
      <rPr>
        <b/>
        <sz val="10"/>
        <color indexed="12"/>
        <rFont val="Arial"/>
        <family val="2"/>
      </rPr>
      <t>HE (c/peri) = (valor da hora + 30% de peri) + 50%</t>
    </r>
  </si>
  <si>
    <r>
      <rPr>
        <b/>
        <sz val="10"/>
        <color indexed="10"/>
        <rFont val="Arial"/>
        <family val="2"/>
      </rPr>
      <t xml:space="preserve">Valor da hora do adicional noturno com periculosidade
</t>
    </r>
    <r>
      <rPr>
        <b/>
        <sz val="10"/>
        <color indexed="12"/>
        <rFont val="Arial"/>
        <family val="2"/>
      </rPr>
      <t>AN (c/peri)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(valor da hora + 30% de peri) x 20%</t>
    </r>
  </si>
  <si>
    <r>
      <rPr>
        <b/>
        <sz val="10"/>
        <color indexed="10"/>
        <rFont val="Arial"/>
        <family val="2"/>
      </rPr>
      <t xml:space="preserve">Valor da hora de  periculosidade
</t>
    </r>
    <r>
      <rPr>
        <b/>
        <sz val="10"/>
        <color indexed="12"/>
        <rFont val="Arial"/>
        <family val="2"/>
      </rPr>
      <t>VHP =</t>
    </r>
    <r>
      <rPr>
        <b/>
        <sz val="10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valor da hora sem peri)</t>
    </r>
  </si>
  <si>
    <r>
      <rPr>
        <b/>
        <sz val="10"/>
        <color indexed="10"/>
        <rFont val="Arial"/>
        <family val="2"/>
      </rPr>
      <t xml:space="preserve">Valor do adicional de periculosidade              </t>
    </r>
    <r>
      <rPr>
        <b/>
        <sz val="9"/>
        <color indexed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>(30% do salário normativo)</t>
    </r>
  </si>
  <si>
    <t>Adicional de troca de uniforme com periculosidade</t>
  </si>
  <si>
    <t>Quantidade de vigilantes por posto de serviço</t>
  </si>
  <si>
    <r>
      <t xml:space="preserve">Nota 1:  Deverá ser elaborado um quadro para cada tipo de serviço.
</t>
    </r>
    <r>
      <rPr>
        <b/>
        <sz val="11"/>
        <color indexed="10"/>
        <rFont val="Arial"/>
        <family val="2"/>
      </rPr>
      <t>Nota 2: A planilha será calculada considerando os custos mensais do POSTO DE TRABALHO - 12 x 36 H</t>
    </r>
  </si>
  <si>
    <t>Módulo 1 - Composição da Remuneração (por Posto)</t>
  </si>
  <si>
    <t>Composição da Remuneração (por Posto)</t>
  </si>
  <si>
    <t>Percentual (%)</t>
  </si>
  <si>
    <t xml:space="preserve">Valor 
(R$) </t>
  </si>
  <si>
    <r>
      <t xml:space="preserve">Salário-Base </t>
    </r>
    <r>
      <rPr>
        <b/>
        <sz val="10"/>
        <color indexed="10"/>
        <rFont val="Arial"/>
        <family val="2"/>
      </rPr>
      <t xml:space="preserve"> (valor para 2 vigilantes = 1 posto) </t>
    </r>
    <r>
      <rPr>
        <b/>
        <sz val="10"/>
        <color indexed="12"/>
        <rFont val="Arial"/>
        <family val="2"/>
      </rPr>
      <t>(Cláusulas 3ª e 4ª CCT 2024)</t>
    </r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</si>
  <si>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do Salário-Base) </t>
    </r>
    <r>
      <rPr>
        <b/>
        <sz val="10"/>
        <color indexed="12"/>
        <rFont val="Arial"/>
        <family val="2"/>
      </rPr>
      <t>(Cláusula 29 CCT 2023/2025)</t>
    </r>
  </si>
  <si>
    <r>
      <t xml:space="preserve">Adicional Noturno  </t>
    </r>
    <r>
      <rPr>
        <b/>
        <sz val="10"/>
        <color indexed="12"/>
        <rFont val="Arial"/>
        <family val="2"/>
      </rPr>
      <t>Das 22h às 5h - (7 h noturnas) -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(Cláusula 27 CCT 2023/2025)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Cálculo do valor: AN (c/peri) x 7h x 15 dias x 2 vigilantes)</t>
    </r>
  </si>
  <si>
    <r>
      <t xml:space="preserve">Hora Noturna Adicional </t>
    </r>
    <r>
      <rPr>
        <b/>
        <sz val="10"/>
        <color indexed="12"/>
        <rFont val="Arial"/>
        <family val="2"/>
      </rPr>
      <t>(Hora noturna equivale a 52,5 min = 60/52,5 = 1,142587 * 7h = 8h)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Cálculo do valor: AN (c/peri) x 1h x 15 dias x  2vigilantes </t>
    </r>
    <r>
      <rPr>
        <b/>
        <sz val="10"/>
        <color indexed="12"/>
        <rFont val="Arial"/>
        <family val="2"/>
      </rPr>
      <t>(Cláus 27 e 28 CCT2023/2025)</t>
    </r>
  </si>
  <si>
    <t>E</t>
  </si>
  <si>
    <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 </t>
    </r>
    <r>
      <rPr>
        <b/>
        <sz val="10"/>
        <color indexed="10"/>
        <rFont val="Arial"/>
        <family val="2"/>
      </rPr>
      <t xml:space="preserve">Cálculo do valor: HE (c/peri) x 4,33 h x 2 vig.)   [195h (=180h + 15h) - 190,67 = 4,33h como horas extras, sendo  15 = 15 x (7hx1,1428571 – 7h) </t>
    </r>
    <r>
      <rPr>
        <b/>
        <sz val="10"/>
        <color indexed="12"/>
        <rFont val="Arial"/>
        <family val="2"/>
      </rPr>
      <t>Das 22h às 5h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(Cláusula 28 CCT 2023/2025)</t>
    </r>
  </si>
  <si>
    <t>F</t>
  </si>
  <si>
    <r>
      <t xml:space="preserve">Adicional para Troca de Uniforme - </t>
    </r>
    <r>
      <rPr>
        <b/>
        <sz val="10"/>
        <color indexed="10"/>
        <rFont val="Arial"/>
        <family val="2"/>
      </rPr>
      <t xml:space="preserve"> Cálculo do valor: 1/6 do salário-hora por dia = </t>
    </r>
    <r>
      <rPr>
        <b/>
        <sz val="10"/>
        <color indexed="10"/>
        <rFont val="Arial"/>
        <family val="2"/>
      </rPr>
      <t xml:space="preserve">(VSH/6=1,34)x1,3x 2x15 </t>
    </r>
    <r>
      <rPr>
        <b/>
        <sz val="10"/>
        <color indexed="12"/>
        <rFont val="Arial"/>
        <family val="2"/>
      </rPr>
      <t xml:space="preserve"> (Cláusula 31 CCT 2023/2025)</t>
    </r>
  </si>
  <si>
    <t>G</t>
  </si>
  <si>
    <r>
      <t xml:space="preserve">RSR (Repouso Semanal Remunerado) - </t>
    </r>
    <r>
      <rPr>
        <b/>
        <sz val="10"/>
        <color indexed="10"/>
        <rFont val="Arial"/>
        <family val="2"/>
      </rPr>
      <t>Cálculo do valor: 20% sobre os adicionais pertinentes) -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(Cláusula 32 CCT 2023/2025)</t>
    </r>
  </si>
  <si>
    <t>H</t>
  </si>
  <si>
    <t xml:space="preserve">Outros (especificar)                      </t>
  </si>
  <si>
    <t>-</t>
  </si>
  <si>
    <t>Remuneração 1 = Total da Remuneração de verbas de natureza salarial nas quais incidem INSS + FGTS + Férias + 13º, etc.</t>
  </si>
  <si>
    <t>I</t>
  </si>
  <si>
    <r>
      <t xml:space="preserve">Intervalo Intrajornada </t>
    </r>
    <r>
      <rPr>
        <b/>
        <sz val="10"/>
        <color indexed="10"/>
        <rFont val="Arial"/>
        <family val="2"/>
      </rPr>
      <t>(Adicional de Intervalo)  Cálculo do valor: HE (s/peri) x 15d x2vigx</t>
    </r>
    <r>
      <rPr>
        <b/>
        <sz val="10"/>
        <color indexed="12"/>
        <rFont val="Arial"/>
        <family val="2"/>
      </rPr>
      <t>0,5h</t>
    </r>
    <r>
      <rPr>
        <b/>
        <sz val="10"/>
        <color indexed="10"/>
        <rFont val="Arial"/>
        <family val="2"/>
      </rPr>
      <t>) -</t>
    </r>
    <r>
      <rPr>
        <b/>
        <sz val="10"/>
        <rFont val="Arial"/>
        <family val="2"/>
      </rPr>
      <t xml:space="preserve"> (Cláusula 69 CCT 2023/2025)</t>
    </r>
  </si>
  <si>
    <t>Total da verba de natureza salarial na qual incidem somente INSS (mais terceiras entidades) e FGTS, em face da Solução de Consulta RFB/Cosit nº 108/2023 e Parecer Jurídico.</t>
  </si>
  <si>
    <t>Remuneração 2 = Total da Remuneração que o empregado irá receber</t>
  </si>
  <si>
    <t>Módulo 2 – Encargos e Benefícios Anuais, Mensais e Diários</t>
  </si>
  <si>
    <r>
      <t>Submódulo 2.1 – 13º (décimo terceiro) Salário</t>
    </r>
    <r>
      <rPr>
        <b/>
        <sz val="10"/>
        <color indexed="19"/>
        <rFont val="Arial"/>
        <family val="2"/>
      </rPr>
      <t xml:space="preserve"> </t>
    </r>
    <r>
      <rPr>
        <b/>
        <sz val="10"/>
        <rFont val="Arial"/>
        <family val="2"/>
      </rPr>
      <t>e Adicional de Férias</t>
    </r>
  </si>
  <si>
    <t>2.1</t>
  </si>
  <si>
    <t>13º (décimo terceiro) Salário  e Adicional de Férias</t>
  </si>
  <si>
    <t>Valor (R$)</t>
  </si>
  <si>
    <r>
      <t>13º (décimo terceiro) Salário  -</t>
    </r>
    <r>
      <rPr>
        <b/>
        <sz val="10"/>
        <color indexed="12"/>
        <rFont val="Arial"/>
        <family val="2"/>
      </rPr>
      <t xml:space="preserve"> 8,33%</t>
    </r>
    <r>
      <rPr>
        <b/>
        <sz val="10"/>
        <color indexed="10"/>
        <rFont val="Arial"/>
        <family val="2"/>
      </rPr>
      <t xml:space="preserve"> sobre o valor do Módulo 1 - Composição da Remuneração 1, conforme Anexo XII da IN 5/17</t>
    </r>
  </si>
  <si>
    <r>
      <t xml:space="preserve">Adicional de Férias - </t>
    </r>
    <r>
      <rPr>
        <b/>
        <sz val="10"/>
        <color indexed="12"/>
        <rFont val="Arial"/>
        <family val="2"/>
      </rPr>
      <t>3,025%</t>
    </r>
    <r>
      <rPr>
        <b/>
        <sz val="10"/>
        <color indexed="10"/>
        <rFont val="Arial"/>
        <family val="2"/>
      </rPr>
      <t xml:space="preserve"> sobre o valor do Módulo 1 - Composição da Remuneração 1, conforme Anexo XII da IN 5/17 (12,10% - sendo Férias = 9,75% e Adicional (1/3) = 3,025%)</t>
    </r>
  </si>
  <si>
    <t>Total</t>
  </si>
  <si>
    <r>
      <t xml:space="preserve">Submódulo 2.2 - Encargos Previdenciários (GPS), Fundo de Garantia por Tempo de Serviço (FGTS) e outras contribuições </t>
    </r>
    <r>
      <rPr>
        <b/>
        <sz val="10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</si>
  <si>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</si>
  <si>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</si>
  <si>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Valor
 (R$)</t>
  </si>
  <si>
    <t>INSS</t>
  </si>
  <si>
    <t>Salário Educação</t>
  </si>
  <si>
    <r>
      <t xml:space="preserve">RAT x FAP
</t>
    </r>
    <r>
      <rPr>
        <b/>
        <sz val="10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</si>
  <si>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</si>
  <si>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</si>
  <si>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</si>
  <si>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</si>
  <si>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</si>
  <si>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INCRA</t>
  </si>
  <si>
    <t>FGTS</t>
  </si>
  <si>
    <r>
      <t>Nota 1: Os percentuais dos encargos previdenciários, do FGTS e demais contribuições são aqueles estabelecidos pela legislação vigente.
Nota 2: O RAT a depender do grau de risco do serviço irá variar entre 1%, para risco leve, de 2% para risco médio, e de 3% para risco grave.
Nota 3: Esses percentuais incidem sobre o Módulo 1 e Submódulo 2.1</t>
    </r>
    <r>
      <rPr>
        <sz val="8"/>
        <color indexed="19"/>
        <rFont val="Arial"/>
        <family val="2"/>
      </rPr>
      <t>.</t>
    </r>
  </si>
  <si>
    <t>Submódulo 2.3 – Benefícios Mensais e Diários</t>
  </si>
  <si>
    <t>2.3</t>
  </si>
  <si>
    <t>Benefícios Mensais e Diários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</si>
  <si>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[(2xVTx21)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xSB)]</t>
    </r>
  </si>
  <si>
    <r>
      <t xml:space="preserve">      </t>
    </r>
    <r>
      <rPr>
        <b/>
        <sz val="10"/>
        <color indexed="10"/>
        <rFont val="Arial"/>
        <family val="2"/>
      </rPr>
      <t xml:space="preserve">A.1) Valor da passagem do transporte coletivo no município de prestação dos serviços: </t>
    </r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</si>
  <si>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</si>
  <si>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t xml:space="preserve">      </t>
    </r>
    <r>
      <rPr>
        <b/>
        <sz val="9"/>
        <color indexed="10"/>
        <rFont val="Arial"/>
        <family val="2"/>
      </rPr>
      <t xml:space="preserve">A.3) Quantidade de dias do mês de recebimento de passagens </t>
    </r>
  </si>
  <si>
    <r>
      <t xml:space="preserve">     </t>
    </r>
    <r>
      <rPr>
        <b/>
        <sz val="9"/>
        <color indexed="10"/>
        <rFont val="Arial"/>
        <family val="2"/>
      </rPr>
      <t xml:space="preserve">A.4) Participação do empregado em percentual do salário-base </t>
    </r>
    <r>
      <rPr>
        <b/>
        <sz val="9"/>
        <color indexed="12"/>
        <rFont val="Arial"/>
        <family val="2"/>
      </rPr>
      <t>(Cláus 20 CCT 2023/2025)</t>
    </r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</si>
  <si>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19%</t>
    </r>
    <r>
      <rPr>
        <b/>
        <sz val="10"/>
        <color indexed="10"/>
        <rFont val="Arial"/>
        <family val="2"/>
      </rPr>
      <t>)]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</si>
  <si>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</t>
    </r>
    <r>
      <rPr>
        <b/>
        <sz val="9"/>
        <color indexed="12"/>
        <rFont val="Arial"/>
        <family val="2"/>
      </rPr>
      <t xml:space="preserve"> (Cláusula 11 CCT 2024)</t>
    </r>
  </si>
  <si>
    <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</si>
  <si>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</si>
  <si>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r>
      <t xml:space="preserve">Seguro de Vida </t>
    </r>
    <r>
      <rPr>
        <b/>
        <sz val="9"/>
        <color indexed="10"/>
        <rFont val="Arial"/>
        <family val="2"/>
      </rPr>
      <t xml:space="preserve">Cálculo do valor: 26 x Rem x 0,023%  </t>
    </r>
    <r>
      <rPr>
        <b/>
        <sz val="9"/>
        <color indexed="12"/>
        <rFont val="Arial"/>
        <family val="2"/>
      </rPr>
      <t xml:space="preserve"> (cláusula 38 da CCT 2023/2025)</t>
    </r>
  </si>
  <si>
    <r>
      <t xml:space="preserve">Auxílio-Funeral   </t>
    </r>
    <r>
      <rPr>
        <b/>
        <sz val="9"/>
        <color indexed="10"/>
        <rFont val="Arial"/>
        <family val="2"/>
      </rPr>
      <t xml:space="preserve">Cálculo do valor: (SB x 0,52066%)/12 </t>
    </r>
    <r>
      <rPr>
        <b/>
        <sz val="9"/>
        <color indexed="12"/>
        <rFont val="Arial"/>
        <family val="2"/>
      </rPr>
      <t xml:space="preserve"> (cláusula 37 da CCT 2023/2025)</t>
    </r>
  </si>
  <si>
    <t xml:space="preserve">Outros (especificar)                                            </t>
  </si>
  <si>
    <t xml:space="preserve">Total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</si>
  <si>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</si>
  <si>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</si>
  <si>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</si>
  <si>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</si>
  <si>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</si>
  <si>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</si>
  <si>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</si>
  <si>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10"/>
        <color indexed="10"/>
        <rFont val="Arial"/>
        <family val="2"/>
      </rPr>
      <t xml:space="preserve">Cálculo do valor = [Rem/12 + 13º/12 + Férias/12 + (1/3xFérias)/12] x (30/30=1) x 5% de rotatividade anual
Os reflexos de 13º, F e 1/3F são referentes a 1 mês de APInd - </t>
    </r>
    <r>
      <rPr>
        <b/>
        <sz val="10"/>
        <color indexed="12"/>
        <rFont val="Arial"/>
        <family val="2"/>
      </rPr>
      <t>Na prorrogação, poderão ser considerados 3 dias conforme Lei nº 12.506/2011, dependendo da análise do nº de ocorrências deste evento no período.</t>
    </r>
  </si>
  <si>
    <t>Incidência do FGTS sobre o Aviso Prévio Indenizado</t>
  </si>
  <si>
    <r>
      <t xml:space="preserve">Aviso Prévio Trabalhado   </t>
    </r>
    <r>
      <rPr>
        <b/>
        <sz val="10"/>
        <color indexed="10"/>
        <rFont val="Arial"/>
        <family val="2"/>
      </rPr>
      <t>Cálculo do valor= [(Rem/30)x7]/</t>
    </r>
    <r>
      <rPr>
        <b/>
        <sz val="10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 - ao final do contrato -</t>
    </r>
    <r>
      <rPr>
        <b/>
        <sz val="10"/>
        <color indexed="12"/>
        <rFont val="Arial"/>
        <family val="2"/>
      </rPr>
      <t xml:space="preserve"> Negociar extinção/redução na 1ª prorrogação, dependendo da análise do nº de ocorrências deste evento no período.</t>
    </r>
  </si>
  <si>
    <t xml:space="preserve">Incidência de GPS, FGTS e outras contribuições sobre o Aviso Prévio Trabalhado         </t>
  </si>
  <si>
    <r>
      <t xml:space="preserve">Multa sobre o FGTS para as rescisões sem justa causa - </t>
    </r>
    <r>
      <rPr>
        <b/>
        <sz val="10"/>
        <color indexed="10"/>
        <rFont val="Arial"/>
        <family val="2"/>
      </rPr>
      <t>4% sobre o valor do Módulo 1 – Remuneração, conforme Anexo XII da IN Seges nº 5/2017</t>
    </r>
  </si>
  <si>
    <t xml:space="preserve">"Nota 1:  Aviso Prévio Indenizado - Na prorrogação, poderão ser considerados 3 dias conforme Lei nº 12.506/2011, dependendo da análise do nº de ocorrências deste evento no período.
Nota 2: Aviso Prévio Trabalhado - corresponde ao percentual  de 1,94% no primeiro ano; em caso de prorrogação do contrato, poderão ser considerados 3 dias conforme Lei nº 12.506/2011, devendo o percentual máximo dessa parcela ser de até 0,194% a cada ano de prorrogação."        
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</si>
  <si>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</si>
  <si>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</si>
  <si>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MÓDULO 1 + MÓDULO 2 (-VA - VT) + FÉRIAS + MÓDULO 3 - </t>
    </r>
    <r>
      <rPr>
        <b/>
        <sz val="10"/>
        <color indexed="10"/>
        <rFont val="Arial"/>
        <family val="2"/>
      </rPr>
      <t>exceto o Substituto na cobertura de Férias e o Afastamento Maternidade, sendo que neste último a Rem e o 13º podem ser compensados pelo INSS, ambos com base de cálculo própria, conforme consta nesses itens de custo.</t>
    </r>
  </si>
  <si>
    <t>MÓD 1                 (= a Rem1)=</t>
  </si>
  <si>
    <r>
      <t xml:space="preserve">MÓD 2 </t>
    </r>
    <r>
      <rPr>
        <b/>
        <sz val="10"/>
        <color indexed="10"/>
        <rFont val="Arial"/>
        <family val="2"/>
      </rPr>
      <t xml:space="preserve">(sem VA e VT) + </t>
    </r>
    <r>
      <rPr>
        <b/>
        <sz val="10"/>
        <color indexed="12"/>
        <rFont val="Arial"/>
        <family val="2"/>
      </rPr>
      <t>Férias =</t>
    </r>
  </si>
  <si>
    <t>MÓD 3 =</t>
  </si>
  <si>
    <t xml:space="preserve">Submódulo 4.1 – Substituto nas Ausências Legais </t>
  </si>
  <si>
    <t>4.1</t>
  </si>
  <si>
    <t>Substituto nas Ausências Legais</t>
  </si>
  <si>
    <r>
      <t>Substituto na cobertura de Férias</t>
    </r>
    <r>
      <rPr>
        <b/>
        <sz val="10"/>
        <color indexed="19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Obrigatória a cotação de 9,075% sobre o valor do (Módulo 1 - Composição da Remuneração </t>
    </r>
    <r>
      <rPr>
        <b/>
        <sz val="10"/>
        <color indexed="39"/>
        <rFont val="Arial"/>
        <family val="2"/>
      </rPr>
      <t xml:space="preserve"> mais</t>
    </r>
    <r>
      <rPr>
        <b/>
        <sz val="10"/>
        <color indexed="10"/>
        <rFont val="Arial"/>
        <family val="2"/>
      </rPr>
      <t xml:space="preserve"> o percentual do Submódulo 2.2 sobre o cálculo anterior, conforme Anexo XII da IN 5/17 (Férias + Adicional = 12,10% = 9,075% + 3,025%) 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</si>
  <si>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</si>
  <si>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</si>
  <si>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/30)x0,69 dias]/12</t>
    </r>
  </si>
  <si>
    <r>
      <t xml:space="preserve">Substituto na cobertura de Afastamento Maternidade
</t>
    </r>
    <r>
      <rPr>
        <b/>
        <sz val="10"/>
        <color indexed="10"/>
        <rFont val="Arial"/>
        <family val="2"/>
      </rPr>
      <t xml:space="preserve">Cálculo do valor = [((Férias + Férias / 3) + SUB2.2 x (Férias + Férias / 3)) x (4/12)] x 2% + [( FGTS x Rem + SUB 2.2 x 13º + SUB2.3 – VA – VT + MÓD3) x (4/12)] } x 2%     </t>
    </r>
    <r>
      <rPr>
        <b/>
        <sz val="10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Não incide Contribuição Previdenciária Patronal (INSS + 3ªs entidades) sobre a Remuneração da empregada residente nos 4 meses de Afastamento, conforme Solução de Consulta Cosit/RFB nº 27/2023, publicada na pág. 20 da Seção 1 do DOU de 09/02/2023. A Remuneração e o 13º da empregada residente poderão ser compensados, por isso não constam da fórmula.</t>
    </r>
  </si>
  <si>
    <r>
      <t xml:space="preserve">Substituto na cobertura de Ausência por doença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)/30)x3dias]/12</t>
    </r>
  </si>
  <si>
    <t>Quadro-Resumo do Módulo 4 – Custo de Reposição do Profissional Ausente</t>
  </si>
  <si>
    <t>Custo de Reposição do Profissional Ausente</t>
  </si>
  <si>
    <t>Módulo 5 – Insumos Diversos</t>
  </si>
  <si>
    <t>Insumos diversos</t>
  </si>
  <si>
    <r>
      <t>Uniformes</t>
    </r>
    <r>
      <rPr>
        <b/>
        <sz val="10"/>
        <color indexed="12"/>
        <rFont val="Arial"/>
        <family val="2"/>
      </rPr>
      <t xml:space="preserve"> São 2 conjuntos de uniformes (para os 2 vigilantes titulares) 
</t>
    </r>
    <r>
      <rPr>
        <b/>
        <sz val="10"/>
        <color indexed="10"/>
        <rFont val="Arial"/>
        <family val="2"/>
      </rPr>
      <t>Cálculo do valor: R$ 155,60 por vigilante  x 2 vigilantes</t>
    </r>
  </si>
  <si>
    <r>
      <t>EPIs</t>
    </r>
    <r>
      <rPr>
        <b/>
        <sz val="10"/>
        <color indexed="12"/>
        <rFont val="Arial"/>
        <family val="2"/>
      </rPr>
      <t xml:space="preserve"> (Por posto)</t>
    </r>
  </si>
  <si>
    <r>
      <t>Equipamentos</t>
    </r>
    <r>
      <rPr>
        <b/>
        <sz val="10"/>
        <color indexed="12"/>
        <rFont val="Arial"/>
        <family val="2"/>
      </rPr>
      <t xml:space="preserve"> (Aparelho registrador de ponto eletrônico)</t>
    </r>
  </si>
  <si>
    <t xml:space="preserve">Outros (especificar) </t>
  </si>
  <si>
    <t>Módulo 6 -  Custos Indiretos, Lucro e Tributos</t>
  </si>
  <si>
    <t xml:space="preserve">Custos Indiretos, Lucro e Tributos </t>
  </si>
  <si>
    <t>Valor
(R$)</t>
  </si>
  <si>
    <r>
      <t xml:space="preserve">BASE DE CÁLCULO DOS CUSTOS INDIRETOS  = </t>
    </r>
    <r>
      <rPr>
        <b/>
        <sz val="10"/>
        <color indexed="12"/>
        <rFont val="Arial"/>
        <family val="2"/>
      </rPr>
      <t>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  </r>
  </si>
  <si>
    <t>Custos Indiretos</t>
  </si>
  <si>
    <r>
      <t xml:space="preserve">BASE DE CÁLCULO DO LUCRO = </t>
    </r>
    <r>
      <rPr>
        <b/>
        <sz val="10"/>
        <color indexed="12"/>
        <rFont val="Arial"/>
        <family val="2"/>
      </rPr>
      <t xml:space="preserve">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  </r>
  </si>
  <si>
    <t>Lucro</t>
  </si>
  <si>
    <r>
      <t xml:space="preserve">BASE DE CÁLCULO DOS TRIBUTOS = </t>
    </r>
    <r>
      <rPr>
        <b/>
        <sz val="10"/>
        <color indexed="12"/>
        <rFont val="Arial"/>
        <family val="2"/>
      </rPr>
      <t>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  </r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</si>
  <si>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</si>
  <si>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</si>
  <si>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b/>
        <sz val="10"/>
        <color indexed="12"/>
        <rFont val="Arial"/>
        <family val="2"/>
      </rPr>
      <t xml:space="preserve"> Os licitantes optantes ou obrigados ao regime não cumulativo da Cofins devem cotar a alíquota média, com demonstração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</si>
  <si>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Os licitantes optantes ou obrigados ao regime não cumulativo do PIS devem cotar a alíquota média, com demonstração</t>
    </r>
  </si>
  <si>
    <r>
      <t xml:space="preserve"> c) IRPJ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</si>
  <si>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</si>
  <si>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</si>
  <si>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</si>
  <si>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</t>
    </r>
    <r>
      <rPr>
        <b/>
        <sz val="10"/>
        <rFont val="Arial"/>
        <family val="2"/>
      </rPr>
      <t xml:space="preserve">a) ISS              </t>
    </r>
    <r>
      <rPr>
        <sz val="10"/>
        <color indexed="10"/>
        <rFont val="Arial"/>
        <family val="2"/>
      </rPr>
      <t>(Decreto Municipal de Sertão/RS)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</si>
  <si>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</si>
  <si>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</si>
  <si>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</si>
  <si>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</si>
  <si>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</si>
  <si>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</si>
  <si>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</si>
  <si>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</si>
  <si>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</si>
  <si>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</si>
  <si>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</si>
  <si>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</si>
  <si>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</si>
  <si>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</si>
  <si>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Empregado</t>
  </si>
  <si>
    <t>3.  COMPLEMENTO DOS SERVIÇOS DE VIGILÂNCIA – VALOR MENSAL DOS SERVIÇOS</t>
  </si>
  <si>
    <t>QUANTIDADE DE PESSOAL ALOCADO NA EXECUÇÃO CONTRATUAL (item 6.2.e do Anexo VII da IN nº 5/2017)</t>
  </si>
  <si>
    <t>Tipo de Mão de Obra</t>
  </si>
  <si>
    <t>Quantidade de Pessoal</t>
  </si>
  <si>
    <t>Vigilante</t>
  </si>
  <si>
    <t>6 pessoas (3 postos)</t>
  </si>
  <si>
    <t>ESCALA DE TRABALHO</t>
  </si>
  <si>
    <t>PREÇO MENSAL DO POSTO  
(R$)</t>
  </si>
  <si>
    <t>NÚMERO DE POSTOS</t>
  </si>
  <si>
    <t>SUBTOTAL
(R$)</t>
  </si>
  <si>
    <t xml:space="preserve">12 horas noturnas, de segunda-feira a domingo, envolvendo 2 (dois) vigilantes em turnos de  12 (doze) por 36 (trinta e seis) horas </t>
  </si>
  <si>
    <t>TOTAL:</t>
  </si>
  <si>
    <t>Número de meses do contrato</t>
  </si>
  <si>
    <r>
      <t>Valor Global da Proposta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(valor mensal  serviço x nº  meses contrato)</t>
    </r>
  </si>
  <si>
    <t>UNIFORMES E EPIs para o posto de VIGILÂNCIA PE90004/2024</t>
  </si>
  <si>
    <t>ITEM</t>
  </si>
  <si>
    <t>DESCRIÇÃO DAS PEÇAS DO UNIFORME</t>
  </si>
  <si>
    <t>UNIDADE</t>
  </si>
  <si>
    <t>QUANTIDADE/ANO</t>
  </si>
  <si>
    <t>ORÇAMENTO 1</t>
  </si>
  <si>
    <t>ORÇAMENTO 2</t>
  </si>
  <si>
    <t>ORÇAMENTO 3</t>
  </si>
  <si>
    <t>MÉDIA VALOR</t>
  </si>
  <si>
    <t>VALOR TOTAL ANO</t>
  </si>
  <si>
    <r>
      <rPr>
        <sz val="10"/>
        <color indexed="8"/>
        <rFont val="Calibri"/>
        <family val="2"/>
      </rPr>
      <t>Calça social</t>
    </r>
  </si>
  <si>
    <r>
      <rPr>
        <sz val="10"/>
        <color indexed="8"/>
        <rFont val="Calibri"/>
        <family val="2"/>
      </rPr>
      <t>UN</t>
    </r>
  </si>
  <si>
    <r>
      <rPr>
        <sz val="10"/>
        <color indexed="8"/>
        <rFont val="Calibri"/>
        <family val="2"/>
      </rPr>
      <t>Camisa manga longa</t>
    </r>
  </si>
  <si>
    <r>
      <rPr>
        <sz val="10"/>
        <color indexed="8"/>
        <rFont val="Calibri"/>
        <family val="2"/>
      </rPr>
      <t>Camisa manga curta</t>
    </r>
  </si>
  <si>
    <r>
      <rPr>
        <sz val="10"/>
        <color indexed="8"/>
        <rFont val="Calibri"/>
        <family val="2"/>
      </rPr>
      <t>Capa de Chuva</t>
    </r>
  </si>
  <si>
    <r>
      <rPr>
        <sz val="10"/>
        <color indexed="8"/>
        <rFont val="Calibri"/>
        <family val="2"/>
      </rPr>
      <t>Cinto de couro</t>
    </r>
  </si>
  <si>
    <t>Coturno militar bota tática</t>
  </si>
  <si>
    <t>PAR</t>
  </si>
  <si>
    <r>
      <rPr>
        <sz val="10"/>
        <color indexed="8"/>
        <rFont val="Calibri"/>
        <family val="2"/>
      </rPr>
      <t>Crachá de identificação.</t>
    </r>
  </si>
  <si>
    <r>
      <rPr>
        <sz val="10"/>
        <color indexed="8"/>
        <rFont val="Calibri"/>
        <family val="2"/>
      </rPr>
      <t>Japona de nailon</t>
    </r>
  </si>
  <si>
    <r>
      <rPr>
        <sz val="10"/>
        <color indexed="8"/>
        <rFont val="Calibri"/>
        <family val="2"/>
      </rPr>
      <t>Meia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em algodão na cor preta, kit com 3 pares</t>
    </r>
  </si>
  <si>
    <r>
      <rPr>
        <sz val="10"/>
        <color indexed="8"/>
        <rFont val="Calibri"/>
        <family val="2"/>
      </rPr>
      <t>KIT</t>
    </r>
  </si>
  <si>
    <r>
      <rPr>
        <sz val="10"/>
        <color indexed="8"/>
        <rFont val="Calibri"/>
        <family val="2"/>
      </rPr>
      <t>Suéter de lã</t>
    </r>
  </si>
  <si>
    <t>Cobertura - Bone</t>
  </si>
  <si>
    <t>UN</t>
  </si>
  <si>
    <t>TOTAL ANUAL</t>
  </si>
  <si>
    <t>CUSTO MENSAL POR POSTO DE TRABALHO (DO TOTAL DE UNIFORME ANO)</t>
  </si>
  <si>
    <t>CUSTO MÊS</t>
  </si>
  <si>
    <t>DESCRIÇÃO DAS PEÇAS DOS EPIs</t>
  </si>
  <si>
    <r>
      <rPr>
        <sz val="10"/>
        <color indexed="8"/>
        <rFont val="Calibri"/>
        <family val="2"/>
      </rPr>
      <t>Cassetete com porta cassetete</t>
    </r>
  </si>
  <si>
    <r>
      <rPr>
        <sz val="10"/>
        <rFont val="Calibri"/>
        <family val="2"/>
      </rPr>
      <t>Lanterna com bateria recarregável</t>
    </r>
  </si>
  <si>
    <r>
      <rPr>
        <sz val="10"/>
        <rFont val="Calibri"/>
        <family val="2"/>
      </rPr>
      <t>Livro de ocorrências</t>
    </r>
  </si>
  <si>
    <r>
      <rPr>
        <sz val="10"/>
        <rFont val="Calibri"/>
        <family val="2"/>
      </rPr>
      <t>Rádio de comunicação</t>
    </r>
  </si>
  <si>
    <t>CUSTO MENSAL POR POSTO DE TRABALHO (DO TOTAL DE EPIs ANO)</t>
  </si>
  <si>
    <t>Levantamento do Custo referente RELÓGIO PONTO - Pregão 90004/2024</t>
  </si>
  <si>
    <t>Elaborado com base em Pesquisa de Mercado para o custo do relógio ponto</t>
  </si>
  <si>
    <t>UND</t>
  </si>
  <si>
    <t>QDT</t>
  </si>
  <si>
    <t>Orçamento 1</t>
  </si>
  <si>
    <t>Orçamento 2</t>
  </si>
  <si>
    <t>Orçamento 3</t>
  </si>
  <si>
    <t>Média de Valores (A)</t>
  </si>
  <si>
    <t>Vida Útil/Anos (B)</t>
  </si>
  <si>
    <t>Valor Residual (C)</t>
  </si>
  <si>
    <t>Valor Residual/Vida  Útil (D)</t>
  </si>
  <si>
    <t>Valor Final (E)</t>
  </si>
  <si>
    <t>Nº Item</t>
  </si>
  <si>
    <t>Descrição Detalhada</t>
  </si>
  <si>
    <t>LOJAS AMERICANAS</t>
  </si>
  <si>
    <t>MAGAZINE LUIZA</t>
  </si>
  <si>
    <t>PONTO TECNOLOGIA</t>
  </si>
  <si>
    <t>(A-10%)</t>
  </si>
  <si>
    <t>(C/B)</t>
  </si>
  <si>
    <t>(D/12)</t>
  </si>
  <si>
    <t>PONTO ELETRÔNICO CFE PORTARIA 1510/2009</t>
  </si>
</sst>
</file>

<file path=xl/styles.xml><?xml version="1.0" encoding="utf-8"?>
<styleSheet xmlns="http://schemas.openxmlformats.org/spreadsheetml/2006/main">
  <numFmts count="21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\-??_);_(@_)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&quot;R$&quot;\ #,##0.00"/>
    <numFmt numFmtId="181" formatCode="&quot;R$ &quot;#,##0.00"/>
    <numFmt numFmtId="182" formatCode="0.000%"/>
    <numFmt numFmtId="183" formatCode="0.0000"/>
    <numFmt numFmtId="184" formatCode="0.0000%"/>
  </numFmts>
  <fonts count="62">
    <font>
      <sz val="10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53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b/>
      <sz val="14"/>
      <name val="Arial"/>
      <family val="2"/>
    </font>
    <font>
      <sz val="10"/>
      <color indexed="19"/>
      <name val="Arial"/>
      <family val="2"/>
    </font>
    <font>
      <b/>
      <strike/>
      <sz val="10"/>
      <color indexed="10"/>
      <name val="Arial"/>
      <family val="2"/>
    </font>
    <font>
      <b/>
      <sz val="9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10"/>
      <color indexed="1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8"/>
      <color indexed="19"/>
      <name val="Arial"/>
      <family val="2"/>
    </font>
    <font>
      <b/>
      <sz val="9"/>
      <color indexed="12"/>
      <name val="Arial"/>
      <family val="2"/>
    </font>
    <font>
      <b/>
      <sz val="10"/>
      <color indexed="39"/>
      <name val="Arial"/>
      <family val="2"/>
    </font>
    <font>
      <sz val="11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8"/>
      <color theme="3"/>
      <name val="Calibri Light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C00000"/>
      <name val="Calibri"/>
      <family val="2"/>
    </font>
    <font>
      <b/>
      <sz val="10"/>
      <color theme="5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" borderId="1" applyNumberFormat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6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7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1" borderId="0" applyNumberFormat="0" applyBorder="0" applyAlignment="0" applyProtection="0"/>
    <xf numFmtId="0" fontId="46" fillId="19" borderId="0" applyNumberFormat="0" applyBorder="0" applyAlignment="0" applyProtection="0"/>
    <xf numFmtId="0" fontId="46" fillId="21" borderId="0" applyNumberFormat="0" applyBorder="0" applyAlignment="0" applyProtection="0"/>
    <xf numFmtId="0" fontId="47" fillId="3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11" xfId="0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6" fillId="24" borderId="13" xfId="0" applyFont="1" applyFill="1" applyBorder="1" applyAlignment="1">
      <alignment horizontal="justify" vertical="center" wrapText="1"/>
    </xf>
    <xf numFmtId="180" fontId="56" fillId="24" borderId="13" xfId="0" applyNumberFormat="1" applyFont="1" applyFill="1" applyBorder="1" applyAlignment="1">
      <alignment horizontal="center" vertical="center" wrapText="1"/>
    </xf>
    <xf numFmtId="180" fontId="57" fillId="24" borderId="13" xfId="0" applyNumberFormat="1" applyFont="1" applyFill="1" applyBorder="1" applyAlignment="1">
      <alignment vertical="center" wrapText="1"/>
    </xf>
    <xf numFmtId="0" fontId="56" fillId="24" borderId="13" xfId="0" applyNumberFormat="1" applyFont="1" applyFill="1" applyBorder="1" applyAlignment="1">
      <alignment horizontal="center" vertical="center" wrapText="1"/>
    </xf>
    <xf numFmtId="180" fontId="56" fillId="25" borderId="13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/>
    </xf>
    <xf numFmtId="0" fontId="57" fillId="24" borderId="14" xfId="0" applyFont="1" applyFill="1" applyBorder="1" applyAlignment="1">
      <alignment horizontal="center" vertical="center" wrapText="1"/>
    </xf>
    <xf numFmtId="0" fontId="56" fillId="24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justify" vertical="center" wrapText="1"/>
    </xf>
    <xf numFmtId="180" fontId="56" fillId="24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justify" vertical="top" wrapText="1"/>
    </xf>
    <xf numFmtId="0" fontId="56" fillId="24" borderId="14" xfId="0" applyFont="1" applyFill="1" applyBorder="1" applyAlignment="1">
      <alignment horizontal="center" vertical="top" wrapText="1"/>
    </xf>
    <xf numFmtId="180" fontId="1" fillId="0" borderId="14" xfId="0" applyNumberFormat="1" applyFont="1" applyFill="1" applyBorder="1" applyAlignment="1">
      <alignment horizontal="justify"/>
    </xf>
    <xf numFmtId="180" fontId="58" fillId="25" borderId="14" xfId="0" applyNumberFormat="1" applyFont="1" applyFill="1" applyBorder="1" applyAlignment="1">
      <alignment horizontal="center" vertical="center"/>
    </xf>
    <xf numFmtId="0" fontId="58" fillId="25" borderId="14" xfId="0" applyFont="1" applyFill="1" applyBorder="1" applyAlignment="1">
      <alignment horizontal="center" vertical="center" wrapText="1" shrinkToFit="1"/>
    </xf>
    <xf numFmtId="180" fontId="58" fillId="25" borderId="14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 shrinkToFit="1"/>
    </xf>
    <xf numFmtId="0" fontId="59" fillId="0" borderId="0" xfId="0" applyFont="1" applyFill="1" applyBorder="1" applyAlignment="1">
      <alignment wrapText="1" shrinkToFit="1"/>
    </xf>
    <xf numFmtId="180" fontId="59" fillId="0" borderId="0" xfId="0" applyNumberFormat="1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180" fontId="57" fillId="24" borderId="14" xfId="0" applyNumberFormat="1" applyFont="1" applyFill="1" applyBorder="1" applyAlignment="1">
      <alignment horizontal="center" vertical="center" wrapText="1"/>
    </xf>
    <xf numFmtId="180" fontId="59" fillId="24" borderId="0" xfId="0" applyNumberFormat="1" applyFont="1" applyFill="1" applyBorder="1" applyAlignment="1">
      <alignment horizontal="center" vertical="center" wrapText="1"/>
    </xf>
    <xf numFmtId="180" fontId="60" fillId="25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61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58" fontId="12" fillId="0" borderId="15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right" vertical="center" wrapText="1"/>
    </xf>
    <xf numFmtId="1" fontId="12" fillId="8" borderId="15" xfId="0" applyNumberFormat="1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 vertical="center" wrapText="1"/>
    </xf>
    <xf numFmtId="0" fontId="13" fillId="27" borderId="15" xfId="0" applyFont="1" applyFill="1" applyBorder="1" applyAlignment="1">
      <alignment horizontal="left" wrapText="1"/>
    </xf>
    <xf numFmtId="0" fontId="13" fillId="8" borderId="15" xfId="0" applyFont="1" applyFill="1" applyBorder="1" applyAlignment="1">
      <alignment horizontal="left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81" fontId="14" fillId="0" borderId="15" xfId="0" applyNumberFormat="1" applyFont="1" applyFill="1" applyBorder="1" applyAlignment="1">
      <alignment horizontal="right" vertical="center" wrapText="1"/>
    </xf>
    <xf numFmtId="181" fontId="15" fillId="0" borderId="15" xfId="0" applyNumberFormat="1" applyFont="1" applyFill="1" applyBorder="1" applyAlignment="1" applyProtection="1">
      <alignment horizontal="right" vertical="center"/>
      <protection locked="0"/>
    </xf>
    <xf numFmtId="58" fontId="16" fillId="0" borderId="15" xfId="0" applyNumberFormat="1" applyFont="1" applyFill="1" applyBorder="1" applyAlignment="1">
      <alignment horizontal="right" vertical="center" wrapText="1"/>
    </xf>
    <xf numFmtId="58" fontId="17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15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4" fontId="12" fillId="0" borderId="15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27" borderId="15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vertical="center"/>
    </xf>
    <xf numFmtId="0" fontId="13" fillId="8" borderId="17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10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9" fillId="27" borderId="15" xfId="0" applyFont="1" applyFill="1" applyBorder="1" applyAlignment="1">
      <alignment horizontal="right" vertical="center" wrapText="1"/>
    </xf>
    <xf numFmtId="0" fontId="13" fillId="8" borderId="15" xfId="0" applyFont="1" applyFill="1" applyBorder="1" applyAlignment="1">
      <alignment horizontal="justify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9" fillId="27" borderId="15" xfId="0" applyFont="1" applyFill="1" applyBorder="1" applyAlignment="1">
      <alignment horizontal="left" vertical="center" wrapText="1"/>
    </xf>
    <xf numFmtId="0" fontId="9" fillId="8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vertical="center" wrapText="1"/>
    </xf>
    <xf numFmtId="10" fontId="9" fillId="0" borderId="15" xfId="0" applyNumberFormat="1" applyFont="1" applyFill="1" applyBorder="1" applyAlignment="1">
      <alignment horizontal="justify" vertical="center" wrapText="1"/>
    </xf>
    <xf numFmtId="10" fontId="20" fillId="0" borderId="15" xfId="0" applyNumberFormat="1" applyFont="1" applyFill="1" applyBorder="1" applyAlignment="1">
      <alignment horizontal="justify" vertical="center" wrapText="1"/>
    </xf>
    <xf numFmtId="182" fontId="9" fillId="0" borderId="15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right" vertical="center"/>
    </xf>
    <xf numFmtId="0" fontId="9" fillId="8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>
      <alignment horizontal="right" vertical="center"/>
    </xf>
    <xf numFmtId="10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183" fontId="9" fillId="0" borderId="15" xfId="0" applyNumberFormat="1" applyFont="1" applyBorder="1" applyAlignment="1">
      <alignment horizontal="center" vertical="center" wrapText="1"/>
    </xf>
    <xf numFmtId="184" fontId="9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horizontal="center" vertical="center"/>
    </xf>
    <xf numFmtId="4" fontId="13" fillId="8" borderId="15" xfId="0" applyNumberFormat="1" applyFont="1" applyFill="1" applyBorder="1" applyAlignment="1">
      <alignment vertical="center"/>
    </xf>
    <xf numFmtId="4" fontId="13" fillId="27" borderId="15" xfId="0" applyNumberFormat="1" applyFont="1" applyFill="1" applyBorder="1" applyAlignment="1">
      <alignment vertical="center"/>
    </xf>
    <xf numFmtId="4" fontId="18" fillId="8" borderId="15" xfId="0" applyNumberFormat="1" applyFont="1" applyFill="1" applyBorder="1" applyAlignment="1">
      <alignment horizontal="right" vertical="center" wrapText="1"/>
    </xf>
    <xf numFmtId="2" fontId="9" fillId="0" borderId="15" xfId="0" applyNumberFormat="1" applyFont="1" applyFill="1" applyBorder="1" applyAlignment="1">
      <alignment horizontal="right" vertical="center" wrapText="1"/>
    </xf>
    <xf numFmtId="2" fontId="9" fillId="8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184" fontId="9" fillId="8" borderId="15" xfId="0" applyNumberFormat="1" applyFont="1" applyFill="1" applyBorder="1" applyAlignment="1">
      <alignment horizontal="right" vertical="center"/>
    </xf>
    <xf numFmtId="0" fontId="9" fillId="27" borderId="16" xfId="0" applyFont="1" applyFill="1" applyBorder="1" applyAlignment="1">
      <alignment horizontal="right" vertical="center"/>
    </xf>
    <xf numFmtId="0" fontId="0" fillId="27" borderId="18" xfId="0" applyFont="1" applyFill="1" applyBorder="1" applyAlignment="1">
      <alignment horizontal="right" vertical="center"/>
    </xf>
    <xf numFmtId="10" fontId="9" fillId="27" borderId="18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justify" vertical="center" wrapText="1"/>
    </xf>
    <xf numFmtId="0" fontId="9" fillId="8" borderId="15" xfId="0" applyFont="1" applyFill="1" applyBorder="1" applyAlignment="1">
      <alignment horizontal="center" vertical="center"/>
    </xf>
    <xf numFmtId="181" fontId="12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 horizontal="left" vertical="center" wrapText="1"/>
    </xf>
    <xf numFmtId="4" fontId="12" fillId="0" borderId="15" xfId="0" applyNumberFormat="1" applyFont="1" applyBorder="1" applyAlignment="1" applyProtection="1">
      <alignment vertical="center"/>
      <protection/>
    </xf>
    <xf numFmtId="3" fontId="12" fillId="0" borderId="15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10" fontId="12" fillId="0" borderId="15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10" fontId="12" fillId="0" borderId="15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0" fillId="8" borderId="15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right" vertical="center" wrapText="1"/>
    </xf>
    <xf numFmtId="0" fontId="24" fillId="27" borderId="15" xfId="0" applyFont="1" applyFill="1" applyBorder="1" applyAlignment="1">
      <alignment horizontal="center" vertical="center" wrapText="1"/>
    </xf>
    <xf numFmtId="10" fontId="15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horizontal="justify" vertical="center" wrapText="1"/>
    </xf>
    <xf numFmtId="0" fontId="9" fillId="27" borderId="15" xfId="0" applyFont="1" applyFill="1" applyBorder="1" applyAlignment="1">
      <alignment horizontal="justify" vertical="center" wrapText="1"/>
    </xf>
    <xf numFmtId="0" fontId="15" fillId="0" borderId="20" xfId="0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0" fontId="15" fillId="27" borderId="2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5" fillId="27" borderId="20" xfId="0" applyFont="1" applyFill="1" applyBorder="1" applyAlignment="1">
      <alignment horizontal="justify" vertical="center" wrapText="1"/>
    </xf>
    <xf numFmtId="0" fontId="15" fillId="27" borderId="15" xfId="0" applyFont="1" applyFill="1" applyBorder="1" applyAlignment="1">
      <alignment horizontal="right" vertical="center" wrapText="1"/>
    </xf>
    <xf numFmtId="0" fontId="9" fillId="8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1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left" vertical="center" wrapText="1"/>
    </xf>
    <xf numFmtId="0" fontId="0" fillId="8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right" vertical="center" wrapText="1"/>
    </xf>
    <xf numFmtId="0" fontId="9" fillId="8" borderId="18" xfId="0" applyFont="1" applyFill="1" applyBorder="1" applyAlignment="1">
      <alignment horizontal="right" vertical="center" wrapText="1"/>
    </xf>
    <xf numFmtId="0" fontId="9" fillId="8" borderId="19" xfId="0" applyFont="1" applyFill="1" applyBorder="1" applyAlignment="1">
      <alignment horizontal="right" vertical="center" wrapText="1"/>
    </xf>
    <xf numFmtId="0" fontId="9" fillId="27" borderId="15" xfId="0" applyFont="1" applyFill="1" applyBorder="1" applyAlignment="1">
      <alignment horizontal="right" vertical="center"/>
    </xf>
    <xf numFmtId="4" fontId="9" fillId="8" borderId="15" xfId="0" applyNumberFormat="1" applyFont="1" applyFill="1" applyBorder="1" applyAlignment="1">
      <alignment horizontal="right" vertical="center"/>
    </xf>
    <xf numFmtId="4" fontId="9" fillId="27" borderId="19" xfId="0" applyNumberFormat="1" applyFont="1" applyFill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 wrapText="1"/>
    </xf>
    <xf numFmtId="176" fontId="9" fillId="0" borderId="15" xfId="15" applyFont="1" applyFill="1" applyBorder="1" applyAlignment="1">
      <alignment horizontal="right" vertical="center" wrapText="1"/>
    </xf>
    <xf numFmtId="4" fontId="9" fillId="8" borderId="15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8" borderId="15" xfId="0" applyNumberFormat="1" applyFont="1" applyFill="1" applyBorder="1" applyAlignment="1">
      <alignment horizontal="right"/>
    </xf>
    <xf numFmtId="0" fontId="0" fillId="8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" fontId="9" fillId="8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/>
    </xf>
    <xf numFmtId="10" fontId="12" fillId="0" borderId="15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10" fontId="12" fillId="0" borderId="15" xfId="0" applyNumberFormat="1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25" fillId="27" borderId="16" xfId="0" applyFont="1" applyFill="1" applyBorder="1" applyAlignment="1">
      <alignment vertical="center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8" borderId="16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27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12" fillId="0" borderId="0" xfId="0" applyNumberFormat="1" applyFont="1" applyBorder="1" applyAlignment="1">
      <alignment horizontal="left"/>
    </xf>
    <xf numFmtId="0" fontId="13" fillId="0" borderId="14" xfId="0" applyFont="1" applyBorder="1" applyAlignment="1">
      <alignment horizontal="left" vertical="center" wrapText="1"/>
    </xf>
    <xf numFmtId="0" fontId="9" fillId="27" borderId="23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4" fontId="9" fillId="0" borderId="19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right" vertical="center"/>
    </xf>
    <xf numFmtId="3" fontId="27" fillId="8" borderId="15" xfId="0" applyNumberFormat="1" applyFont="1" applyFill="1" applyBorder="1" applyAlignment="1">
      <alignment horizontal="center" vertical="center" wrapText="1"/>
    </xf>
    <xf numFmtId="4" fontId="27" fillId="8" borderId="15" xfId="0" applyNumberFormat="1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justify" vertical="center" wrapText="1"/>
    </xf>
    <xf numFmtId="181" fontId="28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 wrapText="1"/>
    </xf>
    <xf numFmtId="4" fontId="9" fillId="8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176" fontId="12" fillId="26" borderId="0" xfId="0" applyNumberFormat="1" applyFont="1" applyFill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Título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300DC"/>
      <rgbColor rgb="000099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33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SheetLayoutView="100" workbookViewId="0" topLeftCell="A105">
      <selection activeCell="L101" sqref="L101"/>
    </sheetView>
  </sheetViews>
  <sheetFormatPr defaultColWidth="9.140625" defaultRowHeight="12.75"/>
  <cols>
    <col min="1" max="1" width="15.28125" style="43" customWidth="1"/>
    <col min="2" max="2" width="11.140625" style="43" customWidth="1"/>
    <col min="3" max="3" width="13.28125" style="43" customWidth="1"/>
    <col min="4" max="4" width="10.140625" style="43" customWidth="1"/>
    <col min="5" max="5" width="12.421875" style="43" customWidth="1"/>
    <col min="6" max="6" width="11.28125" style="43" customWidth="1"/>
    <col min="7" max="7" width="18.7109375" style="43" customWidth="1"/>
    <col min="8" max="8" width="12.57421875" style="43" customWidth="1"/>
    <col min="9" max="9" width="12.00390625" style="44" customWidth="1"/>
    <col min="10" max="16384" width="9.140625" style="43" customWidth="1"/>
  </cols>
  <sheetData>
    <row r="1" spans="1:9" ht="28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>
      <c r="A2" s="46" t="s">
        <v>1</v>
      </c>
      <c r="B2" s="46"/>
      <c r="C2" s="46"/>
      <c r="D2" s="46"/>
      <c r="E2" s="46"/>
      <c r="F2" s="47" t="s">
        <v>2</v>
      </c>
      <c r="G2" s="47"/>
      <c r="H2" s="47"/>
      <c r="I2" s="47"/>
    </row>
    <row r="3" spans="1:9" ht="15.75" customHeight="1">
      <c r="A3" s="46" t="s">
        <v>3</v>
      </c>
      <c r="B3" s="46"/>
      <c r="C3" s="46"/>
      <c r="D3" s="46"/>
      <c r="E3" s="46"/>
      <c r="F3" s="47" t="s">
        <v>4</v>
      </c>
      <c r="G3" s="47"/>
      <c r="H3" s="47"/>
      <c r="I3" s="47"/>
    </row>
    <row r="4" spans="1:9" ht="15.75" customHeight="1">
      <c r="A4" s="46" t="s">
        <v>5</v>
      </c>
      <c r="B4" s="46"/>
      <c r="C4" s="46"/>
      <c r="D4" s="46"/>
      <c r="E4" s="46"/>
      <c r="F4" s="46"/>
      <c r="G4" s="46"/>
      <c r="H4" s="46"/>
      <c r="I4" s="46"/>
    </row>
    <row r="5" spans="1:9" ht="20.25" customHeight="1">
      <c r="A5" s="48" t="s">
        <v>6</v>
      </c>
      <c r="B5" s="48"/>
      <c r="C5" s="48"/>
      <c r="D5" s="48"/>
      <c r="E5" s="48"/>
      <c r="F5" s="48"/>
      <c r="G5" s="48"/>
      <c r="H5" s="48"/>
      <c r="I5" s="48"/>
    </row>
    <row r="6" spans="1:9" ht="15.75" customHeight="1">
      <c r="A6" s="49" t="s">
        <v>7</v>
      </c>
      <c r="B6" s="46" t="s">
        <v>8</v>
      </c>
      <c r="C6" s="46"/>
      <c r="D6" s="46"/>
      <c r="E6" s="46"/>
      <c r="F6" s="46"/>
      <c r="G6" s="46"/>
      <c r="H6" s="50" t="s">
        <v>9</v>
      </c>
      <c r="I6" s="50"/>
    </row>
    <row r="7" spans="1:9" ht="15.75" customHeight="1">
      <c r="A7" s="49" t="s">
        <v>10</v>
      </c>
      <c r="B7" s="46" t="s">
        <v>11</v>
      </c>
      <c r="C7" s="46"/>
      <c r="D7" s="46"/>
      <c r="E7" s="46"/>
      <c r="F7" s="46"/>
      <c r="G7" s="46"/>
      <c r="H7" s="47" t="s">
        <v>12</v>
      </c>
      <c r="I7" s="47"/>
    </row>
    <row r="8" spans="1:9" ht="43.5" customHeight="1">
      <c r="A8" s="49" t="s">
        <v>13</v>
      </c>
      <c r="B8" s="46" t="s">
        <v>14</v>
      </c>
      <c r="C8" s="46"/>
      <c r="D8" s="46"/>
      <c r="E8" s="46"/>
      <c r="F8" s="46"/>
      <c r="G8" s="46"/>
      <c r="H8" s="47" t="s">
        <v>15</v>
      </c>
      <c r="I8" s="47"/>
    </row>
    <row r="9" spans="1:9" ht="15.75" customHeight="1">
      <c r="A9" s="49" t="s">
        <v>16</v>
      </c>
      <c r="B9" s="46" t="s">
        <v>17</v>
      </c>
      <c r="C9" s="46"/>
      <c r="D9" s="46"/>
      <c r="E9" s="46"/>
      <c r="F9" s="46"/>
      <c r="G9" s="46"/>
      <c r="H9" s="47">
        <v>12</v>
      </c>
      <c r="I9" s="47"/>
    </row>
    <row r="10" spans="1:9" ht="25.5" customHeight="1">
      <c r="A10" s="51" t="s">
        <v>18</v>
      </c>
      <c r="B10" s="51"/>
      <c r="C10" s="51"/>
      <c r="D10" s="51"/>
      <c r="E10" s="51"/>
      <c r="F10" s="51"/>
      <c r="G10" s="51"/>
      <c r="H10" s="51"/>
      <c r="I10" s="51"/>
    </row>
    <row r="11" spans="1:9" ht="7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s="37" customFormat="1" ht="50.25" customHeight="1">
      <c r="A12" s="53" t="s">
        <v>19</v>
      </c>
      <c r="B12" s="53"/>
      <c r="C12" s="53"/>
      <c r="D12" s="53"/>
      <c r="E12" s="53"/>
      <c r="F12" s="54" t="s">
        <v>20</v>
      </c>
      <c r="G12" s="54"/>
      <c r="H12" s="55" t="s">
        <v>21</v>
      </c>
      <c r="I12" s="55"/>
    </row>
    <row r="13" spans="1:9" s="38" customFormat="1" ht="15" customHeight="1">
      <c r="A13" s="56" t="s">
        <v>22</v>
      </c>
      <c r="B13" s="56"/>
      <c r="C13" s="56"/>
      <c r="D13" s="56"/>
      <c r="E13" s="56"/>
      <c r="F13" s="51" t="s">
        <v>23</v>
      </c>
      <c r="G13" s="51"/>
      <c r="H13" s="57">
        <v>3</v>
      </c>
      <c r="I13" s="57"/>
    </row>
    <row r="14" spans="1:9" s="37" customFormat="1" ht="12.75" customHeight="1">
      <c r="A14" s="58" t="s">
        <v>24</v>
      </c>
      <c r="B14" s="58"/>
      <c r="C14" s="58"/>
      <c r="D14" s="58"/>
      <c r="E14" s="58"/>
      <c r="F14" s="58"/>
      <c r="G14" s="58"/>
      <c r="H14" s="59">
        <f>SUM(H13:H13)</f>
        <v>3</v>
      </c>
      <c r="I14" s="59"/>
    </row>
    <row r="15" spans="1:9" s="37" customFormat="1" ht="8.25" customHeight="1">
      <c r="A15" s="60"/>
      <c r="B15" s="60"/>
      <c r="C15" s="60"/>
      <c r="D15" s="60"/>
      <c r="E15" s="60"/>
      <c r="F15" s="60"/>
      <c r="G15" s="60"/>
      <c r="H15" s="60"/>
      <c r="I15" s="60"/>
    </row>
    <row r="16" spans="1:9" s="37" customFormat="1" ht="7.5" customHeight="1">
      <c r="A16" s="52"/>
      <c r="B16" s="52"/>
      <c r="C16" s="52"/>
      <c r="D16" s="52"/>
      <c r="E16" s="52"/>
      <c r="F16" s="52"/>
      <c r="G16" s="52"/>
      <c r="H16" s="52"/>
      <c r="I16" s="52"/>
    </row>
    <row r="17" spans="1:9" s="37" customFormat="1" ht="21.75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</row>
    <row r="18" spans="1:9" s="37" customFormat="1" ht="7.5" customHeight="1">
      <c r="A18" s="61"/>
      <c r="B18" s="61"/>
      <c r="C18" s="61"/>
      <c r="D18" s="61"/>
      <c r="E18" s="61"/>
      <c r="F18" s="61"/>
      <c r="G18" s="61"/>
      <c r="H18" s="61"/>
      <c r="I18" s="61"/>
    </row>
    <row r="19" spans="1:9" s="39" customFormat="1" ht="21.75" customHeight="1">
      <c r="A19" s="62" t="s">
        <v>26</v>
      </c>
      <c r="B19" s="62"/>
      <c r="C19" s="62"/>
      <c r="D19" s="62"/>
      <c r="E19" s="62"/>
      <c r="F19" s="62"/>
      <c r="G19" s="62"/>
      <c r="H19" s="62"/>
      <c r="I19" s="62"/>
    </row>
    <row r="20" spans="1:9" s="37" customFormat="1" ht="27" customHeight="1">
      <c r="A20" s="49">
        <v>1</v>
      </c>
      <c r="B20" s="46" t="s">
        <v>27</v>
      </c>
      <c r="C20" s="46"/>
      <c r="D20" s="46"/>
      <c r="E20" s="46"/>
      <c r="F20" s="46"/>
      <c r="G20" s="46"/>
      <c r="H20" s="63" t="s">
        <v>28</v>
      </c>
      <c r="I20" s="63"/>
    </row>
    <row r="21" spans="1:9" s="37" customFormat="1" ht="19.5" customHeight="1">
      <c r="A21" s="64">
        <v>2</v>
      </c>
      <c r="B21" s="65" t="s">
        <v>29</v>
      </c>
      <c r="C21" s="65"/>
      <c r="D21" s="65"/>
      <c r="E21" s="65"/>
      <c r="F21" s="65"/>
      <c r="G21" s="65"/>
      <c r="H21" s="66" t="s">
        <v>30</v>
      </c>
      <c r="I21" s="66"/>
    </row>
    <row r="22" spans="1:9" s="37" customFormat="1" ht="15.75" customHeight="1">
      <c r="A22" s="49">
        <v>3</v>
      </c>
      <c r="B22" s="46" t="s">
        <v>31</v>
      </c>
      <c r="C22" s="46"/>
      <c r="D22" s="46"/>
      <c r="E22" s="46"/>
      <c r="F22" s="46"/>
      <c r="G22" s="46"/>
      <c r="H22" s="67">
        <v>1977.8</v>
      </c>
      <c r="I22" s="67"/>
    </row>
    <row r="23" spans="1:9" s="37" customFormat="1" ht="15.75" customHeight="1">
      <c r="A23" s="49">
        <v>4</v>
      </c>
      <c r="B23" s="46" t="s">
        <v>32</v>
      </c>
      <c r="C23" s="46"/>
      <c r="D23" s="46"/>
      <c r="E23" s="46"/>
      <c r="F23" s="46"/>
      <c r="G23" s="46"/>
      <c r="H23" s="68" t="s">
        <v>33</v>
      </c>
      <c r="I23" s="68"/>
    </row>
    <row r="24" spans="1:9" s="37" customFormat="1" ht="15.75" customHeight="1">
      <c r="A24" s="49">
        <v>5</v>
      </c>
      <c r="B24" s="46" t="s">
        <v>34</v>
      </c>
      <c r="C24" s="46"/>
      <c r="D24" s="46"/>
      <c r="E24" s="46"/>
      <c r="F24" s="46"/>
      <c r="G24" s="46"/>
      <c r="H24" s="69" t="s">
        <v>35</v>
      </c>
      <c r="I24" s="69"/>
    </row>
    <row r="25" spans="1:9" s="37" customFormat="1" ht="27" customHeight="1">
      <c r="A25" s="70">
        <v>6</v>
      </c>
      <c r="B25" s="71" t="s">
        <v>36</v>
      </c>
      <c r="C25" s="71"/>
      <c r="D25" s="71"/>
      <c r="E25" s="71"/>
      <c r="F25" s="71"/>
      <c r="G25" s="71"/>
      <c r="H25" s="72">
        <f>ROUND(H22/220,2)</f>
        <v>8.99</v>
      </c>
      <c r="I25" s="72"/>
    </row>
    <row r="26" spans="1:9" s="37" customFormat="1" ht="27" customHeight="1">
      <c r="A26" s="70">
        <v>7</v>
      </c>
      <c r="B26" s="71" t="s">
        <v>37</v>
      </c>
      <c r="C26" s="71"/>
      <c r="D26" s="71"/>
      <c r="E26" s="71"/>
      <c r="F26" s="71"/>
      <c r="G26" s="71"/>
      <c r="H26" s="72">
        <f>SUM(H25+H30)</f>
        <v>11.690000000000001</v>
      </c>
      <c r="I26" s="72"/>
    </row>
    <row r="27" spans="1:9" s="37" customFormat="1" ht="27" customHeight="1">
      <c r="A27" s="70">
        <v>8</v>
      </c>
      <c r="B27" s="71" t="s">
        <v>38</v>
      </c>
      <c r="C27" s="71"/>
      <c r="D27" s="71"/>
      <c r="E27" s="71"/>
      <c r="F27" s="71"/>
      <c r="G27" s="71"/>
      <c r="H27" s="72">
        <f>TRUNC(H25*1.5,2)</f>
        <v>13.48</v>
      </c>
      <c r="I27" s="72"/>
    </row>
    <row r="28" spans="1:9" s="37" customFormat="1" ht="23.25" customHeight="1">
      <c r="A28" s="70">
        <v>9</v>
      </c>
      <c r="B28" s="71" t="s">
        <v>39</v>
      </c>
      <c r="C28" s="71"/>
      <c r="D28" s="71"/>
      <c r="E28" s="71"/>
      <c r="F28" s="71"/>
      <c r="G28" s="71"/>
      <c r="H28" s="73">
        <f>ROUND(1.3*H25*1.5,2)+15.65*0</f>
        <v>17.53</v>
      </c>
      <c r="I28" s="73"/>
    </row>
    <row r="29" spans="1:9" s="37" customFormat="1" ht="26.25" customHeight="1">
      <c r="A29" s="70">
        <v>10</v>
      </c>
      <c r="B29" s="71" t="s">
        <v>40</v>
      </c>
      <c r="C29" s="71"/>
      <c r="D29" s="71"/>
      <c r="E29" s="71"/>
      <c r="F29" s="71"/>
      <c r="G29" s="71"/>
      <c r="H29" s="72">
        <f>TRUNC(1.3*H25*0.2,2)</f>
        <v>2.33</v>
      </c>
      <c r="I29" s="72"/>
    </row>
    <row r="30" spans="1:9" s="37" customFormat="1" ht="27" customHeight="1">
      <c r="A30" s="74">
        <v>11</v>
      </c>
      <c r="B30" s="75" t="s">
        <v>41</v>
      </c>
      <c r="C30" s="75"/>
      <c r="D30" s="75"/>
      <c r="E30" s="75"/>
      <c r="F30" s="75"/>
      <c r="G30" s="75"/>
      <c r="H30" s="72">
        <f>ROUND(H25*0.3,2)</f>
        <v>2.7</v>
      </c>
      <c r="I30" s="72"/>
    </row>
    <row r="31" spans="1:9" s="37" customFormat="1" ht="15.75" customHeight="1">
      <c r="A31" s="70">
        <v>12</v>
      </c>
      <c r="B31" s="71" t="s">
        <v>42</v>
      </c>
      <c r="C31" s="71"/>
      <c r="D31" s="71"/>
      <c r="E31" s="71"/>
      <c r="F31" s="71"/>
      <c r="G31" s="71"/>
      <c r="H31" s="72">
        <f>H22*0.3</f>
        <v>593.3399999999999</v>
      </c>
      <c r="I31" s="72"/>
    </row>
    <row r="32" spans="1:9" s="37" customFormat="1" ht="15.75" customHeight="1">
      <c r="A32" s="70">
        <v>13</v>
      </c>
      <c r="B32" s="71" t="s">
        <v>43</v>
      </c>
      <c r="C32" s="71"/>
      <c r="D32" s="71"/>
      <c r="E32" s="71"/>
      <c r="F32" s="71"/>
      <c r="G32" s="71"/>
      <c r="H32" s="72">
        <f>ROUND(H25/6,2)*1.3</f>
        <v>1.9500000000000002</v>
      </c>
      <c r="I32" s="72"/>
    </row>
    <row r="33" spans="1:9" s="37" customFormat="1" ht="15.75" customHeight="1">
      <c r="A33" s="70">
        <v>14</v>
      </c>
      <c r="B33" s="76" t="s">
        <v>44</v>
      </c>
      <c r="C33" s="76"/>
      <c r="D33" s="76"/>
      <c r="E33" s="76"/>
      <c r="F33" s="76"/>
      <c r="G33" s="76"/>
      <c r="H33" s="77">
        <v>2</v>
      </c>
      <c r="I33" s="77"/>
    </row>
    <row r="34" spans="1:9" s="37" customFormat="1" ht="9" customHeight="1">
      <c r="A34" s="52"/>
      <c r="B34" s="52"/>
      <c r="C34" s="52"/>
      <c r="D34" s="52"/>
      <c r="E34" s="52"/>
      <c r="F34" s="52"/>
      <c r="G34" s="52"/>
      <c r="H34" s="52"/>
      <c r="I34" s="52"/>
    </row>
    <row r="35" spans="1:9" s="37" customFormat="1" ht="24.75" customHeight="1">
      <c r="A35" s="78" t="s">
        <v>45</v>
      </c>
      <c r="B35" s="78"/>
      <c r="C35" s="78"/>
      <c r="D35" s="78"/>
      <c r="E35" s="78"/>
      <c r="F35" s="78"/>
      <c r="G35" s="78"/>
      <c r="H35" s="78"/>
      <c r="I35" s="78"/>
    </row>
    <row r="36" spans="1:9" s="37" customFormat="1" ht="9" customHeight="1">
      <c r="A36" s="79"/>
      <c r="B36" s="79"/>
      <c r="C36" s="79"/>
      <c r="D36" s="79"/>
      <c r="E36" s="79"/>
      <c r="F36" s="79"/>
      <c r="G36" s="79"/>
      <c r="H36" s="79"/>
      <c r="I36" s="79"/>
    </row>
    <row r="37" spans="1:9" s="37" customFormat="1" ht="20.25" customHeight="1">
      <c r="A37" s="80" t="s">
        <v>46</v>
      </c>
      <c r="B37" s="80"/>
      <c r="C37" s="80"/>
      <c r="D37" s="80"/>
      <c r="E37" s="80"/>
      <c r="F37" s="80"/>
      <c r="G37" s="80"/>
      <c r="H37" s="80"/>
      <c r="I37" s="80"/>
    </row>
    <row r="38" spans="1:9" s="40" customFormat="1" ht="30" customHeight="1">
      <c r="A38" s="81">
        <v>1</v>
      </c>
      <c r="B38" s="82" t="s">
        <v>47</v>
      </c>
      <c r="C38" s="82"/>
      <c r="D38" s="82"/>
      <c r="E38" s="82"/>
      <c r="F38" s="82"/>
      <c r="G38" s="82"/>
      <c r="H38" s="83" t="s">
        <v>48</v>
      </c>
      <c r="I38" s="81" t="s">
        <v>49</v>
      </c>
    </row>
    <row r="39" spans="1:9" s="37" customFormat="1" ht="27" customHeight="1">
      <c r="A39" s="49" t="s">
        <v>7</v>
      </c>
      <c r="B39" s="46" t="s">
        <v>50</v>
      </c>
      <c r="C39" s="46"/>
      <c r="D39" s="46"/>
      <c r="E39" s="46"/>
      <c r="F39" s="46"/>
      <c r="G39" s="46"/>
      <c r="H39" s="46"/>
      <c r="I39" s="113">
        <f>H22*H33</f>
        <v>3955.6</v>
      </c>
    </row>
    <row r="40" spans="1:9" s="37" customFormat="1" ht="36" customHeight="1">
      <c r="A40" s="49" t="s">
        <v>10</v>
      </c>
      <c r="B40" s="84" t="s">
        <v>51</v>
      </c>
      <c r="C40" s="85"/>
      <c r="D40" s="85"/>
      <c r="E40" s="85"/>
      <c r="F40" s="85"/>
      <c r="G40" s="86"/>
      <c r="H40" s="87">
        <v>0.3</v>
      </c>
      <c r="I40" s="113">
        <f>ROUND(I39*H40,2)</f>
        <v>1186.68</v>
      </c>
    </row>
    <row r="41" spans="1:9" s="37" customFormat="1" ht="40.5" customHeight="1">
      <c r="A41" s="49" t="s">
        <v>13</v>
      </c>
      <c r="B41" s="88" t="s">
        <v>52</v>
      </c>
      <c r="C41" s="89"/>
      <c r="D41" s="89"/>
      <c r="E41" s="89"/>
      <c r="F41" s="89"/>
      <c r="G41" s="89"/>
      <c r="H41" s="90"/>
      <c r="I41" s="113">
        <f>(H29*7*15*2)</f>
        <v>489.30000000000007</v>
      </c>
    </row>
    <row r="42" spans="1:9" s="37" customFormat="1" ht="40.5" customHeight="1">
      <c r="A42" s="49" t="s">
        <v>16</v>
      </c>
      <c r="B42" s="88" t="s">
        <v>53</v>
      </c>
      <c r="C42" s="89"/>
      <c r="D42" s="89"/>
      <c r="E42" s="89"/>
      <c r="F42" s="89"/>
      <c r="G42" s="89"/>
      <c r="H42" s="90"/>
      <c r="I42" s="113">
        <f>H29*1*15*2</f>
        <v>69.9</v>
      </c>
    </row>
    <row r="43" spans="1:9" s="37" customFormat="1" ht="51" customHeight="1">
      <c r="A43" s="49" t="s">
        <v>54</v>
      </c>
      <c r="B43" s="91" t="s">
        <v>55</v>
      </c>
      <c r="C43" s="92"/>
      <c r="D43" s="92"/>
      <c r="E43" s="92"/>
      <c r="F43" s="92"/>
      <c r="G43" s="92"/>
      <c r="H43" s="93"/>
      <c r="I43" s="113">
        <f>ROUND(H31*(((12*15)+15)-((44/6)*26))*H28,2)*0+ROUND(2*4.33*H28,2)</f>
        <v>151.81</v>
      </c>
    </row>
    <row r="44" spans="1:9" s="37" customFormat="1" ht="30" customHeight="1">
      <c r="A44" s="49" t="s">
        <v>56</v>
      </c>
      <c r="B44" s="91" t="s">
        <v>57</v>
      </c>
      <c r="C44" s="92"/>
      <c r="D44" s="92"/>
      <c r="E44" s="92"/>
      <c r="F44" s="92"/>
      <c r="G44" s="92"/>
      <c r="H44" s="93"/>
      <c r="I44" s="113">
        <f>ROUND(H32*H33*15,2)</f>
        <v>58.5</v>
      </c>
    </row>
    <row r="45" spans="1:9" s="37" customFormat="1" ht="36" customHeight="1">
      <c r="A45" s="49" t="s">
        <v>58</v>
      </c>
      <c r="B45" s="88" t="s">
        <v>59</v>
      </c>
      <c r="C45" s="89"/>
      <c r="D45" s="89"/>
      <c r="E45" s="89"/>
      <c r="F45" s="89"/>
      <c r="G45" s="89"/>
      <c r="H45" s="90"/>
      <c r="I45" s="113">
        <f>ROUND(SUM(I41:I44)*0.2,2)</f>
        <v>153.9</v>
      </c>
    </row>
    <row r="46" spans="1:9" s="37" customFormat="1" ht="15.75" customHeight="1">
      <c r="A46" s="49" t="s">
        <v>60</v>
      </c>
      <c r="B46" s="46" t="s">
        <v>61</v>
      </c>
      <c r="C46" s="46"/>
      <c r="D46" s="46"/>
      <c r="E46" s="46"/>
      <c r="F46" s="46"/>
      <c r="G46" s="46"/>
      <c r="H46" s="46"/>
      <c r="I46" s="114" t="s">
        <v>62</v>
      </c>
    </row>
    <row r="47" spans="1:9" s="37" customFormat="1" ht="46.5" customHeight="1">
      <c r="A47" s="62" t="s">
        <v>63</v>
      </c>
      <c r="B47" s="62"/>
      <c r="C47" s="62"/>
      <c r="D47" s="62"/>
      <c r="E47" s="62"/>
      <c r="F47" s="62"/>
      <c r="G47" s="62"/>
      <c r="H47" s="62"/>
      <c r="I47" s="115">
        <f>SUM(I39:I46)</f>
        <v>6065.69</v>
      </c>
    </row>
    <row r="48" spans="1:9" s="37" customFormat="1" ht="7.5" customHeight="1">
      <c r="A48" s="94"/>
      <c r="B48" s="94"/>
      <c r="C48" s="94"/>
      <c r="D48" s="94"/>
      <c r="E48" s="94"/>
      <c r="F48" s="94"/>
      <c r="G48" s="94"/>
      <c r="H48" s="94"/>
      <c r="I48" s="116"/>
    </row>
    <row r="49" spans="1:9" s="37" customFormat="1" ht="29.25" customHeight="1">
      <c r="A49" s="49" t="s">
        <v>64</v>
      </c>
      <c r="B49" s="46" t="s">
        <v>65</v>
      </c>
      <c r="C49" s="46"/>
      <c r="D49" s="46"/>
      <c r="E49" s="46"/>
      <c r="F49" s="46"/>
      <c r="G49" s="46"/>
      <c r="H49" s="46"/>
      <c r="I49" s="113">
        <f>ROUND(H27*15*H33*0.5,2)</f>
        <v>202.2</v>
      </c>
    </row>
    <row r="50" spans="1:9" s="37" customFormat="1" ht="49.5" customHeight="1">
      <c r="A50" s="95" t="s">
        <v>66</v>
      </c>
      <c r="B50" s="95"/>
      <c r="C50" s="95"/>
      <c r="D50" s="95"/>
      <c r="E50" s="95"/>
      <c r="F50" s="95"/>
      <c r="G50" s="95"/>
      <c r="H50" s="95"/>
      <c r="I50" s="115">
        <f>I49</f>
        <v>202.2</v>
      </c>
    </row>
    <row r="51" spans="1:9" s="37" customFormat="1" ht="11.25" customHeight="1">
      <c r="A51" s="60"/>
      <c r="B51" s="60"/>
      <c r="C51" s="60"/>
      <c r="D51" s="60"/>
      <c r="E51" s="60"/>
      <c r="F51" s="60"/>
      <c r="G51" s="60"/>
      <c r="H51" s="60"/>
      <c r="I51" s="60"/>
    </row>
    <row r="52" spans="1:9" s="37" customFormat="1" ht="35.25" customHeight="1">
      <c r="A52" s="96" t="s">
        <v>67</v>
      </c>
      <c r="B52" s="96"/>
      <c r="C52" s="96"/>
      <c r="D52" s="96"/>
      <c r="E52" s="96"/>
      <c r="F52" s="96"/>
      <c r="G52" s="96"/>
      <c r="H52" s="96"/>
      <c r="I52" s="117">
        <f>I47+I50</f>
        <v>6267.889999999999</v>
      </c>
    </row>
    <row r="53" spans="1:9" ht="10.5" customHeight="1">
      <c r="A53" s="97"/>
      <c r="B53" s="97"/>
      <c r="C53" s="97"/>
      <c r="D53" s="97"/>
      <c r="E53" s="97"/>
      <c r="F53" s="97"/>
      <c r="G53" s="97"/>
      <c r="H53" s="97"/>
      <c r="I53" s="97"/>
    </row>
    <row r="54" spans="1:9" ht="21.75" customHeight="1">
      <c r="A54" s="80" t="s">
        <v>68</v>
      </c>
      <c r="B54" s="80"/>
      <c r="C54" s="80"/>
      <c r="D54" s="80"/>
      <c r="E54" s="80"/>
      <c r="F54" s="80"/>
      <c r="G54" s="80"/>
      <c r="H54" s="80"/>
      <c r="I54" s="80"/>
    </row>
    <row r="55" spans="1:9" ht="25.5" customHeight="1">
      <c r="A55" s="98" t="s">
        <v>69</v>
      </c>
      <c r="B55" s="98"/>
      <c r="C55" s="98"/>
      <c r="D55" s="98"/>
      <c r="E55" s="98"/>
      <c r="F55" s="98"/>
      <c r="G55" s="98"/>
      <c r="H55" s="98"/>
      <c r="I55" s="98"/>
    </row>
    <row r="56" spans="1:9" ht="25.5" customHeight="1">
      <c r="A56" s="99" t="s">
        <v>70</v>
      </c>
      <c r="B56" s="99" t="s">
        <v>71</v>
      </c>
      <c r="C56" s="99"/>
      <c r="D56" s="99"/>
      <c r="E56" s="99"/>
      <c r="F56" s="99"/>
      <c r="G56" s="99"/>
      <c r="H56" s="99"/>
      <c r="I56" s="51" t="s">
        <v>72</v>
      </c>
    </row>
    <row r="57" spans="1:9" ht="25.5" customHeight="1">
      <c r="A57" s="99" t="s">
        <v>7</v>
      </c>
      <c r="B57" s="100" t="s">
        <v>73</v>
      </c>
      <c r="C57" s="100"/>
      <c r="D57" s="100"/>
      <c r="E57" s="100"/>
      <c r="F57" s="100"/>
      <c r="G57" s="100"/>
      <c r="H57" s="87">
        <v>0.0833</v>
      </c>
      <c r="I57" s="118">
        <f>ROUND(I47*H57,2)</f>
        <v>505.27</v>
      </c>
    </row>
    <row r="58" spans="1:9" ht="39" customHeight="1">
      <c r="A58" s="99" t="s">
        <v>10</v>
      </c>
      <c r="B58" s="101" t="s">
        <v>74</v>
      </c>
      <c r="C58" s="102"/>
      <c r="D58" s="102"/>
      <c r="E58" s="102"/>
      <c r="F58" s="102"/>
      <c r="G58" s="102"/>
      <c r="H58" s="103">
        <v>0.03025</v>
      </c>
      <c r="I58" s="118">
        <f>ROUND(I47*H58,2)</f>
        <v>183.49</v>
      </c>
    </row>
    <row r="59" spans="1:9" ht="19.5" customHeight="1">
      <c r="A59" s="104" t="s">
        <v>75</v>
      </c>
      <c r="B59" s="104"/>
      <c r="C59" s="104"/>
      <c r="D59" s="104"/>
      <c r="E59" s="104"/>
      <c r="F59" s="104"/>
      <c r="G59" s="104"/>
      <c r="H59" s="104"/>
      <c r="I59" s="119">
        <f>SUM(I57+I58)</f>
        <v>688.76</v>
      </c>
    </row>
    <row r="60" spans="1:9" s="41" customFormat="1" ht="32.25" customHeight="1">
      <c r="A60" s="100" t="s">
        <v>76</v>
      </c>
      <c r="B60" s="100"/>
      <c r="C60" s="100"/>
      <c r="D60" s="100"/>
      <c r="E60" s="100"/>
      <c r="F60" s="100"/>
      <c r="G60" s="100"/>
      <c r="H60" s="100"/>
      <c r="I60" s="100"/>
    </row>
    <row r="61" spans="1:9" s="41" customFormat="1" ht="30" customHeight="1">
      <c r="A61" s="105" t="s">
        <v>77</v>
      </c>
      <c r="B61" s="54" t="s">
        <v>78</v>
      </c>
      <c r="C61" s="54"/>
      <c r="D61" s="54"/>
      <c r="E61" s="54"/>
      <c r="F61" s="54"/>
      <c r="G61" s="54"/>
      <c r="H61" s="54" t="s">
        <v>48</v>
      </c>
      <c r="I61" s="54" t="s">
        <v>79</v>
      </c>
    </row>
    <row r="62" spans="1:9" s="41" customFormat="1" ht="15.75" customHeight="1">
      <c r="A62" s="106" t="s">
        <v>7</v>
      </c>
      <c r="B62" s="56" t="s">
        <v>80</v>
      </c>
      <c r="C62" s="56"/>
      <c r="D62" s="56"/>
      <c r="E62" s="56"/>
      <c r="F62" s="56"/>
      <c r="G62" s="56"/>
      <c r="H62" s="107">
        <v>0.2</v>
      </c>
      <c r="I62" s="120">
        <f>ROUND(($I$47+$I$50+$I$59)*H62,2)</f>
        <v>1391.33</v>
      </c>
    </row>
    <row r="63" spans="1:9" s="41" customFormat="1" ht="15.75" customHeight="1">
      <c r="A63" s="106" t="s">
        <v>10</v>
      </c>
      <c r="B63" s="46" t="s">
        <v>81</v>
      </c>
      <c r="C63" s="46"/>
      <c r="D63" s="46"/>
      <c r="E63" s="46"/>
      <c r="F63" s="46"/>
      <c r="G63" s="46"/>
      <c r="H63" s="108">
        <v>0.025</v>
      </c>
      <c r="I63" s="120">
        <f aca="true" t="shared" si="0" ref="I63:I69">ROUND(($I$47+$I$50+$I$59)*H63,2)</f>
        <v>173.92</v>
      </c>
    </row>
    <row r="64" spans="1:9" s="41" customFormat="1" ht="48.75" customHeight="1">
      <c r="A64" s="106" t="s">
        <v>13</v>
      </c>
      <c r="B64" s="46" t="s">
        <v>82</v>
      </c>
      <c r="C64" s="46"/>
      <c r="D64" s="109" t="s">
        <v>83</v>
      </c>
      <c r="E64" s="110">
        <v>0.03</v>
      </c>
      <c r="F64" s="109" t="s">
        <v>84</v>
      </c>
      <c r="G64" s="111">
        <v>1</v>
      </c>
      <c r="H64" s="112">
        <f>ROUND((E64*G64),6)</f>
        <v>0.03</v>
      </c>
      <c r="I64" s="120">
        <f t="shared" si="0"/>
        <v>208.7</v>
      </c>
    </row>
    <row r="65" spans="1:9" s="41" customFormat="1" ht="15.75" customHeight="1">
      <c r="A65" s="106" t="s">
        <v>16</v>
      </c>
      <c r="B65" s="56" t="s">
        <v>85</v>
      </c>
      <c r="C65" s="56"/>
      <c r="D65" s="56"/>
      <c r="E65" s="56"/>
      <c r="F65" s="56"/>
      <c r="G65" s="56"/>
      <c r="H65" s="107">
        <v>0.015</v>
      </c>
      <c r="I65" s="120">
        <f t="shared" si="0"/>
        <v>104.35</v>
      </c>
    </row>
    <row r="66" spans="1:9" s="41" customFormat="1" ht="15.75" customHeight="1">
      <c r="A66" s="106" t="s">
        <v>54</v>
      </c>
      <c r="B66" s="56" t="s">
        <v>86</v>
      </c>
      <c r="C66" s="56"/>
      <c r="D66" s="56"/>
      <c r="E66" s="56"/>
      <c r="F66" s="56"/>
      <c r="G66" s="56"/>
      <c r="H66" s="107">
        <v>0.01</v>
      </c>
      <c r="I66" s="120">
        <f t="shared" si="0"/>
        <v>69.57</v>
      </c>
    </row>
    <row r="67" spans="1:9" s="41" customFormat="1" ht="15.75" customHeight="1">
      <c r="A67" s="106" t="s">
        <v>56</v>
      </c>
      <c r="B67" s="46" t="s">
        <v>87</v>
      </c>
      <c r="C67" s="46"/>
      <c r="D67" s="46"/>
      <c r="E67" s="46"/>
      <c r="F67" s="46"/>
      <c r="G67" s="46"/>
      <c r="H67" s="108">
        <v>0.006</v>
      </c>
      <c r="I67" s="120">
        <f t="shared" si="0"/>
        <v>41.74</v>
      </c>
    </row>
    <row r="68" spans="1:9" ht="20.25" customHeight="1">
      <c r="A68" s="106" t="s">
        <v>58</v>
      </c>
      <c r="B68" s="56" t="s">
        <v>88</v>
      </c>
      <c r="C68" s="56"/>
      <c r="D68" s="56"/>
      <c r="E68" s="56"/>
      <c r="F68" s="56"/>
      <c r="G68" s="56"/>
      <c r="H68" s="107">
        <v>0.002</v>
      </c>
      <c r="I68" s="120">
        <f t="shared" si="0"/>
        <v>13.91</v>
      </c>
    </row>
    <row r="69" spans="1:9" ht="15.75" customHeight="1">
      <c r="A69" s="106" t="s">
        <v>60</v>
      </c>
      <c r="B69" s="46" t="s">
        <v>89</v>
      </c>
      <c r="C69" s="46"/>
      <c r="D69" s="46"/>
      <c r="E69" s="46"/>
      <c r="F69" s="46"/>
      <c r="G69" s="46"/>
      <c r="H69" s="108">
        <v>0.08</v>
      </c>
      <c r="I69" s="120">
        <f t="shared" si="0"/>
        <v>556.53</v>
      </c>
    </row>
    <row r="70" spans="1:9" ht="15.75" customHeight="1">
      <c r="A70" s="104" t="s">
        <v>75</v>
      </c>
      <c r="B70" s="104"/>
      <c r="C70" s="104"/>
      <c r="D70" s="104"/>
      <c r="E70" s="104"/>
      <c r="F70" s="104"/>
      <c r="G70" s="104"/>
      <c r="H70" s="121">
        <f>SUM(H62:H69)</f>
        <v>0.36800000000000005</v>
      </c>
      <c r="I70" s="172">
        <f>SUM(I62:I69)</f>
        <v>2560.05</v>
      </c>
    </row>
    <row r="71" spans="1:9" ht="8.25" customHeight="1">
      <c r="A71" s="122"/>
      <c r="B71" s="123"/>
      <c r="C71" s="123"/>
      <c r="D71" s="123"/>
      <c r="E71" s="123"/>
      <c r="F71" s="123"/>
      <c r="G71" s="123"/>
      <c r="H71" s="124"/>
      <c r="I71" s="173"/>
    </row>
    <row r="72" spans="1:9" ht="42.75" customHeight="1">
      <c r="A72" s="125" t="s">
        <v>90</v>
      </c>
      <c r="B72" s="125"/>
      <c r="C72" s="125"/>
      <c r="D72" s="125"/>
      <c r="E72" s="125"/>
      <c r="F72" s="125"/>
      <c r="G72" s="125"/>
      <c r="H72" s="125"/>
      <c r="I72" s="125"/>
    </row>
    <row r="73" spans="1:9" ht="7.5" customHeight="1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8" customHeight="1">
      <c r="A74" s="80" t="s">
        <v>91</v>
      </c>
      <c r="B74" s="80"/>
      <c r="C74" s="80"/>
      <c r="D74" s="80"/>
      <c r="E74" s="80"/>
      <c r="F74" s="80"/>
      <c r="G74" s="80"/>
      <c r="H74" s="80"/>
      <c r="I74" s="80"/>
    </row>
    <row r="75" spans="1:9" ht="18.75" customHeight="1">
      <c r="A75" s="126" t="s">
        <v>92</v>
      </c>
      <c r="B75" s="54" t="s">
        <v>93</v>
      </c>
      <c r="C75" s="54"/>
      <c r="D75" s="54"/>
      <c r="E75" s="54"/>
      <c r="F75" s="54"/>
      <c r="G75" s="54"/>
      <c r="H75" s="54"/>
      <c r="I75" s="54" t="s">
        <v>72</v>
      </c>
    </row>
    <row r="76" spans="1:9" ht="15.75" customHeight="1">
      <c r="A76" s="99" t="s">
        <v>7</v>
      </c>
      <c r="B76" s="88" t="s">
        <v>94</v>
      </c>
      <c r="C76" s="88"/>
      <c r="D76" s="88"/>
      <c r="E76" s="88"/>
      <c r="F76" s="88"/>
      <c r="G76" s="88"/>
      <c r="H76" s="88"/>
      <c r="I76" s="174">
        <f>IF(ROUND((H79*H77*H78)-($I$39*H80),2)&lt;0,0,ROUND((H79*H77*H78)-($I$39*H80),2))</f>
        <v>242.66</v>
      </c>
    </row>
    <row r="77" spans="1:9" ht="22.5" customHeight="1">
      <c r="A77" s="99"/>
      <c r="B77" s="88" t="s">
        <v>95</v>
      </c>
      <c r="C77" s="88"/>
      <c r="D77" s="88"/>
      <c r="E77" s="88"/>
      <c r="F77" s="88"/>
      <c r="G77" s="88"/>
      <c r="H77" s="127">
        <v>8</v>
      </c>
      <c r="I77" s="175" t="s">
        <v>62</v>
      </c>
    </row>
    <row r="78" spans="1:9" ht="17.25" customHeight="1">
      <c r="A78" s="99"/>
      <c r="B78" s="128" t="s">
        <v>96</v>
      </c>
      <c r="C78" s="128"/>
      <c r="D78" s="128"/>
      <c r="E78" s="128"/>
      <c r="F78" s="128"/>
      <c r="G78" s="128"/>
      <c r="H78" s="129">
        <v>2</v>
      </c>
      <c r="I78" s="175"/>
    </row>
    <row r="79" spans="1:9" ht="15" customHeight="1">
      <c r="A79" s="99"/>
      <c r="B79" s="128" t="s">
        <v>97</v>
      </c>
      <c r="C79" s="128"/>
      <c r="D79" s="128"/>
      <c r="E79" s="128"/>
      <c r="F79" s="128"/>
      <c r="G79" s="128"/>
      <c r="H79" s="130">
        <v>30</v>
      </c>
      <c r="I79" s="175"/>
    </row>
    <row r="80" spans="1:9" ht="15" customHeight="1">
      <c r="A80" s="99"/>
      <c r="B80" s="131" t="s">
        <v>98</v>
      </c>
      <c r="C80" s="131"/>
      <c r="D80" s="131"/>
      <c r="E80" s="131"/>
      <c r="F80" s="131"/>
      <c r="G80" s="131"/>
      <c r="H80" s="132">
        <v>0.06</v>
      </c>
      <c r="I80" s="46"/>
    </row>
    <row r="81" spans="1:9" ht="15.75" customHeight="1">
      <c r="A81" s="99" t="s">
        <v>10</v>
      </c>
      <c r="B81" s="88" t="s">
        <v>99</v>
      </c>
      <c r="C81" s="88"/>
      <c r="D81" s="88"/>
      <c r="E81" s="88"/>
      <c r="F81" s="88"/>
      <c r="G81" s="88"/>
      <c r="H81" s="88"/>
      <c r="I81" s="174">
        <f>ROUND(H83*H82*(1-H84),2)</f>
        <v>648</v>
      </c>
    </row>
    <row r="82" spans="1:9" ht="15.75" customHeight="1">
      <c r="A82" s="99"/>
      <c r="B82" s="133" t="s">
        <v>100</v>
      </c>
      <c r="C82" s="133"/>
      <c r="D82" s="133"/>
      <c r="E82" s="133"/>
      <c r="F82" s="133"/>
      <c r="G82" s="133"/>
      <c r="H82" s="127">
        <v>27</v>
      </c>
      <c r="I82" s="175" t="s">
        <v>62</v>
      </c>
    </row>
    <row r="83" spans="1:9" ht="15.75" customHeight="1">
      <c r="A83" s="134"/>
      <c r="B83" s="133" t="s">
        <v>101</v>
      </c>
      <c r="C83" s="133"/>
      <c r="D83" s="133"/>
      <c r="E83" s="133"/>
      <c r="F83" s="133"/>
      <c r="G83" s="133"/>
      <c r="H83" s="135">
        <v>30</v>
      </c>
      <c r="I83" s="175"/>
    </row>
    <row r="84" spans="1:9" ht="15.75" customHeight="1">
      <c r="A84" s="134"/>
      <c r="B84" s="136" t="s">
        <v>102</v>
      </c>
      <c r="C84" s="136"/>
      <c r="D84" s="136"/>
      <c r="E84" s="136"/>
      <c r="F84" s="136"/>
      <c r="G84" s="136"/>
      <c r="H84" s="137">
        <v>0.2</v>
      </c>
      <c r="I84" s="175"/>
    </row>
    <row r="85" spans="1:9" s="38" customFormat="1" ht="21.75" customHeight="1">
      <c r="A85" s="99" t="s">
        <v>13</v>
      </c>
      <c r="B85" s="138" t="s">
        <v>103</v>
      </c>
      <c r="C85" s="138"/>
      <c r="D85" s="138"/>
      <c r="E85" s="138"/>
      <c r="F85" s="138"/>
      <c r="G85" s="138"/>
      <c r="H85" s="138"/>
      <c r="I85" s="120">
        <f>ROUND(I47*26*0.00023,2)</f>
        <v>36.27</v>
      </c>
    </row>
    <row r="86" spans="1:9" s="38" customFormat="1" ht="21.75" customHeight="1">
      <c r="A86" s="99" t="s">
        <v>16</v>
      </c>
      <c r="B86" s="56" t="s">
        <v>104</v>
      </c>
      <c r="C86" s="56"/>
      <c r="D86" s="56"/>
      <c r="E86" s="56"/>
      <c r="F86" s="56"/>
      <c r="G86" s="56"/>
      <c r="H86" s="56"/>
      <c r="I86" s="120">
        <f>ROUND((I39*0.0052066)/12,2)</f>
        <v>1.72</v>
      </c>
    </row>
    <row r="87" spans="1:9" ht="15.75" customHeight="1">
      <c r="A87" s="99" t="s">
        <v>54</v>
      </c>
      <c r="B87" s="139" t="s">
        <v>105</v>
      </c>
      <c r="C87" s="139"/>
      <c r="D87" s="139"/>
      <c r="E87" s="139"/>
      <c r="F87" s="139"/>
      <c r="G87" s="139"/>
      <c r="H87" s="139"/>
      <c r="I87" s="176" t="s">
        <v>62</v>
      </c>
    </row>
    <row r="88" spans="1:9" ht="15.75" customHeight="1">
      <c r="A88" s="140"/>
      <c r="B88" s="104" t="s">
        <v>106</v>
      </c>
      <c r="C88" s="104"/>
      <c r="D88" s="104"/>
      <c r="E88" s="104"/>
      <c r="F88" s="104"/>
      <c r="G88" s="104"/>
      <c r="H88" s="104"/>
      <c r="I88" s="172">
        <f>SUM(I76:I86)</f>
        <v>928.65</v>
      </c>
    </row>
    <row r="89" spans="1:9" ht="7.5" customHeight="1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36" customHeight="1">
      <c r="A90" s="78" t="s">
        <v>107</v>
      </c>
      <c r="B90" s="78"/>
      <c r="C90" s="78"/>
      <c r="D90" s="78"/>
      <c r="E90" s="78"/>
      <c r="F90" s="78"/>
      <c r="G90" s="78"/>
      <c r="H90" s="78"/>
      <c r="I90" s="78"/>
    </row>
    <row r="91" spans="1:9" ht="7.5" customHeight="1">
      <c r="A91" s="60"/>
      <c r="B91" s="60"/>
      <c r="C91" s="60"/>
      <c r="D91" s="60"/>
      <c r="E91" s="60"/>
      <c r="F91" s="60"/>
      <c r="G91" s="60"/>
      <c r="H91" s="60"/>
      <c r="I91" s="60"/>
    </row>
    <row r="92" spans="1:9" ht="21.75" customHeight="1">
      <c r="A92" s="56" t="s">
        <v>108</v>
      </c>
      <c r="B92" s="56"/>
      <c r="C92" s="56"/>
      <c r="D92" s="56"/>
      <c r="E92" s="56"/>
      <c r="F92" s="56"/>
      <c r="G92" s="56"/>
      <c r="H92" s="56"/>
      <c r="I92" s="56"/>
    </row>
    <row r="93" spans="1:9" ht="23.25" customHeight="1">
      <c r="A93" s="54">
        <v>2</v>
      </c>
      <c r="B93" s="54" t="s">
        <v>109</v>
      </c>
      <c r="C93" s="54"/>
      <c r="D93" s="54"/>
      <c r="E93" s="54"/>
      <c r="F93" s="54"/>
      <c r="G93" s="54"/>
      <c r="H93" s="54"/>
      <c r="I93" s="54" t="s">
        <v>72</v>
      </c>
    </row>
    <row r="94" spans="1:9" ht="21.75" customHeight="1">
      <c r="A94" s="51" t="s">
        <v>70</v>
      </c>
      <c r="B94" s="56" t="s">
        <v>110</v>
      </c>
      <c r="C94" s="56"/>
      <c r="D94" s="56"/>
      <c r="E94" s="56"/>
      <c r="F94" s="56"/>
      <c r="G94" s="56"/>
      <c r="H94" s="56"/>
      <c r="I94" s="118">
        <f>I59</f>
        <v>688.76</v>
      </c>
    </row>
    <row r="95" spans="1:9" ht="18.75" customHeight="1">
      <c r="A95" s="51" t="s">
        <v>77</v>
      </c>
      <c r="B95" s="56" t="s">
        <v>78</v>
      </c>
      <c r="C95" s="56"/>
      <c r="D95" s="56"/>
      <c r="E95" s="56"/>
      <c r="F95" s="56"/>
      <c r="G95" s="56"/>
      <c r="H95" s="56"/>
      <c r="I95" s="177">
        <f>I70</f>
        <v>2560.05</v>
      </c>
    </row>
    <row r="96" spans="1:9" ht="21.75" customHeight="1">
      <c r="A96" s="51" t="s">
        <v>92</v>
      </c>
      <c r="B96" s="56" t="s">
        <v>93</v>
      </c>
      <c r="C96" s="56"/>
      <c r="D96" s="56"/>
      <c r="E96" s="56"/>
      <c r="F96" s="56"/>
      <c r="G96" s="56"/>
      <c r="H96" s="56"/>
      <c r="I96" s="118">
        <f>I88</f>
        <v>928.65</v>
      </c>
    </row>
    <row r="97" spans="1:9" ht="21.75" customHeight="1">
      <c r="A97" s="141" t="s">
        <v>75</v>
      </c>
      <c r="B97" s="141"/>
      <c r="C97" s="141"/>
      <c r="D97" s="141"/>
      <c r="E97" s="141"/>
      <c r="F97" s="141"/>
      <c r="G97" s="141"/>
      <c r="H97" s="141"/>
      <c r="I97" s="178">
        <f>SUM(I94+I95+I96)</f>
        <v>4177.46</v>
      </c>
    </row>
    <row r="98" spans="1:9" ht="12" customHeight="1">
      <c r="A98" s="142"/>
      <c r="B98" s="142"/>
      <c r="C98" s="142"/>
      <c r="D98" s="142"/>
      <c r="E98" s="142"/>
      <c r="F98" s="142"/>
      <c r="G98" s="142"/>
      <c r="H98" s="142"/>
      <c r="I98" s="142"/>
    </row>
    <row r="99" spans="1:9" s="41" customFormat="1" ht="26.25" customHeight="1">
      <c r="A99" s="80" t="s">
        <v>111</v>
      </c>
      <c r="B99" s="80"/>
      <c r="C99" s="80"/>
      <c r="D99" s="80"/>
      <c r="E99" s="80"/>
      <c r="F99" s="80"/>
      <c r="G99" s="80"/>
      <c r="H99" s="80"/>
      <c r="I99" s="80"/>
    </row>
    <row r="100" spans="1:9" s="41" customFormat="1" ht="28.5" customHeight="1">
      <c r="A100" s="126">
        <v>3</v>
      </c>
      <c r="B100" s="126" t="s">
        <v>112</v>
      </c>
      <c r="C100" s="126"/>
      <c r="D100" s="126"/>
      <c r="E100" s="126"/>
      <c r="F100" s="126"/>
      <c r="G100" s="126"/>
      <c r="H100" s="126"/>
      <c r="I100" s="126" t="s">
        <v>113</v>
      </c>
    </row>
    <row r="101" spans="1:9" s="41" customFormat="1" ht="69.75" customHeight="1">
      <c r="A101" s="99" t="s">
        <v>7</v>
      </c>
      <c r="B101" s="56" t="s">
        <v>114</v>
      </c>
      <c r="C101" s="56"/>
      <c r="D101" s="56"/>
      <c r="E101" s="56"/>
      <c r="F101" s="56"/>
      <c r="G101" s="56"/>
      <c r="H101" s="56"/>
      <c r="I101" s="120">
        <f>ROUND(((I47/12)+(I57/12)+(I47*0.121/12))*(30/30)*0.05,2)</f>
        <v>30.44</v>
      </c>
    </row>
    <row r="102" spans="1:9" s="41" customFormat="1" ht="15.75" customHeight="1">
      <c r="A102" s="99" t="s">
        <v>10</v>
      </c>
      <c r="B102" s="80" t="s">
        <v>115</v>
      </c>
      <c r="C102" s="80"/>
      <c r="D102" s="80"/>
      <c r="E102" s="80"/>
      <c r="F102" s="80"/>
      <c r="G102" s="80"/>
      <c r="H102" s="80"/>
      <c r="I102" s="120">
        <f>ROUND($I$101*H69,2)</f>
        <v>2.44</v>
      </c>
    </row>
    <row r="103" spans="1:9" s="41" customFormat="1" ht="44.25" customHeight="1">
      <c r="A103" s="99" t="s">
        <v>13</v>
      </c>
      <c r="B103" s="56" t="s">
        <v>116</v>
      </c>
      <c r="C103" s="56"/>
      <c r="D103" s="56"/>
      <c r="E103" s="56"/>
      <c r="F103" s="56"/>
      <c r="G103" s="56"/>
      <c r="H103" s="56"/>
      <c r="I103" s="120">
        <f>ROUND((((I47/30)*7)/12)*1*30/30,2)</f>
        <v>117.94</v>
      </c>
    </row>
    <row r="104" spans="1:9" s="41" customFormat="1" ht="15.75" customHeight="1">
      <c r="A104" s="99" t="s">
        <v>16</v>
      </c>
      <c r="B104" s="80" t="s">
        <v>117</v>
      </c>
      <c r="C104" s="80"/>
      <c r="D104" s="80"/>
      <c r="E104" s="80"/>
      <c r="F104" s="80"/>
      <c r="G104" s="80"/>
      <c r="H104" s="80"/>
      <c r="I104" s="120">
        <f>ROUND($H$70*I103,2)</f>
        <v>43.4</v>
      </c>
    </row>
    <row r="105" spans="1:9" s="41" customFormat="1" ht="30.75" customHeight="1">
      <c r="A105" s="99" t="s">
        <v>54</v>
      </c>
      <c r="B105" s="56" t="s">
        <v>118</v>
      </c>
      <c r="C105" s="56"/>
      <c r="D105" s="56"/>
      <c r="E105" s="56"/>
      <c r="F105" s="56"/>
      <c r="G105" s="56"/>
      <c r="H105" s="143">
        <v>0.04</v>
      </c>
      <c r="I105" s="120">
        <f>ROUND(I47*H105,2)</f>
        <v>242.63</v>
      </c>
    </row>
    <row r="106" spans="1:9" s="41" customFormat="1" ht="15.75" customHeight="1">
      <c r="A106" s="104" t="s">
        <v>75</v>
      </c>
      <c r="B106" s="104"/>
      <c r="C106" s="104"/>
      <c r="D106" s="104"/>
      <c r="E106" s="104"/>
      <c r="F106" s="104"/>
      <c r="G106" s="104"/>
      <c r="H106" s="104"/>
      <c r="I106" s="172">
        <f>SUM(I101:I105)</f>
        <v>436.85</v>
      </c>
    </row>
    <row r="107" spans="1:9" s="41" customFormat="1" ht="48" customHeight="1">
      <c r="A107" s="125" t="s">
        <v>119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24" customHeight="1">
      <c r="A108" s="56" t="s">
        <v>120</v>
      </c>
      <c r="B108" s="56"/>
      <c r="C108" s="56"/>
      <c r="D108" s="56"/>
      <c r="E108" s="56"/>
      <c r="F108" s="56"/>
      <c r="G108" s="56"/>
      <c r="H108" s="56"/>
      <c r="I108" s="56"/>
    </row>
    <row r="109" spans="1:9" s="42" customFormat="1" ht="27" customHeight="1">
      <c r="A109" s="125" t="s">
        <v>121</v>
      </c>
      <c r="B109" s="125"/>
      <c r="C109" s="125"/>
      <c r="D109" s="125"/>
      <c r="E109" s="125"/>
      <c r="F109" s="125"/>
      <c r="G109" s="125"/>
      <c r="H109" s="125"/>
      <c r="I109" s="125"/>
    </row>
    <row r="110" spans="1:9" ht="61.5" customHeight="1">
      <c r="A110" s="145" t="s">
        <v>122</v>
      </c>
      <c r="B110" s="145"/>
      <c r="C110" s="145"/>
      <c r="D110" s="145"/>
      <c r="E110" s="145"/>
      <c r="F110" s="145"/>
      <c r="G110" s="145"/>
      <c r="H110" s="145"/>
      <c r="I110" s="145"/>
    </row>
    <row r="111" spans="1:9" ht="8.25" customHeight="1">
      <c r="A111" s="146"/>
      <c r="B111" s="146"/>
      <c r="C111" s="146"/>
      <c r="D111" s="146"/>
      <c r="E111" s="146"/>
      <c r="F111" s="146"/>
      <c r="G111" s="146"/>
      <c r="H111" s="146"/>
      <c r="I111" s="146"/>
    </row>
    <row r="112" spans="1:9" ht="52.5" customHeight="1">
      <c r="A112" s="147" t="s">
        <v>123</v>
      </c>
      <c r="B112" s="148">
        <f>I47</f>
        <v>6065.69</v>
      </c>
      <c r="C112" s="149"/>
      <c r="D112" s="150" t="s">
        <v>124</v>
      </c>
      <c r="E112" s="148">
        <f>I97-I76-I81+I116</f>
        <v>4039.83</v>
      </c>
      <c r="F112" s="151"/>
      <c r="G112" s="150" t="s">
        <v>125</v>
      </c>
      <c r="H112" s="148">
        <f>I106</f>
        <v>436.85</v>
      </c>
      <c r="I112" s="179">
        <f>B112+E112+H112</f>
        <v>10542.37</v>
      </c>
    </row>
    <row r="113" spans="1:9" ht="7.5" customHeight="1">
      <c r="A113" s="152"/>
      <c r="B113" s="152"/>
      <c r="C113" s="152"/>
      <c r="D113" s="152"/>
      <c r="E113" s="152"/>
      <c r="F113" s="152"/>
      <c r="G113" s="152"/>
      <c r="H113" s="152"/>
      <c r="I113" s="152"/>
    </row>
    <row r="114" spans="1:9" ht="22.5" customHeight="1">
      <c r="A114" s="56" t="s">
        <v>126</v>
      </c>
      <c r="B114" s="56"/>
      <c r="C114" s="56"/>
      <c r="D114" s="56"/>
      <c r="E114" s="56"/>
      <c r="F114" s="56"/>
      <c r="G114" s="56"/>
      <c r="H114" s="56"/>
      <c r="I114" s="56"/>
    </row>
    <row r="115" spans="1:9" ht="15.75" customHeight="1">
      <c r="A115" s="153" t="s">
        <v>127</v>
      </c>
      <c r="B115" s="126" t="s">
        <v>128</v>
      </c>
      <c r="C115" s="126"/>
      <c r="D115" s="126"/>
      <c r="E115" s="126"/>
      <c r="F115" s="126"/>
      <c r="G115" s="126"/>
      <c r="H115" s="126"/>
      <c r="I115" s="153" t="s">
        <v>72</v>
      </c>
    </row>
    <row r="116" spans="1:9" ht="75" customHeight="1">
      <c r="A116" s="99" t="s">
        <v>7</v>
      </c>
      <c r="B116" s="154" t="s">
        <v>129</v>
      </c>
      <c r="C116" s="155"/>
      <c r="D116" s="155"/>
      <c r="E116" s="155"/>
      <c r="F116" s="155"/>
      <c r="G116" s="156">
        <v>0.09075</v>
      </c>
      <c r="H116" s="157">
        <f>H70</f>
        <v>0.36800000000000005</v>
      </c>
      <c r="I116" s="120">
        <f>ROUND(B112*G116+B112*G116*H116,2)</f>
        <v>753.03</v>
      </c>
    </row>
    <row r="117" spans="1:9" ht="15.75" customHeight="1">
      <c r="A117" s="99" t="s">
        <v>10</v>
      </c>
      <c r="B117" s="56" t="s">
        <v>130</v>
      </c>
      <c r="C117" s="56"/>
      <c r="D117" s="56"/>
      <c r="E117" s="56"/>
      <c r="F117" s="56"/>
      <c r="G117" s="56"/>
      <c r="H117" s="56"/>
      <c r="I117" s="120">
        <f>ROUND((($I$112/30)*1)/12,2)</f>
        <v>29.28</v>
      </c>
    </row>
    <row r="118" spans="1:9" ht="24" customHeight="1">
      <c r="A118" s="99" t="s">
        <v>13</v>
      </c>
      <c r="B118" s="56" t="s">
        <v>131</v>
      </c>
      <c r="C118" s="56"/>
      <c r="D118" s="56"/>
      <c r="E118" s="56"/>
      <c r="F118" s="56"/>
      <c r="G118" s="56"/>
      <c r="H118" s="56"/>
      <c r="I118" s="120">
        <f>ROUND((($I$112/30)*5)/12*0.015,2)</f>
        <v>2.2</v>
      </c>
    </row>
    <row r="119" spans="1:9" ht="27.75" customHeight="1">
      <c r="A119" s="99" t="s">
        <v>16</v>
      </c>
      <c r="B119" s="56" t="s">
        <v>132</v>
      </c>
      <c r="C119" s="56"/>
      <c r="D119" s="56"/>
      <c r="E119" s="56"/>
      <c r="F119" s="56"/>
      <c r="G119" s="56"/>
      <c r="H119" s="56"/>
      <c r="I119" s="120">
        <f>ROUND((($I$112/30)*0.69)/12,2)</f>
        <v>20.21</v>
      </c>
    </row>
    <row r="120" spans="1:9" ht="103.5" customHeight="1">
      <c r="A120" s="158" t="s">
        <v>54</v>
      </c>
      <c r="B120" s="46" t="s">
        <v>133</v>
      </c>
      <c r="C120" s="46"/>
      <c r="D120" s="46"/>
      <c r="E120" s="46"/>
      <c r="F120" s="46"/>
      <c r="G120" s="46"/>
      <c r="H120" s="46"/>
      <c r="I120" s="174">
        <f>ROUND(((((B112*0.121)+(H70)*(B112*0.121))*(4/12)))*0.02,2)+ROUND(((H69*B112+H70*I57+I88-I76-I81+I106)*4/12)*0.02,2)</f>
        <v>14.33</v>
      </c>
    </row>
    <row r="121" spans="1:9" ht="27.75" customHeight="1">
      <c r="A121" s="159" t="s">
        <v>56</v>
      </c>
      <c r="B121" s="56" t="s">
        <v>134</v>
      </c>
      <c r="C121" s="56"/>
      <c r="D121" s="56"/>
      <c r="E121" s="56"/>
      <c r="F121" s="56"/>
      <c r="G121" s="56"/>
      <c r="H121" s="56"/>
      <c r="I121" s="120">
        <f>ROUND(((($I$112/30)*3)/12),2)</f>
        <v>87.85</v>
      </c>
    </row>
    <row r="122" spans="1:9" ht="15.75" customHeight="1">
      <c r="A122" s="104" t="s">
        <v>75</v>
      </c>
      <c r="B122" s="104"/>
      <c r="C122" s="104"/>
      <c r="D122" s="104"/>
      <c r="E122" s="104"/>
      <c r="F122" s="104"/>
      <c r="G122" s="104"/>
      <c r="H122" s="104"/>
      <c r="I122" s="180">
        <f>SUM(I116:I121)</f>
        <v>906.9000000000001</v>
      </c>
    </row>
    <row r="123" spans="1:9" ht="7.5" customHeight="1">
      <c r="A123" s="160"/>
      <c r="B123" s="161"/>
      <c r="C123" s="161"/>
      <c r="D123" s="161"/>
      <c r="E123" s="161"/>
      <c r="F123" s="161"/>
      <c r="G123" s="161"/>
      <c r="H123" s="161"/>
      <c r="I123" s="181"/>
    </row>
    <row r="124" spans="1:9" ht="23.25" customHeight="1">
      <c r="A124" s="138" t="s">
        <v>135</v>
      </c>
      <c r="B124" s="162"/>
      <c r="C124" s="162"/>
      <c r="D124" s="162"/>
      <c r="E124" s="162"/>
      <c r="F124" s="162"/>
      <c r="G124" s="162"/>
      <c r="H124" s="162"/>
      <c r="I124" s="182"/>
    </row>
    <row r="125" spans="1:9" ht="27.75" customHeight="1">
      <c r="A125" s="54">
        <v>4</v>
      </c>
      <c r="B125" s="105" t="s">
        <v>136</v>
      </c>
      <c r="C125" s="163"/>
      <c r="D125" s="163"/>
      <c r="E125" s="163"/>
      <c r="F125" s="163"/>
      <c r="G125" s="163"/>
      <c r="H125" s="164"/>
      <c r="I125" s="183" t="s">
        <v>72</v>
      </c>
    </row>
    <row r="126" spans="1:9" ht="19.5" customHeight="1">
      <c r="A126" s="51" t="s">
        <v>127</v>
      </c>
      <c r="B126" s="165" t="s">
        <v>128</v>
      </c>
      <c r="C126" s="166"/>
      <c r="D126" s="166"/>
      <c r="E126" s="166"/>
      <c r="F126" s="166"/>
      <c r="G126" s="166"/>
      <c r="H126" s="167"/>
      <c r="I126" s="120">
        <f>I122</f>
        <v>906.9000000000001</v>
      </c>
    </row>
    <row r="127" spans="1:9" ht="19.5" customHeight="1">
      <c r="A127" s="168" t="s">
        <v>75</v>
      </c>
      <c r="B127" s="169"/>
      <c r="C127" s="169"/>
      <c r="D127" s="169"/>
      <c r="E127" s="169"/>
      <c r="F127" s="169"/>
      <c r="G127" s="169"/>
      <c r="H127" s="170"/>
      <c r="I127" s="172">
        <f>I126</f>
        <v>906.9000000000001</v>
      </c>
    </row>
    <row r="128" spans="1:9" ht="9" customHeight="1">
      <c r="A128" s="171"/>
      <c r="B128" s="171"/>
      <c r="C128" s="171"/>
      <c r="D128" s="171"/>
      <c r="E128" s="171"/>
      <c r="F128" s="171"/>
      <c r="G128" s="171"/>
      <c r="H128" s="171"/>
      <c r="I128" s="171"/>
    </row>
    <row r="129" spans="1:9" ht="30" customHeight="1">
      <c r="A129" s="56" t="s">
        <v>137</v>
      </c>
      <c r="B129" s="56"/>
      <c r="C129" s="56"/>
      <c r="D129" s="56"/>
      <c r="E129" s="56"/>
      <c r="F129" s="56"/>
      <c r="G129" s="56"/>
      <c r="H129" s="56"/>
      <c r="I129" s="56"/>
    </row>
    <row r="130" spans="1:9" ht="25.5" customHeight="1">
      <c r="A130" s="126">
        <v>5</v>
      </c>
      <c r="B130" s="54" t="s">
        <v>138</v>
      </c>
      <c r="C130" s="54"/>
      <c r="D130" s="54"/>
      <c r="E130" s="54"/>
      <c r="F130" s="54"/>
      <c r="G130" s="54"/>
      <c r="H130" s="54"/>
      <c r="I130" s="126" t="s">
        <v>72</v>
      </c>
    </row>
    <row r="131" spans="1:9" ht="30.75" customHeight="1">
      <c r="A131" s="99" t="s">
        <v>7</v>
      </c>
      <c r="B131" s="46" t="s">
        <v>139</v>
      </c>
      <c r="C131" s="46"/>
      <c r="D131" s="46"/>
      <c r="E131" s="46"/>
      <c r="F131" s="46"/>
      <c r="G131" s="46"/>
      <c r="H131" s="46"/>
      <c r="I131" s="174">
        <f>ROUND(Uniforme_EPIs!I16,2)*2</f>
        <v>311.2</v>
      </c>
    </row>
    <row r="132" spans="1:9" ht="15.75" customHeight="1">
      <c r="A132" s="99" t="s">
        <v>10</v>
      </c>
      <c r="B132" s="184" t="s">
        <v>140</v>
      </c>
      <c r="C132" s="184"/>
      <c r="D132" s="184"/>
      <c r="E132" s="184"/>
      <c r="F132" s="184"/>
      <c r="G132" s="184"/>
      <c r="H132" s="184"/>
      <c r="I132" s="223">
        <f>ROUND(Uniforme_EPIs!I25,2)</f>
        <v>21.05</v>
      </c>
    </row>
    <row r="133" spans="1:9" ht="15.75" customHeight="1">
      <c r="A133" s="99" t="s">
        <v>13</v>
      </c>
      <c r="B133" s="184" t="s">
        <v>141</v>
      </c>
      <c r="C133" s="184"/>
      <c r="D133" s="184"/>
      <c r="E133" s="184"/>
      <c r="F133" s="184"/>
      <c r="G133" s="184"/>
      <c r="H133" s="184"/>
      <c r="I133" s="223">
        <f>ROUND('Relógio Ponto'!L9,2)</f>
        <v>3.09</v>
      </c>
    </row>
    <row r="134" spans="1:9" ht="15.75" customHeight="1">
      <c r="A134" s="99" t="s">
        <v>16</v>
      </c>
      <c r="B134" s="46" t="s">
        <v>142</v>
      </c>
      <c r="C134" s="46"/>
      <c r="D134" s="46"/>
      <c r="E134" s="46"/>
      <c r="F134" s="46"/>
      <c r="G134" s="46"/>
      <c r="H134" s="46"/>
      <c r="I134" s="223">
        <v>0</v>
      </c>
    </row>
    <row r="135" spans="1:9" ht="15.75" customHeight="1">
      <c r="A135" s="104" t="s">
        <v>106</v>
      </c>
      <c r="B135" s="104"/>
      <c r="C135" s="104"/>
      <c r="D135" s="104"/>
      <c r="E135" s="104"/>
      <c r="F135" s="104"/>
      <c r="G135" s="104"/>
      <c r="H135" s="104"/>
      <c r="I135" s="178">
        <f>SUM(I131:I134)</f>
        <v>335.34</v>
      </c>
    </row>
    <row r="136" spans="1:9" ht="8.25" customHeight="1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s="41" customFormat="1" ht="29.25" customHeight="1">
      <c r="A137" s="80" t="s">
        <v>143</v>
      </c>
      <c r="B137" s="80"/>
      <c r="C137" s="80"/>
      <c r="D137" s="80"/>
      <c r="E137" s="80"/>
      <c r="F137" s="80"/>
      <c r="G137" s="80"/>
      <c r="H137" s="80"/>
      <c r="I137" s="80"/>
    </row>
    <row r="138" spans="1:9" ht="32.25" customHeight="1">
      <c r="A138" s="126">
        <v>6</v>
      </c>
      <c r="B138" s="126" t="s">
        <v>144</v>
      </c>
      <c r="C138" s="126"/>
      <c r="D138" s="126"/>
      <c r="E138" s="126"/>
      <c r="F138" s="126"/>
      <c r="G138" s="126"/>
      <c r="H138" s="54" t="s">
        <v>48</v>
      </c>
      <c r="I138" s="224" t="s">
        <v>145</v>
      </c>
    </row>
    <row r="139" spans="1:9" ht="51" customHeight="1">
      <c r="A139" s="185" t="s">
        <v>146</v>
      </c>
      <c r="B139" s="185"/>
      <c r="C139" s="185"/>
      <c r="D139" s="185"/>
      <c r="E139" s="185"/>
      <c r="F139" s="185"/>
      <c r="G139" s="185"/>
      <c r="H139" s="186" t="s">
        <v>62</v>
      </c>
      <c r="I139" s="225">
        <f>SUM(I52+I97+I106+I127+I135)</f>
        <v>12124.439999999999</v>
      </c>
    </row>
    <row r="140" spans="1:9" ht="15.75" customHeight="1">
      <c r="A140" s="99" t="s">
        <v>7</v>
      </c>
      <c r="B140" s="184" t="s">
        <v>147</v>
      </c>
      <c r="C140" s="184"/>
      <c r="D140" s="184"/>
      <c r="E140" s="184"/>
      <c r="F140" s="184"/>
      <c r="G140" s="184"/>
      <c r="H140" s="108">
        <v>0.03</v>
      </c>
      <c r="I140" s="120">
        <f>ROUND(H140*I139,2)</f>
        <v>363.73</v>
      </c>
    </row>
    <row r="141" spans="1:9" ht="48" customHeight="1">
      <c r="A141" s="185" t="s">
        <v>148</v>
      </c>
      <c r="B141" s="185"/>
      <c r="C141" s="185"/>
      <c r="D141" s="185"/>
      <c r="E141" s="185"/>
      <c r="F141" s="185"/>
      <c r="G141" s="185"/>
      <c r="H141" s="187" t="s">
        <v>62</v>
      </c>
      <c r="I141" s="225">
        <f>SUM(I52+I97+I106+I127+I135+I140)</f>
        <v>12488.169999999998</v>
      </c>
    </row>
    <row r="142" spans="1:9" ht="15.75" customHeight="1">
      <c r="A142" s="99" t="s">
        <v>10</v>
      </c>
      <c r="B142" s="184" t="s">
        <v>149</v>
      </c>
      <c r="C142" s="184"/>
      <c r="D142" s="184"/>
      <c r="E142" s="184"/>
      <c r="F142" s="184"/>
      <c r="G142" s="184"/>
      <c r="H142" s="108">
        <v>0.0679</v>
      </c>
      <c r="I142" s="120">
        <f>ROUND(H142*I141,2)</f>
        <v>847.95</v>
      </c>
    </row>
    <row r="143" spans="1:9" ht="49.5" customHeight="1">
      <c r="A143" s="185" t="s">
        <v>150</v>
      </c>
      <c r="B143" s="185"/>
      <c r="C143" s="185"/>
      <c r="D143" s="185"/>
      <c r="E143" s="185"/>
      <c r="F143" s="185"/>
      <c r="G143" s="185"/>
      <c r="H143" s="187" t="s">
        <v>62</v>
      </c>
      <c r="I143" s="225">
        <f>SUM(I139+I140+I142)</f>
        <v>13336.119999999999</v>
      </c>
    </row>
    <row r="144" spans="1:9" ht="15.75" customHeight="1">
      <c r="A144" s="99" t="s">
        <v>13</v>
      </c>
      <c r="B144" s="184" t="s">
        <v>151</v>
      </c>
      <c r="C144" s="184"/>
      <c r="D144" s="184"/>
      <c r="E144" s="184"/>
      <c r="F144" s="184"/>
      <c r="G144" s="184"/>
      <c r="H144" s="188" t="s">
        <v>62</v>
      </c>
      <c r="I144" s="114" t="s">
        <v>62</v>
      </c>
    </row>
    <row r="145" spans="1:9" ht="15.75" customHeight="1">
      <c r="A145" s="99"/>
      <c r="B145" s="184" t="s">
        <v>152</v>
      </c>
      <c r="C145" s="184"/>
      <c r="D145" s="184"/>
      <c r="E145" s="184"/>
      <c r="F145" s="184"/>
      <c r="G145" s="184"/>
      <c r="H145" s="188" t="s">
        <v>62</v>
      </c>
      <c r="I145" s="114" t="s">
        <v>62</v>
      </c>
    </row>
    <row r="146" spans="1:9" ht="48.75" customHeight="1">
      <c r="A146" s="99"/>
      <c r="B146" s="189" t="s">
        <v>153</v>
      </c>
      <c r="C146" s="189"/>
      <c r="D146" s="189"/>
      <c r="E146" s="189"/>
      <c r="F146" s="189"/>
      <c r="G146" s="189"/>
      <c r="H146" s="190">
        <v>0.076</v>
      </c>
      <c r="I146" s="120">
        <f>ROUND(($I$143/(1-$H$155))*H146,2)</f>
        <v>1181.98</v>
      </c>
    </row>
    <row r="147" spans="1:9" ht="43.5" customHeight="1">
      <c r="A147" s="99"/>
      <c r="B147" s="189" t="s">
        <v>154</v>
      </c>
      <c r="C147" s="189"/>
      <c r="D147" s="189"/>
      <c r="E147" s="189"/>
      <c r="F147" s="189"/>
      <c r="G147" s="189"/>
      <c r="H147" s="190">
        <v>0.0165</v>
      </c>
      <c r="I147" s="120">
        <f>ROUND(($I$143/(1-$H$155))*H147,2)</f>
        <v>256.61</v>
      </c>
    </row>
    <row r="148" spans="1:9" ht="27" customHeight="1">
      <c r="A148" s="99"/>
      <c r="B148" s="100" t="s">
        <v>155</v>
      </c>
      <c r="C148" s="100"/>
      <c r="D148" s="100"/>
      <c r="E148" s="100"/>
      <c r="F148" s="100"/>
      <c r="G148" s="100"/>
      <c r="H148" s="191" t="s">
        <v>62</v>
      </c>
      <c r="I148" s="114" t="s">
        <v>62</v>
      </c>
    </row>
    <row r="149" spans="1:9" ht="27" customHeight="1">
      <c r="A149" s="99"/>
      <c r="B149" s="100" t="s">
        <v>156</v>
      </c>
      <c r="C149" s="100"/>
      <c r="D149" s="100"/>
      <c r="E149" s="100"/>
      <c r="F149" s="100"/>
      <c r="G149" s="100"/>
      <c r="H149" s="191" t="s">
        <v>62</v>
      </c>
      <c r="I149" s="114" t="s">
        <v>62</v>
      </c>
    </row>
    <row r="150" spans="1:9" ht="18" customHeight="1">
      <c r="A150" s="99"/>
      <c r="B150" s="192" t="s">
        <v>157</v>
      </c>
      <c r="C150" s="192"/>
      <c r="D150" s="192"/>
      <c r="E150" s="192"/>
      <c r="F150" s="192"/>
      <c r="G150" s="192"/>
      <c r="H150" s="191" t="s">
        <v>62</v>
      </c>
      <c r="I150" s="114" t="s">
        <v>62</v>
      </c>
    </row>
    <row r="151" spans="1:9" ht="18" customHeight="1">
      <c r="A151" s="99"/>
      <c r="B151" s="138" t="s">
        <v>158</v>
      </c>
      <c r="C151" s="138"/>
      <c r="D151" s="138"/>
      <c r="E151" s="138"/>
      <c r="F151" s="138"/>
      <c r="G151" s="138"/>
      <c r="H151" s="191" t="s">
        <v>62</v>
      </c>
      <c r="I151" s="114" t="s">
        <v>62</v>
      </c>
    </row>
    <row r="152" spans="1:9" ht="15" customHeight="1">
      <c r="A152" s="99"/>
      <c r="B152" s="189" t="s">
        <v>159</v>
      </c>
      <c r="C152" s="189"/>
      <c r="D152" s="189"/>
      <c r="E152" s="189"/>
      <c r="F152" s="189"/>
      <c r="G152" s="189"/>
      <c r="H152" s="190">
        <v>0.05</v>
      </c>
      <c r="I152" s="120">
        <f>ROUND(($I$143/(1-$H$155))*H152,2)</f>
        <v>777.62</v>
      </c>
    </row>
    <row r="153" spans="1:9" ht="15.75" customHeight="1">
      <c r="A153" s="104" t="s">
        <v>75</v>
      </c>
      <c r="B153" s="104"/>
      <c r="C153" s="104"/>
      <c r="D153" s="104"/>
      <c r="E153" s="104"/>
      <c r="F153" s="104"/>
      <c r="G153" s="104"/>
      <c r="H153" s="104"/>
      <c r="I153" s="172">
        <f>SUM(I140+I142+I146+I147+I152)</f>
        <v>3427.89</v>
      </c>
    </row>
    <row r="154" spans="1:9" ht="6.75" customHeight="1">
      <c r="A154" s="171"/>
      <c r="B154" s="171"/>
      <c r="C154" s="171"/>
      <c r="D154" s="171"/>
      <c r="E154" s="171"/>
      <c r="F154" s="171"/>
      <c r="G154" s="171"/>
      <c r="H154" s="171"/>
      <c r="I154" s="171"/>
    </row>
    <row r="155" spans="1:9" ht="15.75" customHeight="1">
      <c r="A155" s="193" t="s">
        <v>160</v>
      </c>
      <c r="B155" s="193"/>
      <c r="C155" s="193"/>
      <c r="D155" s="193"/>
      <c r="E155" s="193"/>
      <c r="F155" s="193"/>
      <c r="G155" s="193"/>
      <c r="H155" s="194">
        <f>SUM(H146:H152)</f>
        <v>0.14250000000000002</v>
      </c>
      <c r="I155" s="226">
        <f>SUM(I146:I152)</f>
        <v>2216.21</v>
      </c>
    </row>
    <row r="156" spans="1:9" ht="12.75" customHeight="1">
      <c r="A156" s="195" t="s">
        <v>161</v>
      </c>
      <c r="B156" s="195"/>
      <c r="C156" s="196" t="s">
        <v>162</v>
      </c>
      <c r="D156" s="196"/>
      <c r="E156" s="196"/>
      <c r="F156" s="196"/>
      <c r="G156" s="196"/>
      <c r="H156" s="196"/>
      <c r="I156" s="196"/>
    </row>
    <row r="157" spans="1:9" ht="12" customHeight="1">
      <c r="A157" s="195"/>
      <c r="B157" s="195"/>
      <c r="C157" s="196" t="s">
        <v>163</v>
      </c>
      <c r="D157" s="196"/>
      <c r="E157" s="196"/>
      <c r="F157" s="196"/>
      <c r="G157" s="196"/>
      <c r="H157" s="196"/>
      <c r="I157" s="196"/>
    </row>
    <row r="158" spans="1:9" ht="13.5" customHeight="1">
      <c r="A158" s="195"/>
      <c r="B158" s="195"/>
      <c r="C158" s="197" t="s">
        <v>164</v>
      </c>
      <c r="D158" s="197"/>
      <c r="E158" s="197"/>
      <c r="F158" s="197"/>
      <c r="G158" s="197"/>
      <c r="H158" s="197"/>
      <c r="I158" s="197"/>
    </row>
    <row r="159" spans="1:9" ht="6.75" customHeight="1">
      <c r="A159" s="198"/>
      <c r="B159" s="198"/>
      <c r="C159" s="198"/>
      <c r="D159" s="198"/>
      <c r="E159" s="198"/>
      <c r="F159" s="198"/>
      <c r="G159" s="198"/>
      <c r="H159" s="198"/>
      <c r="I159" s="198"/>
    </row>
    <row r="160" spans="1:9" s="42" customFormat="1" ht="25.5" customHeight="1">
      <c r="A160" s="78" t="s">
        <v>165</v>
      </c>
      <c r="B160" s="78"/>
      <c r="C160" s="78"/>
      <c r="D160" s="78"/>
      <c r="E160" s="78"/>
      <c r="F160" s="78"/>
      <c r="G160" s="78"/>
      <c r="H160" s="78"/>
      <c r="I160" s="78"/>
    </row>
    <row r="161" spans="1:9" ht="5.25" customHeight="1">
      <c r="A161" s="171"/>
      <c r="B161" s="171"/>
      <c r="C161" s="171"/>
      <c r="D161" s="171"/>
      <c r="E161" s="171"/>
      <c r="F161" s="171"/>
      <c r="G161" s="171"/>
      <c r="H161" s="171"/>
      <c r="I161" s="171"/>
    </row>
    <row r="162" spans="1:9" ht="30" customHeight="1">
      <c r="A162" s="199" t="s">
        <v>166</v>
      </c>
      <c r="B162" s="199"/>
      <c r="C162" s="199"/>
      <c r="D162" s="199"/>
      <c r="E162" s="199"/>
      <c r="F162" s="199"/>
      <c r="G162" s="199"/>
      <c r="H162" s="199"/>
      <c r="I162" s="199"/>
    </row>
    <row r="163" spans="1:9" ht="15" customHeight="1">
      <c r="A163" s="48" t="s">
        <v>167</v>
      </c>
      <c r="B163" s="48"/>
      <c r="C163" s="48"/>
      <c r="D163" s="48"/>
      <c r="E163" s="48"/>
      <c r="F163" s="48"/>
      <c r="G163" s="48"/>
      <c r="H163" s="48"/>
      <c r="I163" s="54" t="s">
        <v>72</v>
      </c>
    </row>
    <row r="164" spans="1:9" ht="15" customHeight="1">
      <c r="A164" s="200" t="s">
        <v>7</v>
      </c>
      <c r="B164" s="89" t="s">
        <v>168</v>
      </c>
      <c r="C164" s="89"/>
      <c r="D164" s="89"/>
      <c r="E164" s="89"/>
      <c r="F164" s="89"/>
      <c r="G164" s="89"/>
      <c r="H164" s="89"/>
      <c r="I164" s="223">
        <f>I52</f>
        <v>6267.889999999999</v>
      </c>
    </row>
    <row r="165" spans="1:9" ht="15" customHeight="1">
      <c r="A165" s="200" t="s">
        <v>10</v>
      </c>
      <c r="B165" s="89" t="s">
        <v>68</v>
      </c>
      <c r="C165" s="89"/>
      <c r="D165" s="89"/>
      <c r="E165" s="89"/>
      <c r="F165" s="89"/>
      <c r="G165" s="89"/>
      <c r="H165" s="89"/>
      <c r="I165" s="223">
        <f>I97</f>
        <v>4177.46</v>
      </c>
    </row>
    <row r="166" spans="1:9" ht="15" customHeight="1">
      <c r="A166" s="200" t="s">
        <v>13</v>
      </c>
      <c r="B166" s="89" t="s">
        <v>169</v>
      </c>
      <c r="C166" s="89"/>
      <c r="D166" s="89"/>
      <c r="E166" s="89"/>
      <c r="F166" s="89"/>
      <c r="G166" s="89"/>
      <c r="H166" s="89"/>
      <c r="I166" s="223">
        <f>I106</f>
        <v>436.85</v>
      </c>
    </row>
    <row r="167" spans="1:9" ht="15" customHeight="1">
      <c r="A167" s="200" t="s">
        <v>16</v>
      </c>
      <c r="B167" s="89" t="s">
        <v>170</v>
      </c>
      <c r="C167" s="89"/>
      <c r="D167" s="89"/>
      <c r="E167" s="89"/>
      <c r="F167" s="89"/>
      <c r="G167" s="89"/>
      <c r="H167" s="89"/>
      <c r="I167" s="223">
        <f>I127</f>
        <v>906.9000000000001</v>
      </c>
    </row>
    <row r="168" spans="1:9" ht="15" customHeight="1">
      <c r="A168" s="200" t="s">
        <v>54</v>
      </c>
      <c r="B168" s="89" t="s">
        <v>171</v>
      </c>
      <c r="C168" s="89"/>
      <c r="D168" s="89"/>
      <c r="E168" s="89"/>
      <c r="F168" s="89"/>
      <c r="G168" s="89"/>
      <c r="H168" s="89"/>
      <c r="I168" s="223">
        <f>I135</f>
        <v>335.34</v>
      </c>
    </row>
    <row r="169" spans="1:9" ht="15" customHeight="1">
      <c r="A169" s="201" t="s">
        <v>172</v>
      </c>
      <c r="B169" s="201"/>
      <c r="C169" s="201"/>
      <c r="D169" s="201"/>
      <c r="E169" s="201"/>
      <c r="F169" s="201"/>
      <c r="G169" s="201"/>
      <c r="H169" s="201"/>
      <c r="I169" s="178">
        <f>SUM(I164:I168)</f>
        <v>12124.439999999999</v>
      </c>
    </row>
    <row r="170" spans="1:9" ht="15" customHeight="1">
      <c r="A170" s="202" t="s">
        <v>56</v>
      </c>
      <c r="B170" s="89" t="s">
        <v>173</v>
      </c>
      <c r="C170" s="89"/>
      <c r="D170" s="89"/>
      <c r="E170" s="89"/>
      <c r="F170" s="89"/>
      <c r="G170" s="89"/>
      <c r="H170" s="89"/>
      <c r="I170" s="223">
        <f>I153</f>
        <v>3427.89</v>
      </c>
    </row>
    <row r="171" spans="1:9" ht="15" customHeight="1">
      <c r="A171" s="201" t="s">
        <v>174</v>
      </c>
      <c r="B171" s="201"/>
      <c r="C171" s="201"/>
      <c r="D171" s="201"/>
      <c r="E171" s="201"/>
      <c r="F171" s="201"/>
      <c r="G171" s="201"/>
      <c r="H171" s="201"/>
      <c r="I171" s="178">
        <f>SUM(I169:I170)</f>
        <v>15552.329999999998</v>
      </c>
    </row>
    <row r="172" spans="1:9" ht="9" customHeight="1">
      <c r="A172" s="203"/>
      <c r="B172" s="203"/>
      <c r="C172" s="203"/>
      <c r="D172" s="203"/>
      <c r="E172" s="203"/>
      <c r="F172" s="203"/>
      <c r="G172" s="203"/>
      <c r="H172" s="203"/>
      <c r="I172" s="203"/>
    </row>
    <row r="173" spans="1:9" ht="15" customHeight="1" hidden="1">
      <c r="A173" s="204"/>
      <c r="B173" s="204"/>
      <c r="C173" s="204"/>
      <c r="D173" s="204"/>
      <c r="E173" s="204"/>
      <c r="F173" s="204"/>
      <c r="G173" s="204"/>
      <c r="H173" s="205"/>
      <c r="I173" s="227"/>
    </row>
    <row r="174" spans="1:9" s="37" customFormat="1" ht="31.5" customHeight="1">
      <c r="A174" s="206" t="s">
        <v>175</v>
      </c>
      <c r="B174" s="206"/>
      <c r="C174" s="206"/>
      <c r="D174" s="206"/>
      <c r="E174" s="206"/>
      <c r="F174" s="206"/>
      <c r="G174" s="206"/>
      <c r="H174" s="206"/>
      <c r="I174" s="206"/>
    </row>
    <row r="175" spans="1:9" s="37" customFormat="1" ht="6.75" customHeight="1">
      <c r="A175" s="207"/>
      <c r="B175" s="207"/>
      <c r="C175" s="207"/>
      <c r="D175" s="207"/>
      <c r="E175" s="207"/>
      <c r="F175" s="207"/>
      <c r="G175" s="207"/>
      <c r="H175" s="207"/>
      <c r="I175" s="207"/>
    </row>
    <row r="176" spans="1:9" s="37" customFormat="1" ht="19.5" customHeight="1">
      <c r="A176" s="208" t="s">
        <v>176</v>
      </c>
      <c r="B176" s="208"/>
      <c r="C176" s="208"/>
      <c r="D176" s="208"/>
      <c r="E176" s="208"/>
      <c r="F176" s="208"/>
      <c r="G176" s="208"/>
      <c r="H176" s="208"/>
      <c r="I176" s="208"/>
    </row>
    <row r="177" spans="1:9" s="37" customFormat="1" ht="12" customHeight="1">
      <c r="A177" s="209" t="s">
        <v>177</v>
      </c>
      <c r="B177" s="209"/>
      <c r="C177" s="209"/>
      <c r="D177" s="49" t="s">
        <v>178</v>
      </c>
      <c r="E177" s="49"/>
      <c r="F177" s="49"/>
      <c r="G177" s="49"/>
      <c r="H177" s="49"/>
      <c r="I177" s="49"/>
    </row>
    <row r="178" spans="1:9" s="37" customFormat="1" ht="12">
      <c r="A178" s="209"/>
      <c r="B178" s="209"/>
      <c r="C178" s="209"/>
      <c r="D178" s="49"/>
      <c r="E178" s="49"/>
      <c r="F178" s="49"/>
      <c r="G178" s="49"/>
      <c r="H178" s="49"/>
      <c r="I178" s="49"/>
    </row>
    <row r="179" spans="1:9" s="37" customFormat="1" ht="14.25" customHeight="1">
      <c r="A179" s="210" t="s">
        <v>179</v>
      </c>
      <c r="B179" s="210"/>
      <c r="C179" s="210"/>
      <c r="D179" s="70" t="s">
        <v>180</v>
      </c>
      <c r="E179" s="70"/>
      <c r="F179" s="70"/>
      <c r="G179" s="70"/>
      <c r="H179" s="70"/>
      <c r="I179" s="70"/>
    </row>
    <row r="180" spans="1:9" s="37" customFormat="1" ht="45" customHeight="1">
      <c r="A180" s="83" t="s">
        <v>181</v>
      </c>
      <c r="B180" s="83"/>
      <c r="C180" s="83"/>
      <c r="D180" s="83"/>
      <c r="E180" s="83" t="s">
        <v>182</v>
      </c>
      <c r="F180" s="83"/>
      <c r="G180" s="83" t="s">
        <v>183</v>
      </c>
      <c r="H180" s="83" t="s">
        <v>184</v>
      </c>
      <c r="I180" s="83"/>
    </row>
    <row r="181" spans="1:9" s="37" customFormat="1" ht="41.25" customHeight="1">
      <c r="A181" s="100" t="s">
        <v>185</v>
      </c>
      <c r="B181" s="100"/>
      <c r="C181" s="100"/>
      <c r="D181" s="100"/>
      <c r="E181" s="211">
        <f>I171</f>
        <v>15552.329999999998</v>
      </c>
      <c r="F181" s="211"/>
      <c r="G181" s="212">
        <f>H13</f>
        <v>3</v>
      </c>
      <c r="H181" s="213">
        <f>E181*G181</f>
        <v>46656.98999999999</v>
      </c>
      <c r="I181" s="213"/>
    </row>
    <row r="182" spans="1:9" s="37" customFormat="1" ht="20.25" customHeight="1">
      <c r="A182" s="214" t="s">
        <v>186</v>
      </c>
      <c r="B182" s="214"/>
      <c r="C182" s="214"/>
      <c r="D182" s="214"/>
      <c r="E182" s="214"/>
      <c r="F182" s="214"/>
      <c r="G182" s="215">
        <f>SUM(G181:G181)</f>
        <v>3</v>
      </c>
      <c r="H182" s="216">
        <f>SUM(H181:I181)</f>
        <v>46656.98999999999</v>
      </c>
      <c r="I182" s="216"/>
    </row>
    <row r="183" spans="1:9" s="37" customFormat="1" ht="15" customHeight="1">
      <c r="A183" s="217"/>
      <c r="B183" s="217"/>
      <c r="C183" s="217"/>
      <c r="D183" s="217"/>
      <c r="E183" s="217"/>
      <c r="F183" s="217"/>
      <c r="G183" s="217"/>
      <c r="H183" s="217"/>
      <c r="I183" s="217"/>
    </row>
    <row r="184" spans="1:9" s="37" customFormat="1" ht="12" hidden="1">
      <c r="A184" s="217"/>
      <c r="B184" s="217"/>
      <c r="C184" s="217"/>
      <c r="D184" s="217"/>
      <c r="E184" s="217"/>
      <c r="F184" s="217"/>
      <c r="G184" s="217"/>
      <c r="H184" s="217"/>
      <c r="I184" s="217"/>
    </row>
    <row r="185" spans="1:9" s="37" customFormat="1" ht="19.5" customHeight="1">
      <c r="A185" s="218" t="s">
        <v>187</v>
      </c>
      <c r="B185" s="218"/>
      <c r="C185" s="218"/>
      <c r="D185" s="218"/>
      <c r="E185" s="218"/>
      <c r="F185" s="218"/>
      <c r="G185" s="219">
        <v>12</v>
      </c>
      <c r="H185" s="219"/>
      <c r="I185" s="219"/>
    </row>
    <row r="186" spans="1:9" s="37" customFormat="1" ht="8.25" customHeight="1">
      <c r="A186" s="220"/>
      <c r="B186" s="220"/>
      <c r="C186" s="220"/>
      <c r="D186" s="220"/>
      <c r="E186" s="220"/>
      <c r="F186" s="220"/>
      <c r="G186" s="220"/>
      <c r="H186" s="220"/>
      <c r="I186" s="220"/>
    </row>
    <row r="187" spans="1:9" s="37" customFormat="1" ht="31.5" customHeight="1">
      <c r="A187" s="221" t="s">
        <v>188</v>
      </c>
      <c r="B187" s="221"/>
      <c r="C187" s="221"/>
      <c r="D187" s="221"/>
      <c r="E187" s="221"/>
      <c r="F187" s="221"/>
      <c r="G187" s="222">
        <f>H182*G185</f>
        <v>559883.8799999999</v>
      </c>
      <c r="H187" s="222"/>
      <c r="I187" s="222"/>
    </row>
    <row r="188" spans="1:9" s="37" customFormat="1" ht="8.25" customHeight="1">
      <c r="A188" s="146"/>
      <c r="B188" s="146"/>
      <c r="C188" s="146"/>
      <c r="D188" s="146"/>
      <c r="E188" s="146"/>
      <c r="F188" s="146"/>
      <c r="G188" s="146"/>
      <c r="H188" s="146"/>
      <c r="I188" s="146"/>
    </row>
  </sheetData>
  <sheetProtection selectLockedCells="1" selectUnlockedCells="1"/>
  <mergeCells count="218">
    <mergeCell ref="A1:I1"/>
    <mergeCell ref="A2:E2"/>
    <mergeCell ref="F2:I2"/>
    <mergeCell ref="A3:E3"/>
    <mergeCell ref="F3:I3"/>
    <mergeCell ref="A4:I4"/>
    <mergeCell ref="A5:I5"/>
    <mergeCell ref="B6:G6"/>
    <mergeCell ref="H6:I6"/>
    <mergeCell ref="B7:G7"/>
    <mergeCell ref="H7:I7"/>
    <mergeCell ref="B8:G8"/>
    <mergeCell ref="H8:I8"/>
    <mergeCell ref="B9:G9"/>
    <mergeCell ref="H9:I9"/>
    <mergeCell ref="A10:I10"/>
    <mergeCell ref="A11:I11"/>
    <mergeCell ref="A12:E12"/>
    <mergeCell ref="F12:G12"/>
    <mergeCell ref="H12:I12"/>
    <mergeCell ref="A13:E13"/>
    <mergeCell ref="F13:G13"/>
    <mergeCell ref="H13:I13"/>
    <mergeCell ref="A14:G14"/>
    <mergeCell ref="H14:I14"/>
    <mergeCell ref="A15:I15"/>
    <mergeCell ref="A16:I16"/>
    <mergeCell ref="A17:I17"/>
    <mergeCell ref="A18:I18"/>
    <mergeCell ref="A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A34:I34"/>
    <mergeCell ref="A35:I35"/>
    <mergeCell ref="A36:I36"/>
    <mergeCell ref="A37:I37"/>
    <mergeCell ref="B38:G38"/>
    <mergeCell ref="B39:H39"/>
    <mergeCell ref="B40:G40"/>
    <mergeCell ref="B41:H41"/>
    <mergeCell ref="B42:H42"/>
    <mergeCell ref="B43:H43"/>
    <mergeCell ref="B44:H44"/>
    <mergeCell ref="B45:H45"/>
    <mergeCell ref="B46:H46"/>
    <mergeCell ref="A47:H47"/>
    <mergeCell ref="B48:H48"/>
    <mergeCell ref="B49:H49"/>
    <mergeCell ref="A50:H50"/>
    <mergeCell ref="A51:I51"/>
    <mergeCell ref="A52:H52"/>
    <mergeCell ref="A53:I53"/>
    <mergeCell ref="A54:I54"/>
    <mergeCell ref="A55:I55"/>
    <mergeCell ref="B56:H56"/>
    <mergeCell ref="B57:G57"/>
    <mergeCell ref="B58:G58"/>
    <mergeCell ref="A59:H59"/>
    <mergeCell ref="A60:I60"/>
    <mergeCell ref="B61:G61"/>
    <mergeCell ref="B62:G62"/>
    <mergeCell ref="B63:G63"/>
    <mergeCell ref="B64:C64"/>
    <mergeCell ref="B65:G65"/>
    <mergeCell ref="B66:G66"/>
    <mergeCell ref="B67:G67"/>
    <mergeCell ref="B68:G68"/>
    <mergeCell ref="B69:G69"/>
    <mergeCell ref="A70:G70"/>
    <mergeCell ref="A72:I72"/>
    <mergeCell ref="A73:I73"/>
    <mergeCell ref="A74:I74"/>
    <mergeCell ref="B75:H75"/>
    <mergeCell ref="B76:H76"/>
    <mergeCell ref="B77:G77"/>
    <mergeCell ref="B78:G78"/>
    <mergeCell ref="B79:G79"/>
    <mergeCell ref="B80:G80"/>
    <mergeCell ref="B81:H81"/>
    <mergeCell ref="B82:G82"/>
    <mergeCell ref="B83:G83"/>
    <mergeCell ref="B84:G84"/>
    <mergeCell ref="B85:H85"/>
    <mergeCell ref="B86:H86"/>
    <mergeCell ref="B87:H87"/>
    <mergeCell ref="B88:H88"/>
    <mergeCell ref="A89:I89"/>
    <mergeCell ref="A90:I90"/>
    <mergeCell ref="A91:I91"/>
    <mergeCell ref="A92:I92"/>
    <mergeCell ref="B93:H93"/>
    <mergeCell ref="B94:H94"/>
    <mergeCell ref="B95:H95"/>
    <mergeCell ref="B96:H96"/>
    <mergeCell ref="A97:H97"/>
    <mergeCell ref="A98:I98"/>
    <mergeCell ref="A99:I99"/>
    <mergeCell ref="B100:H100"/>
    <mergeCell ref="B101:H101"/>
    <mergeCell ref="B102:H102"/>
    <mergeCell ref="B103:H103"/>
    <mergeCell ref="B104:H104"/>
    <mergeCell ref="B105:G105"/>
    <mergeCell ref="A106:H106"/>
    <mergeCell ref="A107:I107"/>
    <mergeCell ref="A108:I108"/>
    <mergeCell ref="A109:I109"/>
    <mergeCell ref="A110:I110"/>
    <mergeCell ref="A111:I111"/>
    <mergeCell ref="A113:I113"/>
    <mergeCell ref="A114:I114"/>
    <mergeCell ref="B115:H115"/>
    <mergeCell ref="B116:F116"/>
    <mergeCell ref="B117:H117"/>
    <mergeCell ref="B118:H118"/>
    <mergeCell ref="B119:H119"/>
    <mergeCell ref="B120:H120"/>
    <mergeCell ref="B121:H121"/>
    <mergeCell ref="A122:H122"/>
    <mergeCell ref="A123:I123"/>
    <mergeCell ref="A124:I124"/>
    <mergeCell ref="B125:H125"/>
    <mergeCell ref="B126:H126"/>
    <mergeCell ref="A127:H127"/>
    <mergeCell ref="A128:I128"/>
    <mergeCell ref="A129:I129"/>
    <mergeCell ref="B130:H130"/>
    <mergeCell ref="B131:H131"/>
    <mergeCell ref="B132:H132"/>
    <mergeCell ref="B133:H133"/>
    <mergeCell ref="B134:H134"/>
    <mergeCell ref="A135:H135"/>
    <mergeCell ref="A136:I136"/>
    <mergeCell ref="A137:I137"/>
    <mergeCell ref="B138:G138"/>
    <mergeCell ref="A139:G139"/>
    <mergeCell ref="B140:G140"/>
    <mergeCell ref="A141:G141"/>
    <mergeCell ref="B142:G142"/>
    <mergeCell ref="A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B152:G152"/>
    <mergeCell ref="A153:H153"/>
    <mergeCell ref="A154:I154"/>
    <mergeCell ref="A155:G155"/>
    <mergeCell ref="C156:I156"/>
    <mergeCell ref="C157:I157"/>
    <mergeCell ref="C158:I158"/>
    <mergeCell ref="A159:I159"/>
    <mergeCell ref="A160:I160"/>
    <mergeCell ref="A161:I161"/>
    <mergeCell ref="A162:I162"/>
    <mergeCell ref="A163:H163"/>
    <mergeCell ref="B164:H164"/>
    <mergeCell ref="B165:H165"/>
    <mergeCell ref="B166:H166"/>
    <mergeCell ref="B167:H167"/>
    <mergeCell ref="B168:H168"/>
    <mergeCell ref="A169:H169"/>
    <mergeCell ref="B170:H170"/>
    <mergeCell ref="A171:H171"/>
    <mergeCell ref="A172:I172"/>
    <mergeCell ref="A174:I174"/>
    <mergeCell ref="A175:I175"/>
    <mergeCell ref="A176:I176"/>
    <mergeCell ref="A179:C179"/>
    <mergeCell ref="D179:I179"/>
    <mergeCell ref="A180:D180"/>
    <mergeCell ref="E180:F180"/>
    <mergeCell ref="H180:I180"/>
    <mergeCell ref="A181:D181"/>
    <mergeCell ref="E181:F181"/>
    <mergeCell ref="H181:I181"/>
    <mergeCell ref="A182:F182"/>
    <mergeCell ref="H182:I182"/>
    <mergeCell ref="A185:F185"/>
    <mergeCell ref="G185:I185"/>
    <mergeCell ref="A186:I186"/>
    <mergeCell ref="A187:F187"/>
    <mergeCell ref="G187:I187"/>
    <mergeCell ref="A188:I188"/>
    <mergeCell ref="A156:B158"/>
    <mergeCell ref="A183:I184"/>
    <mergeCell ref="A177:C178"/>
    <mergeCell ref="D177:I178"/>
  </mergeCells>
  <printOptions/>
  <pageMargins left="0.5511811023622047" right="0.11811023622047245" top="0.4330708661417323" bottom="0.31496062992125984" header="0.5118110236220472" footer="0.5118110236220472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"/>
  <sheetViews>
    <sheetView zoomScaleSheetLayoutView="100" workbookViewId="0" topLeftCell="A1">
      <selection activeCell="L4" sqref="L4"/>
    </sheetView>
  </sheetViews>
  <sheetFormatPr defaultColWidth="9.140625" defaultRowHeight="12.75"/>
  <cols>
    <col min="2" max="2" width="38.57421875" style="0" customWidth="1"/>
    <col min="4" max="4" width="18.00390625" style="0" customWidth="1"/>
    <col min="5" max="7" width="9.140625" style="0" hidden="1" customWidth="1"/>
    <col min="8" max="8" width="14.421875" style="0" customWidth="1"/>
    <col min="9" max="9" width="18.00390625" style="0" customWidth="1"/>
  </cols>
  <sheetData>
    <row r="2" spans="1:9" ht="33" customHeight="1">
      <c r="A2" s="15" t="s">
        <v>189</v>
      </c>
      <c r="B2" s="16"/>
      <c r="C2" s="15"/>
      <c r="D2" s="15"/>
      <c r="E2" s="15"/>
      <c r="F2" s="15"/>
      <c r="G2" s="15"/>
      <c r="H2" s="15"/>
      <c r="I2" s="15"/>
    </row>
    <row r="3" spans="1:9" ht="25.5">
      <c r="A3" s="17" t="s">
        <v>190</v>
      </c>
      <c r="B3" s="17" t="s">
        <v>191</v>
      </c>
      <c r="C3" s="17" t="s">
        <v>192</v>
      </c>
      <c r="D3" s="17" t="s">
        <v>193</v>
      </c>
      <c r="E3" s="17" t="s">
        <v>194</v>
      </c>
      <c r="F3" s="17" t="s">
        <v>195</v>
      </c>
      <c r="G3" s="17" t="s">
        <v>196</v>
      </c>
      <c r="H3" s="17" t="s">
        <v>197</v>
      </c>
      <c r="I3" s="17" t="s">
        <v>198</v>
      </c>
    </row>
    <row r="4" spans="1:9" ht="12.75">
      <c r="A4" s="18">
        <v>1</v>
      </c>
      <c r="B4" s="19" t="s">
        <v>199</v>
      </c>
      <c r="C4" s="18" t="s">
        <v>200</v>
      </c>
      <c r="D4" s="18">
        <v>2</v>
      </c>
      <c r="E4" s="20">
        <v>180.9</v>
      </c>
      <c r="F4" s="20">
        <v>149</v>
      </c>
      <c r="G4" s="20">
        <v>169.9</v>
      </c>
      <c r="H4" s="20">
        <f aca="true" t="shared" si="0" ref="H4:H14">AVERAGE(E4:G4)</f>
        <v>166.6</v>
      </c>
      <c r="I4" s="34">
        <f aca="true" t="shared" si="1" ref="I4:I14">H4*D4</f>
        <v>333.2</v>
      </c>
    </row>
    <row r="5" spans="1:9" ht="12.75">
      <c r="A5" s="18">
        <v>2</v>
      </c>
      <c r="B5" s="19" t="s">
        <v>201</v>
      </c>
      <c r="C5" s="18" t="s">
        <v>200</v>
      </c>
      <c r="D5" s="18">
        <v>2</v>
      </c>
      <c r="E5" s="21">
        <v>140</v>
      </c>
      <c r="F5" s="21">
        <v>179</v>
      </c>
      <c r="G5" s="21">
        <v>126</v>
      </c>
      <c r="H5" s="20">
        <f t="shared" si="0"/>
        <v>148.33333333333334</v>
      </c>
      <c r="I5" s="34">
        <f t="shared" si="1"/>
        <v>296.6666666666667</v>
      </c>
    </row>
    <row r="6" spans="1:9" ht="12.75">
      <c r="A6" s="18">
        <v>3</v>
      </c>
      <c r="B6" s="19" t="s">
        <v>202</v>
      </c>
      <c r="C6" s="18" t="s">
        <v>200</v>
      </c>
      <c r="D6" s="18">
        <v>2</v>
      </c>
      <c r="E6" s="21">
        <v>139.6</v>
      </c>
      <c r="F6" s="21">
        <v>76.5</v>
      </c>
      <c r="G6" s="21">
        <v>126.1</v>
      </c>
      <c r="H6" s="20">
        <f t="shared" si="0"/>
        <v>114.06666666666666</v>
      </c>
      <c r="I6" s="34">
        <f t="shared" si="1"/>
        <v>228.13333333333333</v>
      </c>
    </row>
    <row r="7" spans="1:9" ht="12.75">
      <c r="A7" s="18">
        <v>4</v>
      </c>
      <c r="B7" s="19" t="s">
        <v>203</v>
      </c>
      <c r="C7" s="18" t="s">
        <v>200</v>
      </c>
      <c r="D7" s="18">
        <v>1</v>
      </c>
      <c r="E7" s="21">
        <v>211.2</v>
      </c>
      <c r="F7" s="21">
        <v>163.3</v>
      </c>
      <c r="G7" s="21">
        <v>158.18</v>
      </c>
      <c r="H7" s="20">
        <f t="shared" si="0"/>
        <v>177.56000000000003</v>
      </c>
      <c r="I7" s="34">
        <f t="shared" si="1"/>
        <v>177.56000000000003</v>
      </c>
    </row>
    <row r="8" spans="1:9" ht="12.75">
      <c r="A8" s="18">
        <v>5</v>
      </c>
      <c r="B8" s="19" t="s">
        <v>204</v>
      </c>
      <c r="C8" s="18" t="s">
        <v>200</v>
      </c>
      <c r="D8" s="18">
        <v>1</v>
      </c>
      <c r="E8" s="21">
        <v>17.5</v>
      </c>
      <c r="F8" s="21">
        <v>18</v>
      </c>
      <c r="G8" s="21">
        <v>25</v>
      </c>
      <c r="H8" s="20">
        <f t="shared" si="0"/>
        <v>20.166666666666668</v>
      </c>
      <c r="I8" s="34">
        <f t="shared" si="1"/>
        <v>20.166666666666668</v>
      </c>
    </row>
    <row r="9" spans="1:9" ht="12.75">
      <c r="A9" s="18">
        <v>6</v>
      </c>
      <c r="B9" s="22" t="s">
        <v>205</v>
      </c>
      <c r="C9" s="23" t="s">
        <v>206</v>
      </c>
      <c r="D9" s="23">
        <v>2</v>
      </c>
      <c r="E9" s="21">
        <v>189.97</v>
      </c>
      <c r="F9" s="21">
        <v>193.97</v>
      </c>
      <c r="G9" s="21">
        <v>189.87</v>
      </c>
      <c r="H9" s="20">
        <f t="shared" si="0"/>
        <v>191.26999999999998</v>
      </c>
      <c r="I9" s="34">
        <f t="shared" si="1"/>
        <v>382.53999999999996</v>
      </c>
    </row>
    <row r="10" spans="1:9" ht="12.75">
      <c r="A10" s="18">
        <v>7</v>
      </c>
      <c r="B10" s="22" t="s">
        <v>207</v>
      </c>
      <c r="C10" s="23" t="s">
        <v>200</v>
      </c>
      <c r="D10" s="23">
        <v>1</v>
      </c>
      <c r="E10" s="21">
        <v>10.5</v>
      </c>
      <c r="F10" s="21">
        <v>10.5</v>
      </c>
      <c r="G10" s="21">
        <v>8.4</v>
      </c>
      <c r="H10" s="20">
        <f t="shared" si="0"/>
        <v>9.799999999999999</v>
      </c>
      <c r="I10" s="34">
        <f t="shared" si="1"/>
        <v>9.799999999999999</v>
      </c>
    </row>
    <row r="11" spans="1:9" ht="12.75">
      <c r="A11" s="18">
        <v>8</v>
      </c>
      <c r="B11" s="22" t="s">
        <v>208</v>
      </c>
      <c r="C11" s="23" t="s">
        <v>200</v>
      </c>
      <c r="D11" s="23">
        <v>1</v>
      </c>
      <c r="E11" s="21">
        <v>176</v>
      </c>
      <c r="F11" s="21">
        <v>197</v>
      </c>
      <c r="G11" s="21">
        <v>229.9</v>
      </c>
      <c r="H11" s="20">
        <f t="shared" si="0"/>
        <v>200.96666666666667</v>
      </c>
      <c r="I11" s="34">
        <f t="shared" si="1"/>
        <v>200.96666666666667</v>
      </c>
    </row>
    <row r="12" spans="1:9" ht="12.75">
      <c r="A12" s="18">
        <v>9</v>
      </c>
      <c r="B12" s="22" t="s">
        <v>209</v>
      </c>
      <c r="C12" s="23" t="s">
        <v>210</v>
      </c>
      <c r="D12" s="23">
        <v>2</v>
      </c>
      <c r="E12" s="21">
        <v>18.99</v>
      </c>
      <c r="F12" s="21">
        <v>27.9</v>
      </c>
      <c r="G12" s="21">
        <v>26.9</v>
      </c>
      <c r="H12" s="20">
        <f t="shared" si="0"/>
        <v>24.596666666666664</v>
      </c>
      <c r="I12" s="34">
        <f t="shared" si="1"/>
        <v>49.19333333333333</v>
      </c>
    </row>
    <row r="13" spans="1:9" ht="12.75">
      <c r="A13" s="18">
        <v>10</v>
      </c>
      <c r="B13" s="22" t="s">
        <v>211</v>
      </c>
      <c r="C13" s="23" t="s">
        <v>200</v>
      </c>
      <c r="D13" s="23">
        <v>2</v>
      </c>
      <c r="E13" s="21">
        <v>89.9</v>
      </c>
      <c r="F13" s="21">
        <v>59.99</v>
      </c>
      <c r="G13" s="21">
        <v>59.99</v>
      </c>
      <c r="H13" s="20">
        <f t="shared" si="0"/>
        <v>69.96000000000001</v>
      </c>
      <c r="I13" s="34">
        <f t="shared" si="1"/>
        <v>139.92000000000002</v>
      </c>
    </row>
    <row r="14" spans="1:9" ht="12.75">
      <c r="A14" s="18">
        <v>11</v>
      </c>
      <c r="B14" s="24" t="s">
        <v>212</v>
      </c>
      <c r="C14" s="21" t="s">
        <v>213</v>
      </c>
      <c r="D14" s="23">
        <v>1</v>
      </c>
      <c r="E14" s="21">
        <v>35</v>
      </c>
      <c r="F14" s="21">
        <v>23.37</v>
      </c>
      <c r="G14" s="21">
        <v>28.8</v>
      </c>
      <c r="H14" s="20">
        <f t="shared" si="0"/>
        <v>29.05666666666667</v>
      </c>
      <c r="I14" s="34">
        <f t="shared" si="1"/>
        <v>29.05666666666667</v>
      </c>
    </row>
    <row r="15" spans="1:9" ht="12.75">
      <c r="A15" s="25" t="s">
        <v>214</v>
      </c>
      <c r="B15" s="25"/>
      <c r="C15" s="25"/>
      <c r="D15" s="25"/>
      <c r="E15" s="25"/>
      <c r="F15" s="25"/>
      <c r="G15" s="25"/>
      <c r="H15" s="25"/>
      <c r="I15" s="27">
        <f>SUM(I4:I14)</f>
        <v>1867.2033333333334</v>
      </c>
    </row>
    <row r="16" spans="1:9" ht="12.75">
      <c r="A16" s="26" t="s">
        <v>215</v>
      </c>
      <c r="B16" s="26"/>
      <c r="C16" s="26"/>
      <c r="D16" s="26"/>
      <c r="E16" s="26"/>
      <c r="F16" s="26"/>
      <c r="G16" s="26"/>
      <c r="H16" s="27" t="s">
        <v>216</v>
      </c>
      <c r="I16" s="27">
        <f>I15/12</f>
        <v>155.6002777777778</v>
      </c>
    </row>
    <row r="17" spans="1:9" ht="12.75">
      <c r="A17" s="28"/>
      <c r="B17" s="29"/>
      <c r="C17" s="29"/>
      <c r="D17" s="29"/>
      <c r="E17" s="29"/>
      <c r="F17" s="29"/>
      <c r="G17" s="29"/>
      <c r="H17" s="30"/>
      <c r="I17" s="35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25.5">
      <c r="A19" s="17" t="s">
        <v>190</v>
      </c>
      <c r="B19" s="17" t="s">
        <v>217</v>
      </c>
      <c r="C19" s="17" t="s">
        <v>192</v>
      </c>
      <c r="D19" s="17" t="s">
        <v>193</v>
      </c>
      <c r="E19" s="17" t="s">
        <v>194</v>
      </c>
      <c r="F19" s="17" t="s">
        <v>195</v>
      </c>
      <c r="G19" s="17" t="s">
        <v>196</v>
      </c>
      <c r="H19" s="17" t="s">
        <v>197</v>
      </c>
      <c r="I19" s="17" t="s">
        <v>198</v>
      </c>
    </row>
    <row r="20" spans="1:9" ht="12.75">
      <c r="A20" s="18">
        <v>1</v>
      </c>
      <c r="B20" s="19" t="s">
        <v>218</v>
      </c>
      <c r="C20" s="18" t="s">
        <v>200</v>
      </c>
      <c r="D20" s="18">
        <v>1</v>
      </c>
      <c r="E20" s="21">
        <v>42</v>
      </c>
      <c r="F20" s="21">
        <v>84.7</v>
      </c>
      <c r="G20" s="21"/>
      <c r="H20" s="20">
        <f>AVERAGE(E20:G20)</f>
        <v>63.35</v>
      </c>
      <c r="I20" s="34">
        <f>H20*D20</f>
        <v>63.35</v>
      </c>
    </row>
    <row r="21" spans="1:9" ht="12.75">
      <c r="A21" s="31">
        <v>2</v>
      </c>
      <c r="B21" s="32" t="s">
        <v>219</v>
      </c>
      <c r="C21" s="31" t="s">
        <v>200</v>
      </c>
      <c r="D21" s="31">
        <v>1</v>
      </c>
      <c r="E21" s="21">
        <v>74.9</v>
      </c>
      <c r="F21" s="21">
        <v>59</v>
      </c>
      <c r="G21" s="21">
        <v>69.66</v>
      </c>
      <c r="H21" s="20">
        <f>AVERAGE(E21:G21)</f>
        <v>67.85333333333334</v>
      </c>
      <c r="I21" s="34">
        <f>H21*D21</f>
        <v>67.85333333333334</v>
      </c>
    </row>
    <row r="22" spans="1:9" ht="12.75">
      <c r="A22" s="31">
        <v>3</v>
      </c>
      <c r="B22" s="32" t="s">
        <v>220</v>
      </c>
      <c r="C22" s="31" t="s">
        <v>200</v>
      </c>
      <c r="D22" s="31">
        <v>1</v>
      </c>
      <c r="E22" s="21">
        <v>28.9</v>
      </c>
      <c r="F22" s="21">
        <v>19.8</v>
      </c>
      <c r="G22" s="21">
        <v>17.9</v>
      </c>
      <c r="H22" s="20">
        <f>AVERAGE(E22:G22)</f>
        <v>22.2</v>
      </c>
      <c r="I22" s="34">
        <f>H22*D22</f>
        <v>22.2</v>
      </c>
    </row>
    <row r="23" spans="1:9" ht="12.75">
      <c r="A23" s="31">
        <v>4</v>
      </c>
      <c r="B23" s="32" t="s">
        <v>221</v>
      </c>
      <c r="C23" s="31" t="s">
        <v>200</v>
      </c>
      <c r="D23" s="31">
        <v>1</v>
      </c>
      <c r="E23" s="21">
        <v>120.43</v>
      </c>
      <c r="F23" s="21">
        <v>78</v>
      </c>
      <c r="G23" s="21">
        <v>98.99</v>
      </c>
      <c r="H23" s="20">
        <f>AVERAGE(E23:G23)</f>
        <v>99.14</v>
      </c>
      <c r="I23" s="34">
        <f>H23*D23</f>
        <v>99.14</v>
      </c>
    </row>
    <row r="24" spans="1:9" ht="12.75">
      <c r="A24" s="25" t="s">
        <v>214</v>
      </c>
      <c r="B24" s="25"/>
      <c r="C24" s="25"/>
      <c r="D24" s="25"/>
      <c r="E24" s="25"/>
      <c r="F24" s="25"/>
      <c r="G24" s="25"/>
      <c r="H24" s="25"/>
      <c r="I24" s="36">
        <f>SUM(I20:I23)</f>
        <v>252.54333333333335</v>
      </c>
    </row>
    <row r="25" spans="1:9" ht="12.75">
      <c r="A25" s="26" t="s">
        <v>222</v>
      </c>
      <c r="B25" s="26"/>
      <c r="C25" s="26"/>
      <c r="D25" s="26"/>
      <c r="E25" s="26"/>
      <c r="F25" s="26"/>
      <c r="G25" s="26"/>
      <c r="H25" s="27" t="s">
        <v>216</v>
      </c>
      <c r="I25" s="36">
        <f>I24/12</f>
        <v>21.04527777777778</v>
      </c>
    </row>
    <row r="26" spans="1:9" ht="12.75">
      <c r="A26" s="2"/>
      <c r="B26" s="33"/>
      <c r="C26" s="2"/>
      <c r="D26" s="2"/>
      <c r="E26" s="2"/>
      <c r="F26" s="2"/>
      <c r="G26" s="2"/>
      <c r="H26" s="2"/>
      <c r="I26" s="2"/>
    </row>
  </sheetData>
  <sheetProtection/>
  <mergeCells count="5">
    <mergeCell ref="A2:I2"/>
    <mergeCell ref="A15:H15"/>
    <mergeCell ref="A16:G16"/>
    <mergeCell ref="A24:H24"/>
    <mergeCell ref="A25:G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9"/>
  <sheetViews>
    <sheetView zoomScaleSheetLayoutView="100" workbookViewId="0" topLeftCell="A1">
      <selection activeCell="Q8" sqref="Q8"/>
    </sheetView>
  </sheetViews>
  <sheetFormatPr defaultColWidth="9.140625" defaultRowHeight="12.75"/>
  <cols>
    <col min="12" max="12" width="13.8515625" style="0" customWidth="1"/>
  </cols>
  <sheetData>
    <row r="3" spans="1:12" ht="12.75">
      <c r="A3" s="1" t="s">
        <v>223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224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4"/>
      <c r="B5" s="1"/>
      <c r="C5" s="1"/>
      <c r="D5" s="1"/>
      <c r="E5" s="1"/>
      <c r="F5" s="1"/>
      <c r="G5" s="1"/>
      <c r="H5" s="1"/>
      <c r="I5" s="1"/>
      <c r="J5" s="4"/>
      <c r="K5" s="4"/>
      <c r="L5" s="4"/>
    </row>
    <row r="6" spans="1:12" ht="13.5">
      <c r="A6" s="4"/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1:12" ht="51">
      <c r="A7" s="5"/>
      <c r="B7" s="6"/>
      <c r="C7" s="5" t="s">
        <v>225</v>
      </c>
      <c r="D7" s="5" t="s">
        <v>226</v>
      </c>
      <c r="E7" s="6" t="s">
        <v>227</v>
      </c>
      <c r="F7" s="6" t="s">
        <v>228</v>
      </c>
      <c r="G7" s="6" t="s">
        <v>229</v>
      </c>
      <c r="H7" s="5" t="s">
        <v>230</v>
      </c>
      <c r="I7" s="5" t="s">
        <v>231</v>
      </c>
      <c r="J7" s="6" t="s">
        <v>232</v>
      </c>
      <c r="K7" s="6" t="s">
        <v>233</v>
      </c>
      <c r="L7" s="6" t="s">
        <v>234</v>
      </c>
    </row>
    <row r="8" spans="1:12" ht="39">
      <c r="A8" s="7" t="s">
        <v>235</v>
      </c>
      <c r="B8" s="8" t="s">
        <v>236</v>
      </c>
      <c r="C8" s="7"/>
      <c r="D8" s="7"/>
      <c r="E8" s="8" t="s">
        <v>237</v>
      </c>
      <c r="F8" s="8" t="s">
        <v>238</v>
      </c>
      <c r="G8" s="8" t="s">
        <v>239</v>
      </c>
      <c r="H8" s="7"/>
      <c r="I8" s="7"/>
      <c r="J8" s="8" t="s">
        <v>240</v>
      </c>
      <c r="K8" s="8" t="s">
        <v>241</v>
      </c>
      <c r="L8" s="8" t="s">
        <v>242</v>
      </c>
    </row>
    <row r="9" spans="1:12" ht="77.25">
      <c r="A9" s="9">
        <v>1</v>
      </c>
      <c r="B9" s="10" t="s">
        <v>243</v>
      </c>
      <c r="C9" s="8" t="s">
        <v>213</v>
      </c>
      <c r="D9" s="8">
        <v>1</v>
      </c>
      <c r="E9" s="11">
        <v>157.52</v>
      </c>
      <c r="F9" s="11">
        <v>189.9</v>
      </c>
      <c r="G9" s="11">
        <v>270</v>
      </c>
      <c r="H9" s="12">
        <f>AVERAGE(E9:G9)</f>
        <v>205.8066666666667</v>
      </c>
      <c r="I9" s="13">
        <v>5</v>
      </c>
      <c r="J9" s="11">
        <v>185.3</v>
      </c>
      <c r="K9" s="11">
        <f>J9/I9</f>
        <v>37.06</v>
      </c>
      <c r="L9" s="14">
        <f>K9/12</f>
        <v>3.0883333333333334</v>
      </c>
    </row>
  </sheetData>
  <sheetProtection/>
  <mergeCells count="8">
    <mergeCell ref="A3:L3"/>
    <mergeCell ref="A4:L4"/>
    <mergeCell ref="B5:I5"/>
    <mergeCell ref="B6:I6"/>
    <mergeCell ref="C7:C8"/>
    <mergeCell ref="D7:D8"/>
    <mergeCell ref="H7:H8"/>
    <mergeCell ref="I7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Hélio Justo</dc:creator>
  <cp:keywords/>
  <dc:description/>
  <cp:lastModifiedBy>Dell</cp:lastModifiedBy>
  <cp:lastPrinted>2022-04-07T00:22:08Z</cp:lastPrinted>
  <dcterms:created xsi:type="dcterms:W3CDTF">2022-04-26T00:10:00Z</dcterms:created>
  <dcterms:modified xsi:type="dcterms:W3CDTF">2024-03-27T12:45:23Z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037E0B554F3E48838493BDB37587D0EC_13</vt:lpwstr>
  </property>
  <property fmtid="{D5CDD505-2E9C-101B-9397-08002B2CF9AE}" pid="4" name="KSOProductBuildV">
    <vt:lpwstr>1046-12.2.0.13489</vt:lpwstr>
  </property>
</Properties>
</file>