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GRUPO 02  " sheetId="1" r:id="rId1"/>
    <sheet name="PORTEIRO DIURNO ITEM 3" sheetId="2" r:id="rId2"/>
    <sheet name="PORTEIRO NOTURNO ITEM 4 " sheetId="3" r:id="rId3"/>
  </sheets>
  <definedNames>
    <definedName name="_xlnm.Print_Area" localSheetId="1">'PORTEIRO DIURNO ITEM 3'!$A$1:$I$164</definedName>
    <definedName name="_xlnm.Print_Area" localSheetId="2">'PORTEIRO NOTURNO ITEM 4 '!$A$1:$I$166</definedName>
    <definedName name="_xlnm.Print_Area" localSheetId="1">'PORTEIRO DIURNO ITEM 3'!$A$1:$I$164</definedName>
    <definedName name="_xlnm.Print_Area" localSheetId="2">'PORTEIRO NOTURNO ITEM 4 '!$A$1:$I$166</definedName>
  </definedNames>
  <calcPr fullCalcOnLoad="1" fullPrecision="0" iterate="1" iterateCount="100" iterateDelta="0.0001"/>
</workbook>
</file>

<file path=xl/sharedStrings.xml><?xml version="1.0" encoding="utf-8"?>
<sst xmlns="http://schemas.openxmlformats.org/spreadsheetml/2006/main" count="503" uniqueCount="181">
  <si>
    <t>VALOR FINAL</t>
  </si>
  <si>
    <t xml:space="preserve">GRUPO </t>
  </si>
  <si>
    <t>ITEM</t>
  </si>
  <si>
    <t>DESCRIÇÃO ESPECIFICAÇÃO</t>
  </si>
  <si>
    <t>QUANT. MESES</t>
  </si>
  <si>
    <t>PREÇO UNITÁRIO POR POSTO(R$)</t>
  </si>
  <si>
    <t xml:space="preserve">PREÇO MENSAL (R$) </t>
  </si>
  <si>
    <t>PREÇO TOTAL GLOBAL (R$)</t>
  </si>
  <si>
    <t>Porteiro Diurno 12 horas (duas
pessoas), horário: 07:00 às 19:00 horas</t>
  </si>
  <si>
    <t>Porteiro Noturno 12 horas (duas
pessoas), horário: 19:00 às 07:00 horas</t>
  </si>
  <si>
    <t>VALOR TOTAL</t>
  </si>
  <si>
    <t>Nº do processo:</t>
  </si>
  <si>
    <t>Licitação nº: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</si>
  <si>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</si>
  <si>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</si>
  <si>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</si>
  <si>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</si>
  <si>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</si>
  <si>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Sertão/RS</t>
  </si>
  <si>
    <t>C</t>
  </si>
  <si>
    <t>Ano do acordo coletivo, convenção coletiva ou sentença normativa em dissídio coletivo</t>
  </si>
  <si>
    <t>D</t>
  </si>
  <si>
    <t>Número de meses de execução contratual</t>
  </si>
  <si>
    <t>Identificação do serviço</t>
  </si>
  <si>
    <t xml:space="preserve">Tipo de serviço:
PORTARIA                                                                                           </t>
  </si>
  <si>
    <t>Unidade
 de 
Medida</t>
  </si>
  <si>
    <t xml:space="preserve">Quantidade total a contratar (em função da unidade de medida) </t>
  </si>
  <si>
    <t>PORTEIRO - JORNADA DIURNA 12X36 -</t>
  </si>
  <si>
    <t>Posto</t>
  </si>
  <si>
    <t>TOTAL DE POSTOS</t>
  </si>
  <si>
    <t>Nota 1 - Esta tabela poderá ser adaptada às características do serviço contratado, inclusive no que concerne às rubricas e suas respectivas provisões e/ou estimativas, desde que haja justificativa.
Nota 2 - As provisões constantes desta planilha poderão  ser desnecessárias quando se tratar de determinados serviços que prescindam da dedicação exclusiva dos trabalhadores da contratada para com a Administração.</t>
  </si>
  <si>
    <t>ANEXO ------ A
MÃO DE OBRA
MÃO DE OBRA VINCULADA À EXECUÇÃO CONTRATUAL</t>
  </si>
  <si>
    <t>Dados complementares para composição dos custos referente à mão de obra</t>
  </si>
  <si>
    <t>Tipo de serviço (mesmo serviço com características distintas)</t>
  </si>
  <si>
    <t>PORTEIRO</t>
  </si>
  <si>
    <t>Salário normativo da categoria profissional</t>
  </si>
  <si>
    <t>Categoria profissional (vinculada à execução contratual)</t>
  </si>
  <si>
    <t xml:space="preserve">Data base da categoria (dia/mês/ano) </t>
  </si>
  <si>
    <t>Quantidade de Porteiros por Posto</t>
  </si>
  <si>
    <t>Nota: Deverá ser elaborado um quadro para cada tipo de serviço</t>
  </si>
  <si>
    <t xml:space="preserve">                                                                     MÓDULO 1: COMPOSIÇÃO DA REMUNERAÇÃO (POR POSTO)</t>
  </si>
  <si>
    <t>Composição da remuneração por posto</t>
  </si>
  <si>
    <t>Percentual (%)</t>
  </si>
  <si>
    <t xml:space="preserve">Valor (R$) </t>
  </si>
  <si>
    <t>Total de remuneração por posto</t>
  </si>
  <si>
    <t>MÓDULO 2 : BENEFÍCIOS MENSAIS E DIÁRIOS</t>
  </si>
  <si>
    <t>Benefícios mensais e diários</t>
  </si>
  <si>
    <t>Valor (R$)</t>
  </si>
  <si>
    <t>-</t>
  </si>
  <si>
    <t>E</t>
  </si>
  <si>
    <t>Total de benefícios mensais e diários</t>
  </si>
  <si>
    <t>Nota: o valor informado deverá ser o custo real do insumo (descontado o valor eventualmente pago pelo empregado).</t>
  </si>
  <si>
    <t>MÓDULO 3: INSUMOS DIVERSOS</t>
  </si>
  <si>
    <t>Insumos diversos</t>
  </si>
  <si>
    <t>Outros (especificar)</t>
  </si>
  <si>
    <t>0.00</t>
  </si>
  <si>
    <t>Total de insumos diversos</t>
  </si>
  <si>
    <t>Nota: Valores mensais por posto</t>
  </si>
  <si>
    <t>4.1</t>
  </si>
  <si>
    <t>Encargos previdenciários, FGTS e outras contribuições</t>
  </si>
  <si>
    <t xml:space="preserve">INSS                                                                                                                     </t>
  </si>
  <si>
    <t xml:space="preserve">SESI ou SESC                                                                                                    </t>
  </si>
  <si>
    <t xml:space="preserve">SENAI ou SENAC                                                                                               </t>
  </si>
  <si>
    <t xml:space="preserve">INCRA                                                                                                                  </t>
  </si>
  <si>
    <t xml:space="preserve">Salário educação                                                                                            </t>
  </si>
  <si>
    <t>F</t>
  </si>
  <si>
    <t xml:space="preserve">FGTS                                                                                                                     </t>
  </si>
  <si>
    <t>G</t>
  </si>
  <si>
    <t>RAT =</t>
  </si>
  <si>
    <t xml:space="preserve"> FAP =</t>
  </si>
  <si>
    <t>H</t>
  </si>
  <si>
    <t xml:space="preserve">SEBRAE                                                                                                              </t>
  </si>
  <si>
    <t>TOTAL</t>
  </si>
  <si>
    <t>Nota 1: Os percentuais dos encargos previdenciários, do FGTS e demais contribuições são aqueles estabelecidos pela legislação vigente.
Nota 2: Percentuais incidentes sobre a remuneração.</t>
  </si>
  <si>
    <t>Submódulo 4.2 - 13º (décimo terceiro) salário</t>
  </si>
  <si>
    <t>4.2</t>
  </si>
  <si>
    <t>13º (décimo terceiro) salário</t>
  </si>
  <si>
    <t>Subtotal</t>
  </si>
  <si>
    <t xml:space="preserve">Incidência dos encargos previstos no submódulo 4.1 sobre o 13º (décimo terceiro) salário </t>
  </si>
  <si>
    <t>Submódulo 4.3 - Afastamento maternidade</t>
  </si>
  <si>
    <t>4.3</t>
  </si>
  <si>
    <t>Afastamento maternidade</t>
  </si>
  <si>
    <t xml:space="preserve">Incidência dos encargos do submódulo 4.1 sobre o afastamento maternidade </t>
  </si>
  <si>
    <t>Submódulo 4.4 - Provisão para rescisão</t>
  </si>
  <si>
    <t>4.4</t>
  </si>
  <si>
    <t>Provisão para rescisão</t>
  </si>
  <si>
    <t>Incidência do FGTS sobre o aviso-prévio indenizado</t>
  </si>
  <si>
    <t>Incidência dos encargos do submódulo 4.1 sobre o aviso-prévio trabalhado</t>
  </si>
  <si>
    <t>Submódulo 4.5 - Custo de reposição do profissional ausente</t>
  </si>
  <si>
    <t>4.5</t>
  </si>
  <si>
    <t>Composição do custo de reposição do profissional ausente</t>
  </si>
  <si>
    <t>Incidência dos encargos do submódulo 4.1 sobre o custo de reposição do profissional ausente</t>
  </si>
  <si>
    <t>Quadro-Resumo do Módulo 4 - Encargos sociais e trabalhistas</t>
  </si>
  <si>
    <t>Módulo 4 - Encargos sociais e trabalhistas</t>
  </si>
  <si>
    <t>Custo de rescisão</t>
  </si>
  <si>
    <t>Custo de reposição do profissional ausente</t>
  </si>
  <si>
    <t>4.6</t>
  </si>
  <si>
    <t>MÓDULO 5 - CUSTOS INDIRETOS, LUCRO E TRIBUTOS</t>
  </si>
  <si>
    <t xml:space="preserve">Custos indiretos, lucro e tributos </t>
  </si>
  <si>
    <t>BASE DE CÁLCULO DOS CUSTOS INDIRETOS  = (Total da Remuneração + Total dos Benefícios Mensais e Diários + Total de Insumos Diversos + Total do Quadro-resumo do Módulo 4 de Encargos Sociais e Trabalhistas)</t>
  </si>
  <si>
    <t>Custos indiretos</t>
  </si>
  <si>
    <t>BASE DE CÁLCULO DO LUCRO = (Total da Remuneração + Total dos Benefícios Mensais e Diários + Total de Insumos Diversos + Total do Quadro-resumo do Módulo 4 de Encargos Sociais e Trabalhistas + Custos Indiretos)</t>
  </si>
  <si>
    <t>Lucro</t>
  </si>
  <si>
    <t>BASE DE CÁLCULO DOS TRIBUTOS = (Total da Remuneração + Total dos Benefícios Mensais e Diários + Total de Insumos Diversos + Total do Quadro-resumo do Módulo 4 de Encargos Sociais e Trabalhistas + Custos Indiretos + Lucro)</t>
  </si>
  <si>
    <t>Tributos</t>
  </si>
  <si>
    <t>C.1    Tributos federais (especificar)</t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</si>
  <si>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</si>
  <si>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</si>
  <si>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</si>
  <si>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</si>
  <si>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</si>
  <si>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</si>
  <si>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1 - (Total de Tributos em % dividido por 100)</t>
  </si>
  <si>
    <t>Nota 1: Custos indiretos, lucro e tributos por posto.
Nota 2: O valor referente a tributos é obtido aplicando-se o percentual sobre o valor do faturamento.</t>
  </si>
  <si>
    <t>Mão de obra vinculada à execução contratual (valor por posto de trabalho)</t>
  </si>
  <si>
    <t>Módulo 1 - Composição da remuneração</t>
  </si>
  <si>
    <t>Módulo 2 - Benefícios mensais e diários</t>
  </si>
  <si>
    <t>Módulo 3 - Insumo diversos (uniformes, materiais, equipamentos e outros)</t>
  </si>
  <si>
    <t>Subtotal (A + B + C + D)</t>
  </si>
  <si>
    <t>Módulo 5 - Custos indiretos, lucro e tributos</t>
  </si>
  <si>
    <t>VALOR TOTAL POR POSTO</t>
  </si>
  <si>
    <t>VALOR MENSAL DO SERVIÇO PARA 1 POSTO</t>
  </si>
  <si>
    <t>Número de meses do contrato</t>
  </si>
  <si>
    <t>III - QUANTIDADE DE PESSOAL ALOCADO NA EXECUÇÃO CONTRATUAL (inciso V do art. 21 da IN SLTI nº 2/2008)</t>
  </si>
  <si>
    <t>Tipo de Mão de Obra</t>
  </si>
  <si>
    <t>Quantidade de Pessoal</t>
  </si>
  <si>
    <t>Porteiro Jornada Diurna 12 horas, de segunda-feira a domingo, envolvendo 2 porteiros em turnos de 12 (doze) x 36 (trinta e seis) horas.</t>
  </si>
  <si>
    <t>2 pessoas por posto</t>
  </si>
  <si>
    <t>IV - MATERIAIS, MÁQUINAS E EQUIPAMENTOS ALOCADOS NA EXECUÇÃO CONTRATUAL  (inciso VI do art. 21 da IN SLTI nº 2/2008)</t>
  </si>
  <si>
    <t>Especificação dos Materiais/Máquinas/Equipamentos</t>
  </si>
  <si>
    <t xml:space="preserve">Quantidade </t>
  </si>
  <si>
    <t xml:space="preserve">Relógio Ponto Eletrônico </t>
  </si>
  <si>
    <t>PORTEIRO - JORNADA NOTURNO 12X36 -</t>
  </si>
  <si>
    <t>Porteiro Jornada Noturna 12 horas, de segunda-feira a domingo, envolvendo 2 porteiros em turnos de 12 (doze) x 36 (trinta e seis) horas. Das 19 horas Às 07 horas</t>
  </si>
  <si>
    <t>23371.000023/2023-04</t>
  </si>
  <si>
    <t>Pregão 02/2023</t>
  </si>
  <si>
    <t>Porteiro diurno</t>
  </si>
  <si>
    <r>
      <t>Valor do Salário/Hora =</t>
    </r>
    <r>
      <rPr>
        <b/>
        <sz val="10"/>
        <color indexed="10"/>
        <rFont val="Calibri"/>
        <family val="2"/>
      </rPr>
      <t xml:space="preserve"> (VSH = valor do Salário Normativo / 220 horas)</t>
    </r>
  </si>
  <si>
    <r>
      <t>Valor da Hora Extra (HE) =</t>
    </r>
    <r>
      <rPr>
        <b/>
        <sz val="10"/>
        <color indexed="10"/>
        <rFont val="Calibri"/>
        <family val="2"/>
      </rPr>
      <t xml:space="preserve"> ( valor VSH + 50%)</t>
    </r>
  </si>
  <si>
    <r>
      <t xml:space="preserve">Salário-base   - </t>
    </r>
    <r>
      <rPr>
        <b/>
        <sz val="10"/>
        <color indexed="10"/>
        <rFont val="Calibri"/>
        <family val="2"/>
      </rPr>
      <t>CBO: 5174 (valor para 2 porteiros = 1 posto)</t>
    </r>
  </si>
  <si>
    <r>
      <t xml:space="preserve">Transporte - </t>
    </r>
    <r>
      <rPr>
        <b/>
        <sz val="10"/>
        <color indexed="10"/>
        <rFont val="Calibri"/>
        <family val="2"/>
      </rPr>
      <t xml:space="preserve">Cálculo do valor: [(2xVTx30) – (6%xSB) </t>
    </r>
    <r>
      <rPr>
        <b/>
        <sz val="10"/>
        <color indexed="12"/>
        <rFont val="Calibri"/>
        <family val="2"/>
      </rPr>
      <t xml:space="preserve">-   </t>
    </r>
    <r>
      <rPr>
        <b/>
        <sz val="10"/>
        <color indexed="30"/>
        <rFont val="Calibri"/>
        <family val="2"/>
      </rPr>
      <t xml:space="preserve">(sendo 2 passagens diárias. Utilizou-se o valor unitário de R$ 5,25 - valor da linha Unesul GV/PF via Sertão) </t>
    </r>
  </si>
  <si>
    <r>
      <t xml:space="preserve">      </t>
    </r>
    <r>
      <rPr>
        <b/>
        <sz val="10"/>
        <color indexed="10"/>
        <rFont val="Calibri"/>
        <family val="2"/>
      </rPr>
      <t>A.1)  Valor da passagem do transporte coletivo no município de
                prestação dos serviços</t>
    </r>
  </si>
  <si>
    <r>
      <t xml:space="preserve">     </t>
    </r>
    <r>
      <rPr>
        <b/>
        <sz val="10"/>
        <color indexed="10"/>
        <rFont val="Calibri"/>
        <family val="2"/>
      </rPr>
      <t xml:space="preserve"> A.2) Quantidade de passagens por dia por empregado</t>
    </r>
  </si>
  <si>
    <r>
      <t xml:space="preserve">Auxílio-alimentação  (vales, cesta básica, entre outros)  </t>
    </r>
    <r>
      <rPr>
        <b/>
        <sz val="10"/>
        <color indexed="10"/>
        <rFont val="Calibri"/>
        <family val="2"/>
      </rPr>
      <t>Cálculo do valor = [(30xVA)x(1-0,19)]</t>
    </r>
  </si>
  <si>
    <r>
      <t xml:space="preserve">      </t>
    </r>
    <r>
      <rPr>
        <b/>
        <sz val="10"/>
        <color indexed="10"/>
        <rFont val="Calibri"/>
        <family val="2"/>
      </rPr>
      <t>B.1) Valor do auxílio-alimentação (cláusula DÉCIMA OITAVA da CCT 2022 - SINDASSEIO)</t>
    </r>
  </si>
  <si>
    <r>
      <t xml:space="preserve">Plano Benefício Social familiar   </t>
    </r>
    <r>
      <rPr>
        <b/>
        <sz val="10"/>
        <color indexed="10"/>
        <rFont val="Calibri"/>
        <family val="2"/>
      </rPr>
      <t xml:space="preserve"> (cláusula VIGÉSIMA NONA da CCT 2022 - SINDASSEIO  item 5.1)</t>
    </r>
  </si>
  <si>
    <r>
      <t xml:space="preserve">Intervalo Intrajornada </t>
    </r>
    <r>
      <rPr>
        <b/>
        <sz val="10"/>
        <color indexed="10"/>
        <rFont val="Calibri"/>
        <family val="2"/>
      </rPr>
      <t>(adicional de Intervalo) Cálculo do Valor: HEx15x2 (Conforme Reforma Trabalhista, somente de Natureza Indenizatória)</t>
    </r>
  </si>
  <si>
    <r>
      <t xml:space="preserve">Materiais / Equipamentos   </t>
    </r>
    <r>
      <rPr>
        <b/>
        <sz val="10"/>
        <color indexed="30"/>
        <rFont val="Calibri"/>
        <family val="2"/>
      </rPr>
      <t xml:space="preserve"> (Relógio Ponto Biométrico, para o levantamento do custo mensal, utilizou-se valor de mercado)</t>
    </r>
  </si>
  <si>
    <r>
      <t xml:space="preserve">13º (décimo terceiro) salário                                                 </t>
    </r>
    <r>
      <rPr>
        <b/>
        <sz val="10"/>
        <color indexed="10"/>
        <rFont val="Calibri"/>
        <family val="2"/>
      </rPr>
      <t>Cálculo do valor = Rem/12</t>
    </r>
    <r>
      <rPr>
        <b/>
        <sz val="10"/>
        <color indexed="12"/>
        <rFont val="Calibri"/>
        <family val="2"/>
      </rPr>
      <t xml:space="preserve">      </t>
    </r>
  </si>
  <si>
    <r>
      <t xml:space="preserve">Afastamento maternidade      </t>
    </r>
    <r>
      <rPr>
        <b/>
        <sz val="10"/>
        <color indexed="10"/>
        <rFont val="Calibri"/>
        <family val="2"/>
      </rPr>
      <t xml:space="preserve">Cálculo do valor = {[(Rem+1/3Rem)/12]x(4/12)}x2% </t>
    </r>
  </si>
  <si>
    <r>
      <t xml:space="preserve">Férias e terço constitucional de férias      </t>
    </r>
    <r>
      <rPr>
        <b/>
        <sz val="10"/>
        <color indexed="10"/>
        <rFont val="Calibri"/>
        <family val="2"/>
      </rPr>
      <t xml:space="preserve">Cálculo do valor = [(Rem/12)+((Rem/3)/12)]   </t>
    </r>
  </si>
  <si>
    <r>
      <t xml:space="preserve">Ausência por doença                                                </t>
    </r>
    <r>
      <rPr>
        <b/>
        <sz val="10"/>
        <color indexed="10"/>
        <rFont val="Calibri"/>
        <family val="2"/>
      </rPr>
      <t xml:space="preserve">Cálculo do valor = [(Rem/30)x3dias]/12 </t>
    </r>
  </si>
  <si>
    <r>
      <t xml:space="preserve">Licença-paternidade                                     </t>
    </r>
    <r>
      <rPr>
        <b/>
        <sz val="10"/>
        <color indexed="10"/>
        <rFont val="Calibri"/>
        <family val="2"/>
      </rPr>
      <t xml:space="preserve">Cálculo do valor = {[(Rem/30)x5dias]/12}x1,5% </t>
    </r>
  </si>
  <si>
    <r>
      <t xml:space="preserve">Ausências legais                                                     </t>
    </r>
    <r>
      <rPr>
        <b/>
        <sz val="10"/>
        <color indexed="10"/>
        <rFont val="Calibri"/>
        <family val="2"/>
      </rPr>
      <t xml:space="preserve">Cálculo do valor = [(Rem/30)x2,96dias]/12 </t>
    </r>
  </si>
  <si>
    <r>
      <t xml:space="preserve">Ausência por acidente de trabalho      </t>
    </r>
    <r>
      <rPr>
        <b/>
        <sz val="10"/>
        <color indexed="10"/>
        <rFont val="Calibri"/>
        <family val="2"/>
      </rPr>
      <t xml:space="preserve">Cálculo do valor = {[(Rem/30)x15dias]/12}x0,78% </t>
    </r>
  </si>
  <si>
    <t xml:space="preserve">                                                                  MÓDULO 4: ENCARGOS SOCIAIS E TRABALHISTAS
                                         Submódulo 4.1 - Encargos Previdenciários, FGTS e outras contribuições</t>
  </si>
  <si>
    <t xml:space="preserve">ANEXO -------B
Quadro-Resumo do custo por posto de trabalho
</t>
  </si>
  <si>
    <t>Valor global da proposta (valor mensal do serviço x nº de meses do contrato)</t>
  </si>
  <si>
    <r>
      <t xml:space="preserve">Seguro acidente de trabalho (RAT x FAP)  </t>
    </r>
    <r>
      <rPr>
        <b/>
        <sz val="10"/>
        <color indexed="12"/>
        <rFont val="Calibri"/>
        <family val="2"/>
      </rPr>
      <t xml:space="preserve"> 
</t>
    </r>
    <r>
      <rPr>
        <b/>
        <sz val="10"/>
        <color indexed="10"/>
        <rFont val="Calibri"/>
        <family val="2"/>
      </rPr>
      <t>Cálculo do valor: % do RAT x FAP (Fator Acidentário de Prevenção de cada empresa)</t>
    </r>
  </si>
  <si>
    <r>
      <t xml:space="preserve">Aviso-prévio indenizado     </t>
    </r>
    <r>
      <rPr>
        <b/>
        <sz val="10"/>
        <color indexed="10"/>
        <rFont val="Calibri"/>
        <family val="2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</si>
  <si>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t xml:space="preserve">Multa sobre o FGTS e contribuições sociais sobre o  aviso-prévio indenizado                                                                           </t>
    </r>
    <r>
      <rPr>
        <b/>
        <sz val="10"/>
        <color indexed="10"/>
        <rFont val="Calibri"/>
        <family val="2"/>
      </rPr>
      <t>Cálculo do valor = [40%x8%x(Rem+13º+Férias+1/3xFérias)]x5% de rotatividade</t>
    </r>
  </si>
  <si>
    <r>
      <t xml:space="preserve">Aviso-previo trabalhado       </t>
    </r>
    <r>
      <rPr>
        <b/>
        <sz val="10"/>
        <color indexed="10"/>
        <rFont val="Calibri"/>
        <family val="2"/>
      </rPr>
      <t>(negociar extinção/redução na 1ª prorrogação. Em caso de prorrogação de contrato, o percentual máximo dessa parcela será de 0,194% a cada ano de prorrogação)  Cálculo do valor= [(Rem/30)x7]/</t>
    </r>
    <r>
      <rPr>
        <b/>
        <sz val="10"/>
        <color indexed="12"/>
        <rFont val="Calibri"/>
        <family val="2"/>
      </rPr>
      <t>12</t>
    </r>
    <r>
      <rPr>
        <b/>
        <sz val="10"/>
        <color indexed="10"/>
        <rFont val="Calibri"/>
        <family val="2"/>
      </rPr>
      <t xml:space="preserve"> meses do contratox90% dos empregados - ao final do contrato  </t>
    </r>
  </si>
  <si>
    <r>
      <t xml:space="preserve">Multa sobre o FGTS e contribuições sociais sobre o  aviso-prévio trabalhado                  </t>
    </r>
    <r>
      <rPr>
        <b/>
        <sz val="10"/>
        <color indexed="10"/>
        <rFont val="Calibri"/>
        <family val="2"/>
      </rPr>
      <t>Cálculo do valor = [40%x8%x(Rem+13º+Férias+1/3xFérias)]x90% dos empregados</t>
    </r>
  </si>
  <si>
    <r>
      <t xml:space="preserve">  </t>
    </r>
    <r>
      <rPr>
        <b/>
        <sz val="10"/>
        <rFont val="Calibri"/>
        <family val="2"/>
      </rPr>
      <t xml:space="preserve">a) Cofins </t>
    </r>
    <r>
      <rPr>
        <sz val="10"/>
        <color indexed="10"/>
        <rFont val="Calibri"/>
        <family val="2"/>
      </rPr>
      <t>(depende do regime de tributação - utilizada a hipótese de Lucro Real ou Presumido)</t>
    </r>
  </si>
  <si>
    <r>
      <t xml:space="preserve">  </t>
    </r>
    <r>
      <rPr>
        <b/>
        <sz val="10"/>
        <rFont val="Calibri"/>
        <family val="2"/>
      </rPr>
      <t xml:space="preserve">b) PIS       </t>
    </r>
    <r>
      <rPr>
        <sz val="10"/>
        <color indexed="10"/>
        <rFont val="Calibri"/>
        <family val="2"/>
      </rPr>
      <t>(depende do regime de tributação - utilizada a hipótese de Lucro Real ou Presumido)</t>
    </r>
  </si>
  <si>
    <r>
      <t xml:space="preserve"> c) IRPJ</t>
    </r>
    <r>
      <rPr>
        <b/>
        <sz val="10"/>
        <color indexed="10"/>
        <rFont val="Calibri"/>
        <family val="2"/>
      </rPr>
      <t xml:space="preserve"> - Em face do Ac. TCU nº 648/2016-P, o licitante pode cotar este tributo, porém a Administração não pode inclui-lo no orçamento-base</t>
    </r>
  </si>
  <si>
    <r>
      <t xml:space="preserve"> d) CSLL </t>
    </r>
    <r>
      <rPr>
        <b/>
        <sz val="10"/>
        <color indexed="10"/>
        <rFont val="Calibri"/>
        <family val="2"/>
      </rPr>
      <t>- Em face do Ac. TCU nº 648/2016-P, o licitante pode cotar este tributo, porém a Administração não pode inclui-lo no orçamento-base</t>
    </r>
  </si>
  <si>
    <t>ITEM 02 - PORTEIRO DIURNO (12X36) - Lucro Real</t>
  </si>
  <si>
    <r>
      <t xml:space="preserve">Adicional Noturno (das 22h as 5h) </t>
    </r>
    <r>
      <rPr>
        <b/>
        <sz val="10"/>
        <color indexed="10"/>
        <rFont val="Calibri"/>
        <family val="2"/>
      </rPr>
      <t>(cálculo do valor = VSH x 20%  * 7 horas * 15 dias * 2 porteiros)</t>
    </r>
  </si>
  <si>
    <r>
      <t xml:space="preserve">Hora Noturna Adicional </t>
    </r>
    <r>
      <rPr>
        <b/>
        <sz val="10"/>
        <color indexed="10"/>
        <rFont val="Calibri"/>
        <family val="2"/>
      </rPr>
      <t>(cálculo do valor = VSH x 20% * 1 hora adicional * 15 dias *2 porteiros</t>
    </r>
    <r>
      <rPr>
        <b/>
        <sz val="10"/>
        <rFont val="Calibri"/>
        <family val="2"/>
      </rPr>
      <t xml:space="preserve"> (Equivalências de 1 hora adicional = 60/52,5min = 1,1428571 * 7 horas noturnas) </t>
    </r>
  </si>
  <si>
    <r>
      <t xml:space="preserve">      </t>
    </r>
    <r>
      <rPr>
        <b/>
        <sz val="10"/>
        <color indexed="10"/>
        <rFont val="Calibri"/>
        <family val="2"/>
      </rPr>
      <t>B.1) Valor do auxílio-alimentação (cláusula DÉCIMA OITAVA da CCT 2018 - SINDASSEIO)</t>
    </r>
  </si>
  <si>
    <r>
      <t xml:space="preserve">Plano Benefício Social familiar   </t>
    </r>
    <r>
      <rPr>
        <b/>
        <sz val="10"/>
        <color indexed="10"/>
        <rFont val="Calibri"/>
        <family val="2"/>
      </rPr>
      <t xml:space="preserve"> (cláusula VIGÉSIMA SEGUNDA da CCT 2018 - SINDASSEIO  item 10)</t>
    </r>
  </si>
  <si>
    <r>
      <t xml:space="preserve">ANEXO II  </t>
    </r>
    <r>
      <rPr>
        <b/>
        <sz val="10"/>
        <color indexed="10"/>
        <rFont val="Calibri"/>
        <family val="2"/>
      </rPr>
      <t xml:space="preserve">do Pregão nº 02/2023
</t>
    </r>
    <r>
      <rPr>
        <b/>
        <sz val="10"/>
        <color indexed="12"/>
        <rFont val="Calibri"/>
        <family val="2"/>
      </rPr>
      <t xml:space="preserve">Pagamento pelo Fato Gerador
</t>
    </r>
    <r>
      <rPr>
        <b/>
        <sz val="10"/>
        <rFont val="Calibri"/>
        <family val="2"/>
      </rPr>
      <t xml:space="preserve">PLANILHA DE CUSTOS E FORMAÇÃO DE PREÇOS </t>
    </r>
    <r>
      <rPr>
        <b/>
        <sz val="10"/>
        <color indexed="20"/>
        <rFont val="Calibri"/>
        <family val="2"/>
      </rPr>
      <t xml:space="preserve"> </t>
    </r>
  </si>
  <si>
    <r>
      <t xml:space="preserve">Uniformes/EPI's </t>
    </r>
    <r>
      <rPr>
        <b/>
        <sz val="10"/>
        <color indexed="30"/>
        <rFont val="Calibri"/>
        <family val="2"/>
      </rPr>
      <t xml:space="preserve"> (Peças que compõem o Uniforme/EPI's - item 9 do TR). Para o levantamento de custos mensal, utilizou-se valores do banco de preços.</t>
    </r>
  </si>
  <si>
    <t>ITEM 03 - PORTEIRO NOTURNO (12X36) - Lucro Real</t>
  </si>
  <si>
    <t>Dia:  /  /2023 - Hora: 08h 30min</t>
  </si>
  <si>
    <t>Dia:   /   /2023 - Hora: 08h 30min</t>
  </si>
  <si>
    <t>Porteiro noturno</t>
  </si>
  <si>
    <r>
      <t xml:space="preserve">Uniformes/EPI's </t>
    </r>
    <r>
      <rPr>
        <b/>
        <sz val="10"/>
        <color indexed="30"/>
        <rFont val="Calibri"/>
        <family val="2"/>
      </rPr>
      <t xml:space="preserve"> (Peças que compõem o Uniforme/EPI's - item 9 do TR). Para o levantamento de custos mensal, utilizou-se valores do banco de preços</t>
    </r>
  </si>
  <si>
    <r>
      <t xml:space="preserve">  a) ISSQN             </t>
    </r>
    <r>
      <rPr>
        <b/>
        <sz val="10"/>
        <color indexed="10"/>
        <rFont val="Calibri"/>
        <family val="2"/>
      </rPr>
      <t>(lei Municipal SERTÃO)</t>
    </r>
  </si>
  <si>
    <t>RS 000050/2023
01/01/2023 a 31/12/2023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</si>
</sst>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&quot;R$ &quot;#,##0.00"/>
    <numFmt numFmtId="166" formatCode="_(* #,##0.00_);_(* \(#,##0.00\);_(* \-??_);_(@_)"/>
    <numFmt numFmtId="167" formatCode="&quot;R$&quot;#,##0.00"/>
    <numFmt numFmtId="168" formatCode="0.0000"/>
    <numFmt numFmtId="169" formatCode="0.0000%"/>
    <numFmt numFmtId="170" formatCode="mm/dd/yyyy"/>
    <numFmt numFmtId="171" formatCode="0;[Red]\-0"/>
  </numFmts>
  <fonts count="49">
    <font>
      <sz val="1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0"/>
      <color indexed="30"/>
      <name val="Calibri"/>
      <family val="2"/>
    </font>
    <font>
      <sz val="10"/>
      <color indexed="10"/>
      <name val="Calibri"/>
      <family val="2"/>
    </font>
    <font>
      <b/>
      <sz val="10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4" applyNumberFormat="0" applyAlignment="0" applyProtection="0"/>
    <xf numFmtId="0" fontId="4" fillId="22" borderId="5" applyNumberFormat="0" applyAlignment="0" applyProtection="0"/>
    <xf numFmtId="0" fontId="36" fillId="0" borderId="6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" fillId="32" borderId="0" applyNumberFormat="0" applyBorder="0" applyAlignment="0" applyProtection="0"/>
    <xf numFmtId="0" fontId="42" fillId="33" borderId="0" applyNumberFormat="0" applyBorder="0" applyAlignment="0" applyProtection="0"/>
    <xf numFmtId="0" fontId="0" fillId="34" borderId="7" applyNumberFormat="0" applyFont="0" applyAlignment="0" applyProtection="0"/>
    <xf numFmtId="9" fontId="0" fillId="0" borderId="0" applyFill="0" applyBorder="0" applyAlignment="0" applyProtection="0"/>
    <xf numFmtId="0" fontId="43" fillId="21" borderId="8" applyNumberFormat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5" borderId="10" applyNumberFormat="0" applyAlignment="0" applyProtection="0"/>
    <xf numFmtId="166" fontId="0" fillId="0" borderId="0" applyFill="0" applyBorder="0" applyAlignment="0" applyProtection="0"/>
  </cellStyleXfs>
  <cellXfs count="164"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165" fontId="5" fillId="36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65" fontId="5" fillId="0" borderId="11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vertical="center"/>
    </xf>
    <xf numFmtId="0" fontId="5" fillId="36" borderId="11" xfId="0" applyFont="1" applyFill="1" applyBorder="1" applyAlignment="1">
      <alignment horizontal="center" vertical="center"/>
    </xf>
    <xf numFmtId="165" fontId="5" fillId="36" borderId="11" xfId="0" applyNumberFormat="1" applyFont="1" applyFill="1" applyBorder="1" applyAlignment="1" applyProtection="1">
      <alignment horizontal="right" vertical="center"/>
      <protection locked="0"/>
    </xf>
    <xf numFmtId="165" fontId="6" fillId="37" borderId="11" xfId="0" applyNumberFormat="1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horizontal="center" vertical="center"/>
    </xf>
    <xf numFmtId="165" fontId="5" fillId="37" borderId="11" xfId="0" applyNumberFormat="1" applyFont="1" applyFill="1" applyBorder="1" applyAlignment="1">
      <alignment horizontal="right" vertical="center"/>
    </xf>
    <xf numFmtId="165" fontId="5" fillId="0" borderId="11" xfId="0" applyNumberFormat="1" applyFont="1" applyBorder="1" applyAlignment="1">
      <alignment horizontal="right" vertical="center" wrapText="1"/>
    </xf>
    <xf numFmtId="0" fontId="5" fillId="32" borderId="11" xfId="0" applyFont="1" applyFill="1" applyBorder="1" applyAlignment="1">
      <alignment horizontal="center" vertical="center"/>
    </xf>
    <xf numFmtId="165" fontId="5" fillId="32" borderId="11" xfId="0" applyNumberFormat="1" applyFont="1" applyFill="1" applyBorder="1" applyAlignment="1">
      <alignment horizontal="right" vertical="center"/>
    </xf>
    <xf numFmtId="165" fontId="5" fillId="32" borderId="11" xfId="0" applyNumberFormat="1" applyFont="1" applyFill="1" applyBorder="1" applyAlignment="1">
      <alignment horizontal="right" vertical="center" wrapText="1"/>
    </xf>
    <xf numFmtId="0" fontId="25" fillId="36" borderId="14" xfId="0" applyFont="1" applyFill="1" applyBorder="1" applyAlignment="1">
      <alignment horizontal="center" vertical="center"/>
    </xf>
    <xf numFmtId="165" fontId="25" fillId="36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right" vertical="center"/>
    </xf>
    <xf numFmtId="165" fontId="5" fillId="0" borderId="11" xfId="0" applyNumberFormat="1" applyFont="1" applyFill="1" applyBorder="1" applyAlignment="1">
      <alignment horizontal="right" vertical="center"/>
    </xf>
    <xf numFmtId="10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 wrapText="1"/>
    </xf>
    <xf numFmtId="9" fontId="5" fillId="0" borderId="11" xfId="0" applyNumberFormat="1" applyFont="1" applyBorder="1" applyAlignment="1">
      <alignment horizontal="left" vertical="center" wrapText="1"/>
    </xf>
    <xf numFmtId="168" fontId="5" fillId="0" borderId="11" xfId="0" applyNumberFormat="1" applyFont="1" applyBorder="1" applyAlignment="1">
      <alignment horizontal="left" vertical="center" wrapText="1"/>
    </xf>
    <xf numFmtId="169" fontId="5" fillId="0" borderId="11" xfId="0" applyNumberFormat="1" applyFont="1" applyBorder="1" applyAlignment="1">
      <alignment horizontal="right" vertical="center"/>
    </xf>
    <xf numFmtId="169" fontId="5" fillId="32" borderId="11" xfId="0" applyNumberFormat="1" applyFont="1" applyFill="1" applyBorder="1" applyAlignment="1">
      <alignment horizontal="right" vertical="center"/>
    </xf>
    <xf numFmtId="0" fontId="5" fillId="36" borderId="16" xfId="0" applyFont="1" applyFill="1" applyBorder="1" applyAlignment="1">
      <alignment horizontal="right" vertical="center"/>
    </xf>
    <xf numFmtId="0" fontId="25" fillId="36" borderId="14" xfId="0" applyFont="1" applyFill="1" applyBorder="1" applyAlignment="1">
      <alignment horizontal="right" vertical="center"/>
    </xf>
    <xf numFmtId="10" fontId="5" fillId="36" borderId="14" xfId="0" applyNumberFormat="1" applyFont="1" applyFill="1" applyBorder="1" applyAlignment="1">
      <alignment horizontal="right" vertical="center"/>
    </xf>
    <xf numFmtId="165" fontId="5" fillId="36" borderId="15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/>
    </xf>
    <xf numFmtId="165" fontId="5" fillId="32" borderId="11" xfId="0" applyNumberFormat="1" applyFont="1" applyFill="1" applyBorder="1" applyAlignment="1">
      <alignment horizontal="right"/>
    </xf>
    <xf numFmtId="165" fontId="5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right" vertical="center"/>
    </xf>
    <xf numFmtId="10" fontId="6" fillId="0" borderId="11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right" vertical="center" wrapText="1"/>
    </xf>
    <xf numFmtId="165" fontId="5" fillId="0" borderId="11" xfId="0" applyNumberFormat="1" applyFont="1" applyFill="1" applyBorder="1" applyAlignment="1">
      <alignment/>
    </xf>
    <xf numFmtId="10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/>
    </xf>
    <xf numFmtId="10" fontId="6" fillId="0" borderId="11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5" fillId="32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10" fontId="25" fillId="0" borderId="0" xfId="67" applyNumberFormat="1" applyFont="1" applyFill="1" applyBorder="1" applyAlignment="1" applyProtection="1">
      <alignment horizontal="center" vertical="center"/>
      <protection/>
    </xf>
    <xf numFmtId="164" fontId="25" fillId="0" borderId="0" xfId="52" applyFont="1" applyFill="1" applyBorder="1" applyAlignment="1" applyProtection="1">
      <alignment vertical="center"/>
      <protection/>
    </xf>
    <xf numFmtId="165" fontId="7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/>
    </xf>
    <xf numFmtId="165" fontId="5" fillId="32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165" fontId="5" fillId="32" borderId="11" xfId="0" applyNumberFormat="1" applyFont="1" applyFill="1" applyBorder="1" applyAlignment="1">
      <alignment vertical="center"/>
    </xf>
    <xf numFmtId="167" fontId="25" fillId="0" borderId="0" xfId="0" applyNumberFormat="1" applyFont="1" applyAlignment="1">
      <alignment/>
    </xf>
    <xf numFmtId="0" fontId="25" fillId="0" borderId="0" xfId="0" applyFont="1" applyAlignment="1" applyProtection="1">
      <alignment/>
      <protection locked="0"/>
    </xf>
    <xf numFmtId="165" fontId="5" fillId="32" borderId="11" xfId="0" applyNumberFormat="1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5" fillId="32" borderId="16" xfId="0" applyFont="1" applyFill="1" applyBorder="1" applyAlignment="1">
      <alignment horizontal="center" vertical="center"/>
    </xf>
    <xf numFmtId="0" fontId="2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165" fontId="5" fillId="32" borderId="11" xfId="0" applyNumberFormat="1" applyFont="1" applyFill="1" applyBorder="1" applyAlignment="1">
      <alignment horizontal="center"/>
    </xf>
    <xf numFmtId="0" fontId="25" fillId="0" borderId="0" xfId="0" applyFont="1" applyAlignment="1">
      <alignment horizontal="justify"/>
    </xf>
    <xf numFmtId="165" fontId="25" fillId="0" borderId="0" xfId="0" applyNumberFormat="1" applyFont="1" applyAlignment="1">
      <alignment/>
    </xf>
    <xf numFmtId="0" fontId="25" fillId="32" borderId="0" xfId="0" applyFont="1" applyFill="1" applyAlignment="1">
      <alignment/>
    </xf>
    <xf numFmtId="165" fontId="6" fillId="32" borderId="11" xfId="0" applyNumberFormat="1" applyFont="1" applyFill="1" applyBorder="1" applyAlignment="1">
      <alignment horizontal="right" vertical="center" wrapText="1"/>
    </xf>
    <xf numFmtId="165" fontId="25" fillId="38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164" fontId="25" fillId="0" borderId="11" xfId="52" applyFont="1" applyFill="1" applyBorder="1" applyAlignment="1" applyProtection="1">
      <alignment vertical="center"/>
      <protection/>
    </xf>
    <xf numFmtId="164" fontId="25" fillId="0" borderId="0" xfId="52" applyFont="1" applyFill="1" applyBorder="1" applyAlignment="1" applyProtection="1">
      <alignment/>
      <protection/>
    </xf>
    <xf numFmtId="164" fontId="5" fillId="0" borderId="1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65" fontId="5" fillId="0" borderId="11" xfId="0" applyNumberFormat="1" applyFont="1" applyFill="1" applyBorder="1" applyAlignment="1">
      <alignment vertical="center"/>
    </xf>
    <xf numFmtId="0" fontId="5" fillId="37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right" vertical="center" wrapText="1"/>
    </xf>
    <xf numFmtId="1" fontId="6" fillId="32" borderId="1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left" vertical="center" wrapText="1"/>
    </xf>
    <xf numFmtId="165" fontId="7" fillId="36" borderId="11" xfId="0" applyNumberFormat="1" applyFont="1" applyFill="1" applyBorder="1" applyAlignment="1" applyProtection="1">
      <alignment horizontal="right" vertical="center"/>
      <protection locked="0"/>
    </xf>
    <xf numFmtId="14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4" fontId="7" fillId="0" borderId="12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1" fontId="7" fillId="0" borderId="11" xfId="0" applyNumberFormat="1" applyFont="1" applyFill="1" applyBorder="1" applyAlignment="1">
      <alignment horizontal="right" vertical="center" wrapText="1"/>
    </xf>
    <xf numFmtId="0" fontId="5" fillId="36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36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 wrapText="1"/>
    </xf>
    <xf numFmtId="0" fontId="5" fillId="36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9" fillId="36" borderId="16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49" fontId="5" fillId="32" borderId="16" xfId="0" applyNumberFormat="1" applyFont="1" applyFill="1" applyBorder="1" applyAlignment="1">
      <alignment horizontal="right" vertical="center" wrapText="1"/>
    </xf>
    <xf numFmtId="49" fontId="6" fillId="32" borderId="16" xfId="0" applyNumberFormat="1" applyFont="1" applyFill="1" applyBorder="1" applyAlignment="1">
      <alignment horizontal="right" vertical="center" wrapText="1"/>
    </xf>
    <xf numFmtId="0" fontId="5" fillId="36" borderId="11" xfId="0" applyFont="1" applyFill="1" applyBorder="1" applyAlignment="1">
      <alignment horizontal="left"/>
    </xf>
    <xf numFmtId="0" fontId="5" fillId="36" borderId="20" xfId="0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165" fontId="6" fillId="0" borderId="11" xfId="0" applyNumberFormat="1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top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justify" wrapText="1"/>
    </xf>
    <xf numFmtId="0" fontId="5" fillId="36" borderId="11" xfId="0" applyFont="1" applyFill="1" applyBorder="1" applyAlignment="1">
      <alignment horizontal="center"/>
    </xf>
    <xf numFmtId="0" fontId="5" fillId="0" borderId="16" xfId="0" applyFont="1" applyBorder="1" applyAlignment="1">
      <alignment horizontal="justify" vertical="top"/>
    </xf>
    <xf numFmtId="0" fontId="25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 vertical="center" wrapText="1"/>
    </xf>
  </cellXfs>
  <cellStyles count="5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Bom" xfId="33"/>
    <cellStyle name="Cabeçalho 1" xfId="34"/>
    <cellStyle name="Cabeçalho 2" xfId="35"/>
    <cellStyle name="Cabeçalho 3" xfId="36"/>
    <cellStyle name="Cabeçalho 4" xfId="37"/>
    <cellStyle name="Cálculo" xfId="38"/>
    <cellStyle name="Célula de Verificação" xfId="39"/>
    <cellStyle name="Célula Ligada" xfId="40"/>
    <cellStyle name="Cor1" xfId="41"/>
    <cellStyle name="Cor2" xfId="42"/>
    <cellStyle name="Cor3" xfId="43"/>
    <cellStyle name="Cor4" xfId="44"/>
    <cellStyle name="Cor5" xfId="45"/>
    <cellStyle name="Cor6" xfId="46"/>
    <cellStyle name="Correto" xfId="47"/>
    <cellStyle name="Entrada" xfId="48"/>
    <cellStyle name="Hyperlink" xfId="49"/>
    <cellStyle name="Followed Hyperlink" xfId="50"/>
    <cellStyle name="Incorreto" xfId="51"/>
    <cellStyle name="Currency" xfId="52"/>
    <cellStyle name="Currency [0]" xfId="53"/>
    <cellStyle name="Neutra" xfId="54"/>
    <cellStyle name="Neutro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5" xfId="63"/>
    <cellStyle name="Título 5 2" xfId="64"/>
    <cellStyle name="Total" xfId="65"/>
    <cellStyle name="Verificar Célula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2:H7"/>
  <sheetViews>
    <sheetView tabSelected="1" view="pageBreakPreview" zoomScale="110" zoomScaleNormal="110" zoomScaleSheetLayoutView="110" zoomScalePageLayoutView="0" workbookViewId="0" topLeftCell="A1">
      <selection activeCell="G21" sqref="G21"/>
    </sheetView>
  </sheetViews>
  <sheetFormatPr defaultColWidth="9.00390625" defaultRowHeight="12.75"/>
  <cols>
    <col min="1" max="1" width="7.7109375" style="53" customWidth="1"/>
    <col min="2" max="2" width="6.8515625" style="53" customWidth="1"/>
    <col min="3" max="3" width="28.00390625" style="53" customWidth="1"/>
    <col min="4" max="4" width="8.28125" style="53" customWidth="1"/>
    <col min="5" max="7" width="16.140625" style="53" customWidth="1"/>
    <col min="8" max="16384" width="9.00390625" style="53" customWidth="1"/>
  </cols>
  <sheetData>
    <row r="2" ht="12.75">
      <c r="A2" s="76" t="s">
        <v>0</v>
      </c>
    </row>
    <row r="3" spans="1:7" ht="27.75" customHeight="1">
      <c r="A3" s="77" t="s">
        <v>1</v>
      </c>
      <c r="B3" s="77" t="s">
        <v>2</v>
      </c>
      <c r="C3" s="77" t="s">
        <v>3</v>
      </c>
      <c r="D3" s="78" t="s">
        <v>4</v>
      </c>
      <c r="E3" s="77" t="s">
        <v>5</v>
      </c>
      <c r="F3" s="77" t="s">
        <v>6</v>
      </c>
      <c r="G3" s="77" t="s">
        <v>7</v>
      </c>
    </row>
    <row r="4" spans="1:8" ht="38.25">
      <c r="A4" s="87">
        <v>2</v>
      </c>
      <c r="B4" s="79">
        <v>3</v>
      </c>
      <c r="C4" s="80" t="s">
        <v>8</v>
      </c>
      <c r="D4" s="79">
        <v>12</v>
      </c>
      <c r="E4" s="81">
        <f>'PORTEIRO DIURNO ITEM 3'!I144</f>
        <v>9897.48</v>
      </c>
      <c r="F4" s="81">
        <f>E4</f>
        <v>9897.48</v>
      </c>
      <c r="G4" s="81">
        <f>F4*12</f>
        <v>118769.76</v>
      </c>
      <c r="H4" s="82"/>
    </row>
    <row r="5" spans="1:8" ht="38.25">
      <c r="A5" s="87"/>
      <c r="B5" s="79">
        <v>4</v>
      </c>
      <c r="C5" s="80" t="s">
        <v>9</v>
      </c>
      <c r="D5" s="79">
        <v>12</v>
      </c>
      <c r="E5" s="81">
        <f>'PORTEIRO NOTURNO ITEM 4 '!I147</f>
        <v>10790.51</v>
      </c>
      <c r="F5" s="81">
        <f>E5</f>
        <v>10790.51</v>
      </c>
      <c r="G5" s="81">
        <f>F5*12</f>
        <v>129486.12</v>
      </c>
      <c r="H5" s="82"/>
    </row>
    <row r="6" spans="1:7" ht="25.5" customHeight="1">
      <c r="A6" s="88" t="s">
        <v>10</v>
      </c>
      <c r="B6" s="88"/>
      <c r="C6" s="88"/>
      <c r="D6" s="88"/>
      <c r="E6" s="88"/>
      <c r="F6" s="83">
        <f>SUM(F4:F5)</f>
        <v>20687.99</v>
      </c>
      <c r="G6" s="83">
        <f>SUM(G4:G5)</f>
        <v>248255.88</v>
      </c>
    </row>
    <row r="7" spans="1:7" ht="12.75">
      <c r="A7" s="84"/>
      <c r="B7" s="84"/>
      <c r="C7" s="84"/>
      <c r="D7" s="84"/>
      <c r="E7" s="84"/>
      <c r="F7" s="84"/>
      <c r="G7" s="84"/>
    </row>
  </sheetData>
  <sheetProtection selectLockedCells="1" selectUnlockedCells="1"/>
  <mergeCells count="2">
    <mergeCell ref="A4:A5"/>
    <mergeCell ref="A6:E6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IV164"/>
  <sheetViews>
    <sheetView view="pageBreakPreview" zoomScaleSheetLayoutView="100" zoomScalePageLayoutView="0" workbookViewId="0" topLeftCell="A1">
      <selection activeCell="K156" sqref="K156"/>
    </sheetView>
  </sheetViews>
  <sheetFormatPr defaultColWidth="9.140625" defaultRowHeight="12.75"/>
  <cols>
    <col min="1" max="1" width="8.28125" style="53" customWidth="1"/>
    <col min="2" max="2" width="11.140625" style="53" customWidth="1"/>
    <col min="3" max="3" width="13.28125" style="53" customWidth="1"/>
    <col min="4" max="4" width="10.140625" style="53" customWidth="1"/>
    <col min="5" max="5" width="12.421875" style="53" customWidth="1"/>
    <col min="6" max="6" width="11.28125" style="53" customWidth="1"/>
    <col min="7" max="7" width="9.8515625" style="53" customWidth="1"/>
    <col min="8" max="8" width="10.28125" style="53" customWidth="1"/>
    <col min="9" max="9" width="18.57421875" style="75" customWidth="1"/>
    <col min="10" max="10" width="10.7109375" style="53" customWidth="1"/>
    <col min="11" max="11" width="11.140625" style="53" customWidth="1"/>
    <col min="12" max="12" width="18.8515625" style="53" customWidth="1"/>
    <col min="13" max="13" width="6.57421875" style="53" customWidth="1"/>
    <col min="14" max="15" width="9.28125" style="53" customWidth="1"/>
    <col min="16" max="16384" width="9.140625" style="53" customWidth="1"/>
  </cols>
  <sheetData>
    <row r="1" spans="1:9" ht="60.75" customHeight="1">
      <c r="A1" s="92" t="s">
        <v>172</v>
      </c>
      <c r="B1" s="92"/>
      <c r="C1" s="92"/>
      <c r="D1" s="92"/>
      <c r="E1" s="92"/>
      <c r="F1" s="92"/>
      <c r="G1" s="92"/>
      <c r="H1" s="92"/>
      <c r="I1" s="92"/>
    </row>
    <row r="2" spans="1:9" ht="38.25" customHeight="1">
      <c r="A2" s="89" t="s">
        <v>167</v>
      </c>
      <c r="B2" s="89"/>
      <c r="C2" s="89"/>
      <c r="D2" s="89"/>
      <c r="E2" s="89"/>
      <c r="F2" s="89"/>
      <c r="G2" s="89"/>
      <c r="H2" s="89"/>
      <c r="I2" s="89"/>
    </row>
    <row r="3" spans="1:9" ht="15.75" customHeight="1">
      <c r="A3" s="90" t="s">
        <v>11</v>
      </c>
      <c r="B3" s="90"/>
      <c r="C3" s="90"/>
      <c r="D3" s="90"/>
      <c r="E3" s="90"/>
      <c r="F3" s="91" t="s">
        <v>134</v>
      </c>
      <c r="G3" s="91"/>
      <c r="H3" s="91"/>
      <c r="I3" s="91"/>
    </row>
    <row r="4" spans="1:9" ht="15.75" customHeight="1">
      <c r="A4" s="90" t="s">
        <v>12</v>
      </c>
      <c r="B4" s="90"/>
      <c r="C4" s="90"/>
      <c r="D4" s="90"/>
      <c r="E4" s="90"/>
      <c r="F4" s="91" t="s">
        <v>135</v>
      </c>
      <c r="G4" s="91"/>
      <c r="H4" s="91"/>
      <c r="I4" s="91"/>
    </row>
    <row r="5" spans="1:9" ht="21.75" customHeight="1">
      <c r="A5" s="90" t="s">
        <v>176</v>
      </c>
      <c r="B5" s="90"/>
      <c r="C5" s="90"/>
      <c r="D5" s="90"/>
      <c r="E5" s="90"/>
      <c r="F5" s="90"/>
      <c r="G5" s="90"/>
      <c r="H5" s="90"/>
      <c r="I5" s="90"/>
    </row>
    <row r="6" spans="1:9" ht="20.25" customHeight="1">
      <c r="A6" s="93" t="s">
        <v>13</v>
      </c>
      <c r="B6" s="93"/>
      <c r="C6" s="93"/>
      <c r="D6" s="93"/>
      <c r="E6" s="93"/>
      <c r="F6" s="93"/>
      <c r="G6" s="93"/>
      <c r="H6" s="93"/>
      <c r="I6" s="93"/>
    </row>
    <row r="7" spans="1:9" ht="15.75" customHeight="1">
      <c r="A7" s="1" t="s">
        <v>14</v>
      </c>
      <c r="B7" s="90" t="s">
        <v>15</v>
      </c>
      <c r="C7" s="90"/>
      <c r="D7" s="90"/>
      <c r="E7" s="90"/>
      <c r="F7" s="90"/>
      <c r="G7" s="90"/>
      <c r="H7" s="94"/>
      <c r="I7" s="94"/>
    </row>
    <row r="8" spans="1:9" ht="15.75" customHeight="1">
      <c r="A8" s="1" t="s">
        <v>16</v>
      </c>
      <c r="B8" s="90" t="s">
        <v>17</v>
      </c>
      <c r="C8" s="90"/>
      <c r="D8" s="90"/>
      <c r="E8" s="90"/>
      <c r="F8" s="90"/>
      <c r="G8" s="90"/>
      <c r="H8" s="95" t="s">
        <v>18</v>
      </c>
      <c r="I8" s="95"/>
    </row>
    <row r="9" spans="1:9" ht="27" customHeight="1">
      <c r="A9" s="1" t="s">
        <v>19</v>
      </c>
      <c r="B9" s="90" t="s">
        <v>20</v>
      </c>
      <c r="C9" s="90"/>
      <c r="D9" s="90"/>
      <c r="E9" s="90"/>
      <c r="F9" s="90"/>
      <c r="G9" s="90"/>
      <c r="H9" s="95" t="s">
        <v>180</v>
      </c>
      <c r="I9" s="95"/>
    </row>
    <row r="10" spans="1:9" ht="15.75" customHeight="1">
      <c r="A10" s="1" t="s">
        <v>21</v>
      </c>
      <c r="B10" s="90" t="s">
        <v>22</v>
      </c>
      <c r="C10" s="90"/>
      <c r="D10" s="90"/>
      <c r="E10" s="90"/>
      <c r="F10" s="90"/>
      <c r="G10" s="90"/>
      <c r="H10" s="95">
        <v>12</v>
      </c>
      <c r="I10" s="95"/>
    </row>
    <row r="11" spans="1:9" ht="27.75" customHeight="1">
      <c r="A11" s="96" t="s">
        <v>23</v>
      </c>
      <c r="B11" s="96"/>
      <c r="C11" s="96"/>
      <c r="D11" s="96"/>
      <c r="E11" s="96"/>
      <c r="F11" s="96"/>
      <c r="G11" s="96"/>
      <c r="H11" s="96"/>
      <c r="I11" s="96"/>
    </row>
    <row r="12" spans="1:9" ht="43.5" customHeight="1">
      <c r="A12" s="97" t="s">
        <v>24</v>
      </c>
      <c r="B12" s="97"/>
      <c r="C12" s="97"/>
      <c r="D12" s="97"/>
      <c r="E12" s="97"/>
      <c r="F12" s="98" t="s">
        <v>25</v>
      </c>
      <c r="G12" s="98"/>
      <c r="H12" s="99" t="s">
        <v>26</v>
      </c>
      <c r="I12" s="99"/>
    </row>
    <row r="13" spans="1:9" ht="12.75" customHeight="1">
      <c r="A13" s="90" t="s">
        <v>27</v>
      </c>
      <c r="B13" s="90"/>
      <c r="C13" s="90"/>
      <c r="D13" s="90"/>
      <c r="E13" s="90"/>
      <c r="F13" s="91" t="s">
        <v>28</v>
      </c>
      <c r="G13" s="91"/>
      <c r="H13" s="100">
        <v>1</v>
      </c>
      <c r="I13" s="100"/>
    </row>
    <row r="14" spans="1:9" ht="12.75" customHeight="1">
      <c r="A14" s="101" t="s">
        <v>29</v>
      </c>
      <c r="B14" s="101"/>
      <c r="C14" s="101"/>
      <c r="D14" s="101"/>
      <c r="E14" s="101"/>
      <c r="F14" s="101"/>
      <c r="G14" s="101"/>
      <c r="H14" s="102">
        <f>SUM(H13:H13)</f>
        <v>1</v>
      </c>
      <c r="I14" s="102"/>
    </row>
    <row r="15" spans="1:9" ht="8.25" customHeight="1">
      <c r="A15" s="103"/>
      <c r="B15" s="103"/>
      <c r="C15" s="103"/>
      <c r="D15" s="103"/>
      <c r="E15" s="103"/>
      <c r="F15" s="103"/>
      <c r="G15" s="103"/>
      <c r="H15" s="103"/>
      <c r="I15" s="103"/>
    </row>
    <row r="16" spans="1:12" ht="57" customHeight="1">
      <c r="A16" s="104" t="s">
        <v>30</v>
      </c>
      <c r="B16" s="104"/>
      <c r="C16" s="104"/>
      <c r="D16" s="104"/>
      <c r="E16" s="104"/>
      <c r="F16" s="104"/>
      <c r="G16" s="104"/>
      <c r="H16" s="104"/>
      <c r="I16" s="104"/>
      <c r="J16" s="54"/>
      <c r="K16" s="55"/>
      <c r="L16" s="56"/>
    </row>
    <row r="17" spans="1:12" ht="7.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54"/>
      <c r="K17" s="55"/>
      <c r="L17" s="56"/>
    </row>
    <row r="18" spans="1:12" ht="47.25" customHeight="1">
      <c r="A18" s="106" t="s">
        <v>31</v>
      </c>
      <c r="B18" s="106"/>
      <c r="C18" s="106"/>
      <c r="D18" s="106"/>
      <c r="E18" s="106"/>
      <c r="F18" s="106"/>
      <c r="G18" s="106"/>
      <c r="H18" s="106"/>
      <c r="I18" s="106"/>
      <c r="J18" s="54"/>
      <c r="K18" s="55"/>
      <c r="L18" s="56"/>
    </row>
    <row r="19" spans="1:256" s="2" customFormat="1" ht="21.75" customHeight="1">
      <c r="A19" s="93" t="s">
        <v>32</v>
      </c>
      <c r="B19" s="93"/>
      <c r="C19" s="93"/>
      <c r="D19" s="93"/>
      <c r="E19" s="93"/>
      <c r="F19" s="93"/>
      <c r="G19" s="93"/>
      <c r="H19" s="93"/>
      <c r="I19" s="93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</row>
    <row r="20" spans="1:9" ht="27.75" customHeight="1">
      <c r="A20" s="1">
        <v>1</v>
      </c>
      <c r="B20" s="90" t="s">
        <v>33</v>
      </c>
      <c r="C20" s="90"/>
      <c r="D20" s="90"/>
      <c r="E20" s="90"/>
      <c r="F20" s="90"/>
      <c r="G20" s="90"/>
      <c r="H20" s="108" t="s">
        <v>34</v>
      </c>
      <c r="I20" s="108"/>
    </row>
    <row r="21" spans="1:9" ht="15.75" customHeight="1">
      <c r="A21" s="3">
        <v>2</v>
      </c>
      <c r="B21" s="109" t="s">
        <v>35</v>
      </c>
      <c r="C21" s="109"/>
      <c r="D21" s="109"/>
      <c r="E21" s="109"/>
      <c r="F21" s="109"/>
      <c r="G21" s="109"/>
      <c r="H21" s="110">
        <v>1723.09</v>
      </c>
      <c r="I21" s="110"/>
    </row>
    <row r="22" spans="1:9" ht="15.75" customHeight="1">
      <c r="A22" s="1">
        <v>3</v>
      </c>
      <c r="B22" s="90" t="s">
        <v>36</v>
      </c>
      <c r="C22" s="90"/>
      <c r="D22" s="90"/>
      <c r="E22" s="90"/>
      <c r="F22" s="90"/>
      <c r="G22" s="90"/>
      <c r="H22" s="111" t="s">
        <v>136</v>
      </c>
      <c r="I22" s="111"/>
    </row>
    <row r="23" spans="1:9" ht="15.75" customHeight="1">
      <c r="A23" s="4">
        <v>4</v>
      </c>
      <c r="B23" s="112" t="s">
        <v>37</v>
      </c>
      <c r="C23" s="112"/>
      <c r="D23" s="112"/>
      <c r="E23" s="112"/>
      <c r="F23" s="112"/>
      <c r="G23" s="112"/>
      <c r="H23" s="113">
        <v>44927</v>
      </c>
      <c r="I23" s="113"/>
    </row>
    <row r="24" spans="1:9" ht="15.75" customHeight="1">
      <c r="A24" s="1">
        <v>5</v>
      </c>
      <c r="B24" s="90" t="s">
        <v>137</v>
      </c>
      <c r="C24" s="90"/>
      <c r="D24" s="90"/>
      <c r="E24" s="90"/>
      <c r="F24" s="90"/>
      <c r="G24" s="90"/>
      <c r="H24" s="114">
        <f>H21/220</f>
        <v>7.83</v>
      </c>
      <c r="I24" s="114"/>
    </row>
    <row r="25" spans="1:9" ht="15.75" customHeight="1">
      <c r="A25" s="1">
        <v>6</v>
      </c>
      <c r="B25" s="90" t="s">
        <v>138</v>
      </c>
      <c r="C25" s="90"/>
      <c r="D25" s="90"/>
      <c r="E25" s="90"/>
      <c r="F25" s="90"/>
      <c r="G25" s="90"/>
      <c r="H25" s="57">
        <f>H24*50%</f>
        <v>3.92</v>
      </c>
      <c r="I25" s="57">
        <f>H24+H25</f>
        <v>11.75</v>
      </c>
    </row>
    <row r="26" spans="1:9" ht="17.25" customHeight="1">
      <c r="A26" s="58">
        <v>7</v>
      </c>
      <c r="B26" s="115" t="s">
        <v>38</v>
      </c>
      <c r="C26" s="115"/>
      <c r="D26" s="115"/>
      <c r="E26" s="115"/>
      <c r="F26" s="115"/>
      <c r="G26" s="115"/>
      <c r="H26" s="116">
        <v>2</v>
      </c>
      <c r="I26" s="116"/>
    </row>
    <row r="27" spans="1:9" ht="9" customHeight="1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 ht="14.25" customHeight="1">
      <c r="A28" s="118" t="s">
        <v>39</v>
      </c>
      <c r="B28" s="118"/>
      <c r="C28" s="118"/>
      <c r="D28" s="118"/>
      <c r="E28" s="118"/>
      <c r="F28" s="118"/>
      <c r="G28" s="118"/>
      <c r="H28" s="118"/>
      <c r="I28" s="118"/>
    </row>
    <row r="29" spans="1:9" ht="9" customHeight="1">
      <c r="A29" s="119"/>
      <c r="B29" s="119"/>
      <c r="C29" s="119"/>
      <c r="D29" s="119"/>
      <c r="E29" s="119"/>
      <c r="F29" s="119"/>
      <c r="G29" s="119"/>
      <c r="H29" s="119"/>
      <c r="I29" s="119"/>
    </row>
    <row r="30" spans="1:9" ht="21" customHeight="1">
      <c r="A30" s="120" t="s">
        <v>40</v>
      </c>
      <c r="B30" s="120"/>
      <c r="C30" s="120"/>
      <c r="D30" s="120"/>
      <c r="E30" s="120"/>
      <c r="F30" s="120"/>
      <c r="G30" s="120"/>
      <c r="H30" s="120"/>
      <c r="I30" s="120"/>
    </row>
    <row r="31" spans="1:9" s="60" customFormat="1" ht="26.25" customHeight="1">
      <c r="A31" s="5">
        <v>1</v>
      </c>
      <c r="B31" s="93" t="s">
        <v>41</v>
      </c>
      <c r="C31" s="93"/>
      <c r="D31" s="93"/>
      <c r="E31" s="93"/>
      <c r="F31" s="93"/>
      <c r="G31" s="93"/>
      <c r="H31" s="5" t="s">
        <v>42</v>
      </c>
      <c r="I31" s="59" t="s">
        <v>43</v>
      </c>
    </row>
    <row r="32" spans="1:9" ht="22.5" customHeight="1">
      <c r="A32" s="3" t="s">
        <v>14</v>
      </c>
      <c r="B32" s="121" t="s">
        <v>139</v>
      </c>
      <c r="C32" s="121"/>
      <c r="D32" s="121"/>
      <c r="E32" s="121"/>
      <c r="F32" s="121"/>
      <c r="G32" s="121"/>
      <c r="H32" s="121"/>
      <c r="I32" s="6">
        <f>H21*2</f>
        <v>3446.18</v>
      </c>
    </row>
    <row r="33" spans="1:9" ht="15.75" customHeight="1">
      <c r="A33" s="122" t="s">
        <v>44</v>
      </c>
      <c r="B33" s="122"/>
      <c r="C33" s="122"/>
      <c r="D33" s="122"/>
      <c r="E33" s="122"/>
      <c r="F33" s="122"/>
      <c r="G33" s="122"/>
      <c r="H33" s="122"/>
      <c r="I33" s="61">
        <f>SUM(I32:I32)</f>
        <v>3446.18</v>
      </c>
    </row>
    <row r="34" spans="1:9" ht="22.5" customHeight="1">
      <c r="A34" s="123" t="s">
        <v>45</v>
      </c>
      <c r="B34" s="123"/>
      <c r="C34" s="123"/>
      <c r="D34" s="123"/>
      <c r="E34" s="123"/>
      <c r="F34" s="123"/>
      <c r="G34" s="123"/>
      <c r="H34" s="123"/>
      <c r="I34" s="123"/>
    </row>
    <row r="35" spans="1:11" ht="18.75" customHeight="1">
      <c r="A35" s="18">
        <v>2</v>
      </c>
      <c r="B35" s="93" t="s">
        <v>46</v>
      </c>
      <c r="C35" s="93"/>
      <c r="D35" s="93"/>
      <c r="E35" s="93"/>
      <c r="F35" s="93"/>
      <c r="G35" s="93"/>
      <c r="H35" s="93"/>
      <c r="I35" s="50" t="s">
        <v>47</v>
      </c>
      <c r="K35" s="53">
        <f>2+2</f>
        <v>4</v>
      </c>
    </row>
    <row r="36" spans="1:10" ht="33.75" customHeight="1">
      <c r="A36" s="7" t="s">
        <v>14</v>
      </c>
      <c r="B36" s="124" t="s">
        <v>140</v>
      </c>
      <c r="C36" s="124"/>
      <c r="D36" s="124"/>
      <c r="E36" s="124"/>
      <c r="F36" s="124"/>
      <c r="G36" s="124"/>
      <c r="H36" s="124"/>
      <c r="I36" s="8">
        <f>IF(ROUND((H37*30*H38)-(I32*0.06),2)&lt;0,0,ROUND((H37*30*H38)-((I32)*0.06),2))</f>
        <v>249.23</v>
      </c>
      <c r="J36" s="62">
        <f>(60*5.25)-I32*6%</f>
        <v>108.23</v>
      </c>
    </row>
    <row r="37" spans="1:9" ht="25.5" customHeight="1">
      <c r="A37" s="7"/>
      <c r="B37" s="124" t="s">
        <v>141</v>
      </c>
      <c r="C37" s="124"/>
      <c r="D37" s="124"/>
      <c r="E37" s="124"/>
      <c r="F37" s="124"/>
      <c r="G37" s="124"/>
      <c r="H37" s="9">
        <v>7.6</v>
      </c>
      <c r="I37" s="10" t="s">
        <v>48</v>
      </c>
    </row>
    <row r="38" spans="1:9" ht="15.75" customHeight="1">
      <c r="A38" s="7"/>
      <c r="B38" s="90" t="s">
        <v>142</v>
      </c>
      <c r="C38" s="90"/>
      <c r="D38" s="90"/>
      <c r="E38" s="90"/>
      <c r="F38" s="90"/>
      <c r="G38" s="90"/>
      <c r="H38" s="11">
        <v>2</v>
      </c>
      <c r="I38" s="10" t="s">
        <v>48</v>
      </c>
    </row>
    <row r="39" spans="1:10" ht="26.25" customHeight="1">
      <c r="A39" s="12" t="s">
        <v>16</v>
      </c>
      <c r="B39" s="125" t="s">
        <v>143</v>
      </c>
      <c r="C39" s="125"/>
      <c r="D39" s="125"/>
      <c r="E39" s="125"/>
      <c r="F39" s="125"/>
      <c r="G39" s="125"/>
      <c r="H39" s="125"/>
      <c r="I39" s="13">
        <f>ROUND(30*H40*(1-0.19),2)*1+ROUND(21.726*6*(1-0.19),2)*0</f>
        <v>534.6</v>
      </c>
      <c r="J39" s="53">
        <f>(16*30)*0.82</f>
        <v>393.6</v>
      </c>
    </row>
    <row r="40" spans="1:9" ht="41.25" customHeight="1">
      <c r="A40" s="7"/>
      <c r="B40" s="126" t="s">
        <v>144</v>
      </c>
      <c r="C40" s="126"/>
      <c r="D40" s="126"/>
      <c r="E40" s="126"/>
      <c r="F40" s="126"/>
      <c r="G40" s="126"/>
      <c r="H40" s="14">
        <v>22</v>
      </c>
      <c r="I40" s="15" t="s">
        <v>48</v>
      </c>
    </row>
    <row r="41" spans="1:9" ht="24" customHeight="1">
      <c r="A41" s="7" t="s">
        <v>21</v>
      </c>
      <c r="B41" s="127" t="s">
        <v>145</v>
      </c>
      <c r="C41" s="127"/>
      <c r="D41" s="127"/>
      <c r="E41" s="127"/>
      <c r="F41" s="127"/>
      <c r="G41" s="127"/>
      <c r="H41" s="127"/>
      <c r="I41" s="16">
        <f>17.32*2</f>
        <v>34.64</v>
      </c>
    </row>
    <row r="42" spans="1:9" ht="36.75" customHeight="1">
      <c r="A42" s="7" t="s">
        <v>49</v>
      </c>
      <c r="B42" s="90" t="s">
        <v>146</v>
      </c>
      <c r="C42" s="90"/>
      <c r="D42" s="90"/>
      <c r="E42" s="90"/>
      <c r="F42" s="90"/>
      <c r="G42" s="90"/>
      <c r="H42" s="90"/>
      <c r="I42" s="17">
        <f>I25*15*2</f>
        <v>352.5</v>
      </c>
    </row>
    <row r="43" spans="1:9" ht="15.75" customHeight="1">
      <c r="A43" s="18"/>
      <c r="B43" s="128" t="s">
        <v>50</v>
      </c>
      <c r="C43" s="128"/>
      <c r="D43" s="128"/>
      <c r="E43" s="128"/>
      <c r="F43" s="128"/>
      <c r="G43" s="128"/>
      <c r="H43" s="128"/>
      <c r="I43" s="19">
        <f>SUM(I36:I42)</f>
        <v>1170.97</v>
      </c>
    </row>
    <row r="44" spans="1:9" ht="7.5" customHeight="1">
      <c r="A44" s="105"/>
      <c r="B44" s="105"/>
      <c r="C44" s="105"/>
      <c r="D44" s="105"/>
      <c r="E44" s="105"/>
      <c r="F44" s="105"/>
      <c r="G44" s="105"/>
      <c r="H44" s="105"/>
      <c r="I44" s="105"/>
    </row>
    <row r="45" spans="1:9" ht="15.75" customHeight="1">
      <c r="A45" s="96" t="s">
        <v>51</v>
      </c>
      <c r="B45" s="96"/>
      <c r="C45" s="96"/>
      <c r="D45" s="96"/>
      <c r="E45" s="96"/>
      <c r="F45" s="96"/>
      <c r="G45" s="96"/>
      <c r="H45" s="96"/>
      <c r="I45" s="96"/>
    </row>
    <row r="46" spans="1:9" ht="7.5" customHeight="1">
      <c r="A46" s="103"/>
      <c r="B46" s="103"/>
      <c r="C46" s="103"/>
      <c r="D46" s="103"/>
      <c r="E46" s="103"/>
      <c r="F46" s="103"/>
      <c r="G46" s="103"/>
      <c r="H46" s="103"/>
      <c r="I46" s="103"/>
    </row>
    <row r="47" spans="1:10" ht="22.5" customHeight="1">
      <c r="A47" s="129" t="s">
        <v>52</v>
      </c>
      <c r="B47" s="129"/>
      <c r="C47" s="129"/>
      <c r="D47" s="129"/>
      <c r="E47" s="129"/>
      <c r="F47" s="129"/>
      <c r="G47" s="129"/>
      <c r="H47" s="129"/>
      <c r="I47" s="129"/>
      <c r="J47" s="63"/>
    </row>
    <row r="48" spans="1:9" ht="15.75" customHeight="1">
      <c r="A48" s="18">
        <v>3</v>
      </c>
      <c r="B48" s="93" t="s">
        <v>53</v>
      </c>
      <c r="C48" s="93"/>
      <c r="D48" s="93"/>
      <c r="E48" s="93"/>
      <c r="F48" s="93"/>
      <c r="G48" s="93"/>
      <c r="H48" s="93"/>
      <c r="I48" s="64" t="s">
        <v>47</v>
      </c>
    </row>
    <row r="49" spans="1:9" ht="36.75" customHeight="1">
      <c r="A49" s="7" t="s">
        <v>14</v>
      </c>
      <c r="B49" s="90" t="s">
        <v>173</v>
      </c>
      <c r="C49" s="90"/>
      <c r="D49" s="90"/>
      <c r="E49" s="90"/>
      <c r="F49" s="90"/>
      <c r="G49" s="90"/>
      <c r="H49" s="90"/>
      <c r="I49" s="8">
        <v>119.69</v>
      </c>
    </row>
    <row r="50" spans="1:9" ht="34.5" customHeight="1">
      <c r="A50" s="7" t="s">
        <v>16</v>
      </c>
      <c r="B50" s="90" t="s">
        <v>147</v>
      </c>
      <c r="C50" s="90"/>
      <c r="D50" s="90"/>
      <c r="E50" s="90"/>
      <c r="F50" s="90"/>
      <c r="G50" s="90"/>
      <c r="H50" s="90"/>
      <c r="I50" s="17">
        <v>1.63</v>
      </c>
    </row>
    <row r="51" spans="1:9" ht="15.75" customHeight="1">
      <c r="A51" s="7" t="s">
        <v>21</v>
      </c>
      <c r="B51" s="90" t="s">
        <v>54</v>
      </c>
      <c r="C51" s="90"/>
      <c r="D51" s="90"/>
      <c r="E51" s="90"/>
      <c r="F51" s="90"/>
      <c r="G51" s="90"/>
      <c r="H51" s="90"/>
      <c r="I51" s="17" t="s">
        <v>55</v>
      </c>
    </row>
    <row r="52" spans="1:9" ht="15.75" customHeight="1">
      <c r="A52" s="130" t="s">
        <v>56</v>
      </c>
      <c r="B52" s="130"/>
      <c r="C52" s="130"/>
      <c r="D52" s="130"/>
      <c r="E52" s="130"/>
      <c r="F52" s="130"/>
      <c r="G52" s="130"/>
      <c r="H52" s="130"/>
      <c r="I52" s="20">
        <f>SUM(I49:I51)</f>
        <v>121.32</v>
      </c>
    </row>
    <row r="53" spans="1:9" ht="8.25" customHeight="1">
      <c r="A53" s="105"/>
      <c r="B53" s="105"/>
      <c r="C53" s="105"/>
      <c r="D53" s="105"/>
      <c r="E53" s="105"/>
      <c r="F53" s="105"/>
      <c r="G53" s="105"/>
      <c r="H53" s="105"/>
      <c r="I53" s="105"/>
    </row>
    <row r="54" spans="1:9" ht="15.75" customHeight="1">
      <c r="A54" s="118" t="s">
        <v>57</v>
      </c>
      <c r="B54" s="118"/>
      <c r="C54" s="118"/>
      <c r="D54" s="118"/>
      <c r="E54" s="118"/>
      <c r="F54" s="118"/>
      <c r="G54" s="118"/>
      <c r="H54" s="118"/>
      <c r="I54" s="118"/>
    </row>
    <row r="55" spans="1:9" ht="8.25" customHeight="1">
      <c r="A55" s="65"/>
      <c r="B55" s="21"/>
      <c r="C55" s="21"/>
      <c r="D55" s="21"/>
      <c r="E55" s="21"/>
      <c r="F55" s="21"/>
      <c r="G55" s="21"/>
      <c r="H55" s="21"/>
      <c r="I55" s="22"/>
    </row>
    <row r="56" spans="1:9" s="66" customFormat="1" ht="27" customHeight="1">
      <c r="A56" s="120" t="s">
        <v>155</v>
      </c>
      <c r="B56" s="120"/>
      <c r="C56" s="120"/>
      <c r="D56" s="120"/>
      <c r="E56" s="120"/>
      <c r="F56" s="120"/>
      <c r="G56" s="120"/>
      <c r="H56" s="120"/>
      <c r="I56" s="120"/>
    </row>
    <row r="57" spans="1:9" s="66" customFormat="1" ht="28.5" customHeight="1">
      <c r="A57" s="67" t="s">
        <v>58</v>
      </c>
      <c r="B57" s="93" t="s">
        <v>59</v>
      </c>
      <c r="C57" s="93"/>
      <c r="D57" s="93"/>
      <c r="E57" s="93"/>
      <c r="F57" s="93"/>
      <c r="G57" s="93"/>
      <c r="H57" s="68" t="s">
        <v>42</v>
      </c>
      <c r="I57" s="50" t="s">
        <v>47</v>
      </c>
    </row>
    <row r="58" spans="1:9" s="66" customFormat="1" ht="15.75" customHeight="1">
      <c r="A58" s="23" t="s">
        <v>14</v>
      </c>
      <c r="B58" s="96" t="s">
        <v>60</v>
      </c>
      <c r="C58" s="96"/>
      <c r="D58" s="96"/>
      <c r="E58" s="96"/>
      <c r="F58" s="96"/>
      <c r="G58" s="96"/>
      <c r="H58" s="24">
        <v>0.2</v>
      </c>
      <c r="I58" s="25">
        <f aca="true" t="shared" si="0" ref="I58:I65">ROUND($I$33*H58,2)</f>
        <v>689.24</v>
      </c>
    </row>
    <row r="59" spans="1:9" s="66" customFormat="1" ht="15.75" customHeight="1">
      <c r="A59" s="23" t="s">
        <v>16</v>
      </c>
      <c r="B59" s="96" t="s">
        <v>61</v>
      </c>
      <c r="C59" s="96"/>
      <c r="D59" s="96"/>
      <c r="E59" s="96"/>
      <c r="F59" s="96"/>
      <c r="G59" s="96"/>
      <c r="H59" s="24">
        <v>0.015</v>
      </c>
      <c r="I59" s="25">
        <f t="shared" si="0"/>
        <v>51.69</v>
      </c>
    </row>
    <row r="60" spans="1:9" s="66" customFormat="1" ht="15.75" customHeight="1">
      <c r="A60" s="23" t="s">
        <v>19</v>
      </c>
      <c r="B60" s="96" t="s">
        <v>62</v>
      </c>
      <c r="C60" s="96"/>
      <c r="D60" s="96"/>
      <c r="E60" s="96"/>
      <c r="F60" s="96"/>
      <c r="G60" s="96"/>
      <c r="H60" s="24">
        <v>0.01</v>
      </c>
      <c r="I60" s="25">
        <f t="shared" si="0"/>
        <v>34.46</v>
      </c>
    </row>
    <row r="61" spans="1:9" s="66" customFormat="1" ht="15.75" customHeight="1">
      <c r="A61" s="23" t="s">
        <v>21</v>
      </c>
      <c r="B61" s="96" t="s">
        <v>63</v>
      </c>
      <c r="C61" s="96"/>
      <c r="D61" s="96"/>
      <c r="E61" s="96"/>
      <c r="F61" s="96"/>
      <c r="G61" s="96"/>
      <c r="H61" s="24">
        <v>0.002</v>
      </c>
      <c r="I61" s="25">
        <f t="shared" si="0"/>
        <v>6.89</v>
      </c>
    </row>
    <row r="62" spans="1:9" ht="15.75" customHeight="1">
      <c r="A62" s="23" t="s">
        <v>49</v>
      </c>
      <c r="B62" s="90" t="s">
        <v>64</v>
      </c>
      <c r="C62" s="90"/>
      <c r="D62" s="90"/>
      <c r="E62" s="90"/>
      <c r="F62" s="90"/>
      <c r="G62" s="90"/>
      <c r="H62" s="26">
        <v>0.025</v>
      </c>
      <c r="I62" s="25">
        <f t="shared" si="0"/>
        <v>86.15</v>
      </c>
    </row>
    <row r="63" spans="1:9" ht="15.75" customHeight="1">
      <c r="A63" s="23" t="s">
        <v>65</v>
      </c>
      <c r="B63" s="90" t="s">
        <v>66</v>
      </c>
      <c r="C63" s="90"/>
      <c r="D63" s="90"/>
      <c r="E63" s="90"/>
      <c r="F63" s="90"/>
      <c r="G63" s="90"/>
      <c r="H63" s="26">
        <v>0.08</v>
      </c>
      <c r="I63" s="25">
        <f t="shared" si="0"/>
        <v>275.69</v>
      </c>
    </row>
    <row r="64" spans="1:9" ht="65.25" customHeight="1">
      <c r="A64" s="23" t="s">
        <v>67</v>
      </c>
      <c r="B64" s="90" t="s">
        <v>158</v>
      </c>
      <c r="C64" s="90"/>
      <c r="D64" s="27" t="s">
        <v>68</v>
      </c>
      <c r="E64" s="28">
        <v>0.03</v>
      </c>
      <c r="F64" s="27" t="s">
        <v>69</v>
      </c>
      <c r="G64" s="29">
        <v>3</v>
      </c>
      <c r="H64" s="30">
        <f>ROUND((E64*G64),6)</f>
        <v>0.09</v>
      </c>
      <c r="I64" s="25">
        <f>ROUND($I$33*H64,2)</f>
        <v>310.16</v>
      </c>
    </row>
    <row r="65" spans="1:9" ht="15.75" customHeight="1">
      <c r="A65" s="23" t="s">
        <v>70</v>
      </c>
      <c r="B65" s="90" t="s">
        <v>71</v>
      </c>
      <c r="C65" s="90"/>
      <c r="D65" s="90"/>
      <c r="E65" s="90"/>
      <c r="F65" s="90"/>
      <c r="G65" s="90"/>
      <c r="H65" s="26">
        <v>0.006</v>
      </c>
      <c r="I65" s="25">
        <f t="shared" si="0"/>
        <v>20.68</v>
      </c>
    </row>
    <row r="66" spans="1:9" ht="15.75" customHeight="1">
      <c r="A66" s="130" t="s">
        <v>72</v>
      </c>
      <c r="B66" s="130"/>
      <c r="C66" s="130"/>
      <c r="D66" s="130"/>
      <c r="E66" s="130"/>
      <c r="F66" s="130"/>
      <c r="G66" s="130"/>
      <c r="H66" s="31">
        <f>SUM(H58:H65)</f>
        <v>0.428</v>
      </c>
      <c r="I66" s="19">
        <f>SUM(I58:I65)</f>
        <v>1474.96</v>
      </c>
    </row>
    <row r="67" spans="1:9" ht="8.25" customHeight="1">
      <c r="A67" s="32"/>
      <c r="B67" s="33"/>
      <c r="C67" s="33"/>
      <c r="D67" s="33"/>
      <c r="E67" s="33"/>
      <c r="F67" s="33"/>
      <c r="G67" s="33"/>
      <c r="H67" s="34"/>
      <c r="I67" s="35"/>
    </row>
    <row r="68" spans="1:9" ht="23.25" customHeight="1">
      <c r="A68" s="131" t="s">
        <v>73</v>
      </c>
      <c r="B68" s="131"/>
      <c r="C68" s="131"/>
      <c r="D68" s="131"/>
      <c r="E68" s="131"/>
      <c r="F68" s="131"/>
      <c r="G68" s="131"/>
      <c r="H68" s="131"/>
      <c r="I68" s="131"/>
    </row>
    <row r="69" spans="1:9" ht="6" customHeight="1">
      <c r="A69" s="105"/>
      <c r="B69" s="105"/>
      <c r="C69" s="105"/>
      <c r="D69" s="105"/>
      <c r="E69" s="105"/>
      <c r="F69" s="105"/>
      <c r="G69" s="105"/>
      <c r="H69" s="105"/>
      <c r="I69" s="105"/>
    </row>
    <row r="70" spans="1:9" ht="18" customHeight="1">
      <c r="A70" s="129" t="s">
        <v>74</v>
      </c>
      <c r="B70" s="129"/>
      <c r="C70" s="129"/>
      <c r="D70" s="129"/>
      <c r="E70" s="129"/>
      <c r="F70" s="129"/>
      <c r="G70" s="129"/>
      <c r="H70" s="129"/>
      <c r="I70" s="129"/>
    </row>
    <row r="71" spans="1:9" ht="15.75" customHeight="1">
      <c r="A71" s="18" t="s">
        <v>75</v>
      </c>
      <c r="B71" s="93" t="s">
        <v>76</v>
      </c>
      <c r="C71" s="93"/>
      <c r="D71" s="93"/>
      <c r="E71" s="93"/>
      <c r="F71" s="93"/>
      <c r="G71" s="93"/>
      <c r="H71" s="93"/>
      <c r="I71" s="64" t="s">
        <v>47</v>
      </c>
    </row>
    <row r="72" spans="1:9" ht="16.5" customHeight="1">
      <c r="A72" s="7" t="s">
        <v>14</v>
      </c>
      <c r="B72" s="96" t="s">
        <v>148</v>
      </c>
      <c r="C72" s="96"/>
      <c r="D72" s="96"/>
      <c r="E72" s="96"/>
      <c r="F72" s="96"/>
      <c r="G72" s="96"/>
      <c r="H72" s="96"/>
      <c r="I72" s="25">
        <f>ROUND(($I$33)/12,2)</f>
        <v>287.18</v>
      </c>
    </row>
    <row r="73" spans="1:9" ht="15.75" customHeight="1">
      <c r="A73" s="130" t="s">
        <v>77</v>
      </c>
      <c r="B73" s="130"/>
      <c r="C73" s="130"/>
      <c r="D73" s="130"/>
      <c r="E73" s="130"/>
      <c r="F73" s="130"/>
      <c r="G73" s="130"/>
      <c r="H73" s="130"/>
      <c r="I73" s="19">
        <f>SUM(I72:I72)</f>
        <v>287.18</v>
      </c>
    </row>
    <row r="74" spans="1:9" ht="15.75" customHeight="1">
      <c r="A74" s="7" t="s">
        <v>19</v>
      </c>
      <c r="B74" s="96" t="s">
        <v>78</v>
      </c>
      <c r="C74" s="96"/>
      <c r="D74" s="96"/>
      <c r="E74" s="96"/>
      <c r="F74" s="96"/>
      <c r="G74" s="96"/>
      <c r="H74" s="96"/>
      <c r="I74" s="25">
        <f>ROUND(H66*I73,2)</f>
        <v>122.91</v>
      </c>
    </row>
    <row r="75" spans="1:9" ht="15.75" customHeight="1">
      <c r="A75" s="130" t="s">
        <v>72</v>
      </c>
      <c r="B75" s="130"/>
      <c r="C75" s="130"/>
      <c r="D75" s="130"/>
      <c r="E75" s="130"/>
      <c r="F75" s="130"/>
      <c r="G75" s="130"/>
      <c r="H75" s="130"/>
      <c r="I75" s="19">
        <f>SUM(I73:I74)</f>
        <v>410.09</v>
      </c>
    </row>
    <row r="76" spans="1:9" ht="6.75" customHeight="1">
      <c r="A76" s="103"/>
      <c r="B76" s="103"/>
      <c r="C76" s="103"/>
      <c r="D76" s="103"/>
      <c r="E76" s="103"/>
      <c r="F76" s="103"/>
      <c r="G76" s="103"/>
      <c r="H76" s="103"/>
      <c r="I76" s="103"/>
    </row>
    <row r="77" spans="1:11" ht="24.75" customHeight="1">
      <c r="A77" s="129" t="s">
        <v>79</v>
      </c>
      <c r="B77" s="129"/>
      <c r="C77" s="129"/>
      <c r="D77" s="129"/>
      <c r="E77" s="129"/>
      <c r="F77" s="129"/>
      <c r="G77" s="129"/>
      <c r="H77" s="129"/>
      <c r="I77" s="129"/>
      <c r="K77" s="53">
        <f>1/12</f>
        <v>0.0833333333333333</v>
      </c>
    </row>
    <row r="78" spans="1:9" ht="15.75" customHeight="1">
      <c r="A78" s="18" t="s">
        <v>80</v>
      </c>
      <c r="B78" s="132" t="s">
        <v>81</v>
      </c>
      <c r="C78" s="132"/>
      <c r="D78" s="132"/>
      <c r="E78" s="132"/>
      <c r="F78" s="132"/>
      <c r="G78" s="132"/>
      <c r="H78" s="132"/>
      <c r="I78" s="64" t="s">
        <v>47</v>
      </c>
    </row>
    <row r="79" spans="1:9" ht="16.5" customHeight="1">
      <c r="A79" s="7" t="s">
        <v>14</v>
      </c>
      <c r="B79" s="90" t="s">
        <v>149</v>
      </c>
      <c r="C79" s="90"/>
      <c r="D79" s="90"/>
      <c r="E79" s="90"/>
      <c r="F79" s="90"/>
      <c r="G79" s="90"/>
      <c r="H79" s="90"/>
      <c r="I79" s="25">
        <v>0</v>
      </c>
    </row>
    <row r="80" spans="1:9" ht="15.75" customHeight="1">
      <c r="A80" s="7" t="s">
        <v>16</v>
      </c>
      <c r="B80" s="90" t="s">
        <v>82</v>
      </c>
      <c r="C80" s="90"/>
      <c r="D80" s="90"/>
      <c r="E80" s="90"/>
      <c r="F80" s="90"/>
      <c r="G80" s="90"/>
      <c r="H80" s="90"/>
      <c r="I80" s="25">
        <f>ROUND(H66*I79,2)</f>
        <v>0</v>
      </c>
    </row>
    <row r="81" spans="1:9" ht="15.75" customHeight="1">
      <c r="A81" s="130" t="s">
        <v>72</v>
      </c>
      <c r="B81" s="130"/>
      <c r="C81" s="130"/>
      <c r="D81" s="130"/>
      <c r="E81" s="130"/>
      <c r="F81" s="130"/>
      <c r="G81" s="130"/>
      <c r="H81" s="130"/>
      <c r="I81" s="19">
        <f>SUM(I79:I80)</f>
        <v>0</v>
      </c>
    </row>
    <row r="82" spans="1:9" s="66" customFormat="1" ht="19.5" customHeight="1">
      <c r="A82" s="123" t="s">
        <v>83</v>
      </c>
      <c r="B82" s="123"/>
      <c r="C82" s="123"/>
      <c r="D82" s="123"/>
      <c r="E82" s="123"/>
      <c r="F82" s="123"/>
      <c r="G82" s="123"/>
      <c r="H82" s="123"/>
      <c r="I82" s="123"/>
    </row>
    <row r="83" spans="1:9" s="66" customFormat="1" ht="15.75" customHeight="1">
      <c r="A83" s="18" t="s">
        <v>84</v>
      </c>
      <c r="B83" s="132" t="s">
        <v>85</v>
      </c>
      <c r="C83" s="132"/>
      <c r="D83" s="132"/>
      <c r="E83" s="132"/>
      <c r="F83" s="132"/>
      <c r="G83" s="132"/>
      <c r="H83" s="132"/>
      <c r="I83" s="64" t="s">
        <v>47</v>
      </c>
    </row>
    <row r="84" spans="1:9" s="66" customFormat="1" ht="80.25" customHeight="1">
      <c r="A84" s="7" t="s">
        <v>14</v>
      </c>
      <c r="B84" s="133" t="s">
        <v>159</v>
      </c>
      <c r="C84" s="133"/>
      <c r="D84" s="133"/>
      <c r="E84" s="133"/>
      <c r="F84" s="133"/>
      <c r="G84" s="133"/>
      <c r="H84" s="133"/>
      <c r="I84" s="25">
        <f>ROUND((($I$33/12)+($I$72/12)+($I$93/12))*(30/30)*0.05,2)</f>
        <v>17.15</v>
      </c>
    </row>
    <row r="85" spans="1:9" s="66" customFormat="1" ht="15.75" customHeight="1">
      <c r="A85" s="7" t="s">
        <v>16</v>
      </c>
      <c r="B85" s="118" t="s">
        <v>86</v>
      </c>
      <c r="C85" s="118"/>
      <c r="D85" s="118"/>
      <c r="E85" s="118"/>
      <c r="F85" s="118"/>
      <c r="G85" s="118"/>
      <c r="H85" s="118"/>
      <c r="I85" s="25">
        <f>ROUND($H$63*I84,2)</f>
        <v>1.37</v>
      </c>
    </row>
    <row r="86" spans="1:9" s="66" customFormat="1" ht="36" customHeight="1">
      <c r="A86" s="7" t="s">
        <v>19</v>
      </c>
      <c r="B86" s="96" t="s">
        <v>160</v>
      </c>
      <c r="C86" s="96"/>
      <c r="D86" s="96"/>
      <c r="E86" s="96"/>
      <c r="F86" s="96"/>
      <c r="G86" s="96"/>
      <c r="H86" s="96"/>
      <c r="I86" s="25">
        <f>ROUND((0.08*0.4*SUM($I$33+$I$72+$I$93)*0.05),2)</f>
        <v>6.59</v>
      </c>
    </row>
    <row r="87" spans="1:9" s="66" customFormat="1" ht="63" customHeight="1">
      <c r="A87" s="7" t="s">
        <v>21</v>
      </c>
      <c r="B87" s="96" t="s">
        <v>161</v>
      </c>
      <c r="C87" s="96"/>
      <c r="D87" s="96"/>
      <c r="E87" s="96"/>
      <c r="F87" s="96"/>
      <c r="G87" s="96"/>
      <c r="H87" s="96"/>
      <c r="I87" s="25">
        <f>ROUND(((7/30)/$H$10)*$I$33*0.9,2)</f>
        <v>60.31</v>
      </c>
    </row>
    <row r="88" spans="1:9" s="66" customFormat="1" ht="15.75" customHeight="1">
      <c r="A88" s="7" t="s">
        <v>49</v>
      </c>
      <c r="B88" s="118" t="s">
        <v>87</v>
      </c>
      <c r="C88" s="118"/>
      <c r="D88" s="118"/>
      <c r="E88" s="118"/>
      <c r="F88" s="118"/>
      <c r="G88" s="118"/>
      <c r="H88" s="118"/>
      <c r="I88" s="25">
        <f>ROUND($H$66*I87,2)</f>
        <v>25.81</v>
      </c>
    </row>
    <row r="89" spans="1:9" s="66" customFormat="1" ht="25.5" customHeight="1">
      <c r="A89" s="7" t="s">
        <v>65</v>
      </c>
      <c r="B89" s="96" t="s">
        <v>162</v>
      </c>
      <c r="C89" s="96"/>
      <c r="D89" s="96"/>
      <c r="E89" s="96"/>
      <c r="F89" s="96"/>
      <c r="G89" s="96"/>
      <c r="H89" s="96"/>
      <c r="I89" s="25">
        <f>ROUND(0.08*0.4*SUM($I$33+$I$72+$I$93)*0.9,2)</f>
        <v>118.55</v>
      </c>
    </row>
    <row r="90" spans="1:9" s="66" customFormat="1" ht="15.75" customHeight="1">
      <c r="A90" s="130" t="s">
        <v>72</v>
      </c>
      <c r="B90" s="130"/>
      <c r="C90" s="130"/>
      <c r="D90" s="130"/>
      <c r="E90" s="130"/>
      <c r="F90" s="130"/>
      <c r="G90" s="130"/>
      <c r="H90" s="130"/>
      <c r="I90" s="19">
        <f>SUM(I84:I89)</f>
        <v>229.78</v>
      </c>
    </row>
    <row r="91" spans="1:9" ht="15.75" customHeight="1">
      <c r="A91" s="129" t="s">
        <v>88</v>
      </c>
      <c r="B91" s="129"/>
      <c r="C91" s="129"/>
      <c r="D91" s="129"/>
      <c r="E91" s="129"/>
      <c r="F91" s="129"/>
      <c r="G91" s="129"/>
      <c r="H91" s="129"/>
      <c r="I91" s="129"/>
    </row>
    <row r="92" spans="1:9" ht="15.75" customHeight="1">
      <c r="A92" s="69" t="s">
        <v>89</v>
      </c>
      <c r="B92" s="132" t="s">
        <v>90</v>
      </c>
      <c r="C92" s="132"/>
      <c r="D92" s="132"/>
      <c r="E92" s="132"/>
      <c r="F92" s="132"/>
      <c r="G92" s="132"/>
      <c r="H92" s="132"/>
      <c r="I92" s="70" t="s">
        <v>47</v>
      </c>
    </row>
    <row r="93" spans="1:9" ht="15" customHeight="1">
      <c r="A93" s="36" t="s">
        <v>14</v>
      </c>
      <c r="B93" s="96" t="s">
        <v>150</v>
      </c>
      <c r="C93" s="96"/>
      <c r="D93" s="96"/>
      <c r="E93" s="96"/>
      <c r="F93" s="96"/>
      <c r="G93" s="96"/>
      <c r="H93" s="96"/>
      <c r="I93" s="25">
        <f>ROUND($I$33/12,2)+ROUND(($I$33/3)/12,2)</f>
        <v>382.91</v>
      </c>
    </row>
    <row r="94" spans="1:9" ht="26.25" customHeight="1">
      <c r="A94" s="36" t="s">
        <v>16</v>
      </c>
      <c r="B94" s="96" t="s">
        <v>151</v>
      </c>
      <c r="C94" s="96"/>
      <c r="D94" s="96"/>
      <c r="E94" s="96"/>
      <c r="F94" s="96"/>
      <c r="G94" s="96"/>
      <c r="H94" s="96"/>
      <c r="I94" s="25">
        <f>ROUND(((3/30)/12)*($I$33),2)</f>
        <v>28.72</v>
      </c>
    </row>
    <row r="95" spans="1:9" ht="27" customHeight="1">
      <c r="A95" s="36" t="s">
        <v>19</v>
      </c>
      <c r="B95" s="96" t="s">
        <v>152</v>
      </c>
      <c r="C95" s="96"/>
      <c r="D95" s="96"/>
      <c r="E95" s="96"/>
      <c r="F95" s="96"/>
      <c r="G95" s="96"/>
      <c r="H95" s="96"/>
      <c r="I95" s="25">
        <f>ROUND((5/30)/12*0.015*($I$33),2)</f>
        <v>0.72</v>
      </c>
    </row>
    <row r="96" spans="1:9" ht="12" customHeight="1">
      <c r="A96" s="36" t="s">
        <v>21</v>
      </c>
      <c r="B96" s="96" t="s">
        <v>153</v>
      </c>
      <c r="C96" s="96"/>
      <c r="D96" s="96"/>
      <c r="E96" s="96"/>
      <c r="F96" s="96"/>
      <c r="G96" s="96"/>
      <c r="H96" s="96"/>
      <c r="I96" s="25">
        <f>ROUND((2.96/30)/12*($I$33),2)</f>
        <v>28.34</v>
      </c>
    </row>
    <row r="97" spans="1:9" ht="13.5" customHeight="1">
      <c r="A97" s="36" t="s">
        <v>49</v>
      </c>
      <c r="B97" s="96" t="s">
        <v>154</v>
      </c>
      <c r="C97" s="96"/>
      <c r="D97" s="96"/>
      <c r="E97" s="96"/>
      <c r="F97" s="96"/>
      <c r="G97" s="96"/>
      <c r="H97" s="96"/>
      <c r="I97" s="25">
        <f>ROUND(((15/30)/12)*0.0078*($I$33),2)</f>
        <v>1.12</v>
      </c>
    </row>
    <row r="98" spans="1:9" ht="15.75" customHeight="1">
      <c r="A98" s="36" t="s">
        <v>65</v>
      </c>
      <c r="B98" s="118" t="s">
        <v>54</v>
      </c>
      <c r="C98" s="118"/>
      <c r="D98" s="118"/>
      <c r="E98" s="118"/>
      <c r="F98" s="118"/>
      <c r="G98" s="118"/>
      <c r="H98" s="118"/>
      <c r="I98" s="25">
        <v>0</v>
      </c>
    </row>
    <row r="99" spans="1:9" ht="15.75" customHeight="1">
      <c r="A99" s="130" t="s">
        <v>77</v>
      </c>
      <c r="B99" s="130"/>
      <c r="C99" s="130"/>
      <c r="D99" s="130"/>
      <c r="E99" s="130"/>
      <c r="F99" s="130"/>
      <c r="G99" s="130"/>
      <c r="H99" s="130"/>
      <c r="I99" s="37">
        <f>SUM(I93:I98)</f>
        <v>441.81</v>
      </c>
    </row>
    <row r="100" spans="1:9" ht="15.75" customHeight="1">
      <c r="A100" s="36" t="s">
        <v>67</v>
      </c>
      <c r="B100" s="134" t="s">
        <v>91</v>
      </c>
      <c r="C100" s="134"/>
      <c r="D100" s="134"/>
      <c r="E100" s="134"/>
      <c r="F100" s="134"/>
      <c r="G100" s="134"/>
      <c r="H100" s="134"/>
      <c r="I100" s="38">
        <f>ROUND(H66*I99,2)</f>
        <v>189.09</v>
      </c>
    </row>
    <row r="101" spans="1:9" ht="15.75" customHeight="1">
      <c r="A101" s="130" t="s">
        <v>72</v>
      </c>
      <c r="B101" s="130"/>
      <c r="C101" s="130"/>
      <c r="D101" s="130"/>
      <c r="E101" s="130"/>
      <c r="F101" s="130"/>
      <c r="G101" s="130"/>
      <c r="H101" s="130"/>
      <c r="I101" s="19">
        <f>SUM(I99:I100)</f>
        <v>630.9</v>
      </c>
    </row>
    <row r="102" spans="1:9" ht="19.5" customHeight="1">
      <c r="A102" s="123" t="s">
        <v>92</v>
      </c>
      <c r="B102" s="123"/>
      <c r="C102" s="123"/>
      <c r="D102" s="123"/>
      <c r="E102" s="123"/>
      <c r="F102" s="123"/>
      <c r="G102" s="123"/>
      <c r="H102" s="123"/>
      <c r="I102" s="123"/>
    </row>
    <row r="103" spans="1:9" ht="15.75" customHeight="1">
      <c r="A103" s="18">
        <v>4</v>
      </c>
      <c r="B103" s="93" t="s">
        <v>93</v>
      </c>
      <c r="C103" s="93"/>
      <c r="D103" s="93"/>
      <c r="E103" s="93"/>
      <c r="F103" s="93"/>
      <c r="G103" s="93"/>
      <c r="H103" s="93"/>
      <c r="I103" s="64" t="s">
        <v>47</v>
      </c>
    </row>
    <row r="104" spans="1:9" ht="15.75" customHeight="1">
      <c r="A104" s="7" t="s">
        <v>58</v>
      </c>
      <c r="B104" s="90" t="s">
        <v>59</v>
      </c>
      <c r="C104" s="90"/>
      <c r="D104" s="90"/>
      <c r="E104" s="90"/>
      <c r="F104" s="90"/>
      <c r="G104" s="90"/>
      <c r="H104" s="90"/>
      <c r="I104" s="8">
        <f>I66</f>
        <v>1474.96</v>
      </c>
    </row>
    <row r="105" spans="1:9" ht="15.75" customHeight="1">
      <c r="A105" s="7" t="s">
        <v>75</v>
      </c>
      <c r="B105" s="90" t="s">
        <v>76</v>
      </c>
      <c r="C105" s="90"/>
      <c r="D105" s="90"/>
      <c r="E105" s="90"/>
      <c r="F105" s="90"/>
      <c r="G105" s="90"/>
      <c r="H105" s="90"/>
      <c r="I105" s="8">
        <f>I75</f>
        <v>410.09</v>
      </c>
    </row>
    <row r="106" spans="1:9" ht="15.75" customHeight="1">
      <c r="A106" s="7" t="s">
        <v>80</v>
      </c>
      <c r="B106" s="90" t="s">
        <v>81</v>
      </c>
      <c r="C106" s="90"/>
      <c r="D106" s="90"/>
      <c r="E106" s="90"/>
      <c r="F106" s="90"/>
      <c r="G106" s="90"/>
      <c r="H106" s="90"/>
      <c r="I106" s="8">
        <f>I81</f>
        <v>0</v>
      </c>
    </row>
    <row r="107" spans="1:11" ht="15.75" customHeight="1">
      <c r="A107" s="7" t="s">
        <v>84</v>
      </c>
      <c r="B107" s="90" t="s">
        <v>94</v>
      </c>
      <c r="C107" s="90"/>
      <c r="D107" s="90"/>
      <c r="E107" s="90"/>
      <c r="F107" s="90"/>
      <c r="G107" s="90"/>
      <c r="H107" s="90"/>
      <c r="I107" s="8">
        <f>I90</f>
        <v>229.78</v>
      </c>
      <c r="K107" s="71"/>
    </row>
    <row r="108" spans="1:9" ht="15.75" customHeight="1">
      <c r="A108" s="7" t="s">
        <v>89</v>
      </c>
      <c r="B108" s="90" t="s">
        <v>95</v>
      </c>
      <c r="C108" s="90"/>
      <c r="D108" s="90"/>
      <c r="E108" s="90"/>
      <c r="F108" s="90"/>
      <c r="G108" s="90"/>
      <c r="H108" s="90"/>
      <c r="I108" s="8">
        <f>I101</f>
        <v>630.9</v>
      </c>
    </row>
    <row r="109" spans="1:9" ht="15.75" customHeight="1">
      <c r="A109" s="7" t="s">
        <v>96</v>
      </c>
      <c r="B109" s="90" t="s">
        <v>54</v>
      </c>
      <c r="C109" s="90"/>
      <c r="D109" s="90"/>
      <c r="E109" s="90"/>
      <c r="F109" s="90"/>
      <c r="G109" s="90"/>
      <c r="H109" s="90"/>
      <c r="I109" s="8">
        <v>0</v>
      </c>
    </row>
    <row r="110" spans="1:9" ht="15.75" customHeight="1">
      <c r="A110" s="130" t="s">
        <v>72</v>
      </c>
      <c r="B110" s="130"/>
      <c r="C110" s="130"/>
      <c r="D110" s="130"/>
      <c r="E110" s="130"/>
      <c r="F110" s="130"/>
      <c r="G110" s="130"/>
      <c r="H110" s="130"/>
      <c r="I110" s="19">
        <f>SUM(I104:I109)</f>
        <v>2745.73</v>
      </c>
    </row>
    <row r="111" spans="1:9" s="66" customFormat="1" ht="21.75" customHeight="1">
      <c r="A111" s="123" t="s">
        <v>97</v>
      </c>
      <c r="B111" s="123"/>
      <c r="C111" s="123"/>
      <c r="D111" s="123"/>
      <c r="E111" s="123"/>
      <c r="F111" s="123"/>
      <c r="G111" s="123"/>
      <c r="H111" s="123"/>
      <c r="I111" s="123"/>
    </row>
    <row r="112" spans="1:9" ht="26.25" customHeight="1">
      <c r="A112" s="18">
        <v>5</v>
      </c>
      <c r="B112" s="132" t="s">
        <v>98</v>
      </c>
      <c r="C112" s="132"/>
      <c r="D112" s="132"/>
      <c r="E112" s="132"/>
      <c r="F112" s="132"/>
      <c r="G112" s="132"/>
      <c r="H112" s="68" t="s">
        <v>42</v>
      </c>
      <c r="I112" s="64" t="s">
        <v>47</v>
      </c>
    </row>
    <row r="113" spans="1:9" ht="40.5" customHeight="1">
      <c r="A113" s="135" t="s">
        <v>99</v>
      </c>
      <c r="B113" s="135"/>
      <c r="C113" s="135"/>
      <c r="D113" s="135"/>
      <c r="E113" s="135"/>
      <c r="F113" s="135"/>
      <c r="G113" s="135"/>
      <c r="H113" s="39" t="s">
        <v>48</v>
      </c>
      <c r="I113" s="40">
        <f>SUM(I33+I43+I52+I110)</f>
        <v>7484.2</v>
      </c>
    </row>
    <row r="114" spans="1:12" ht="15.75" customHeight="1">
      <c r="A114" s="7" t="s">
        <v>14</v>
      </c>
      <c r="B114" s="134" t="s">
        <v>100</v>
      </c>
      <c r="C114" s="134"/>
      <c r="D114" s="134"/>
      <c r="E114" s="134"/>
      <c r="F114" s="134"/>
      <c r="G114" s="134"/>
      <c r="H114" s="26">
        <v>0.08</v>
      </c>
      <c r="I114" s="25">
        <f>ROUND(H114*I113,2)</f>
        <v>598.74</v>
      </c>
      <c r="L114" s="72">
        <f>I144</f>
        <v>9897.48</v>
      </c>
    </row>
    <row r="115" spans="1:9" ht="37.5" customHeight="1">
      <c r="A115" s="135" t="s">
        <v>101</v>
      </c>
      <c r="B115" s="135"/>
      <c r="C115" s="135"/>
      <c r="D115" s="135"/>
      <c r="E115" s="135"/>
      <c r="F115" s="135"/>
      <c r="G115" s="135"/>
      <c r="H115" s="41" t="s">
        <v>48</v>
      </c>
      <c r="I115" s="40">
        <f>SUM(I33+I43+I52+I110+I114)</f>
        <v>8082.94</v>
      </c>
    </row>
    <row r="116" spans="1:9" ht="15.75" customHeight="1">
      <c r="A116" s="7" t="s">
        <v>16</v>
      </c>
      <c r="B116" s="134" t="s">
        <v>102</v>
      </c>
      <c r="C116" s="134"/>
      <c r="D116" s="134"/>
      <c r="E116" s="134"/>
      <c r="F116" s="134"/>
      <c r="G116" s="134"/>
      <c r="H116" s="26">
        <v>0.05</v>
      </c>
      <c r="I116" s="25">
        <f>ROUND(H116*I115,2)</f>
        <v>404.15</v>
      </c>
    </row>
    <row r="117" spans="1:9" ht="45" customHeight="1">
      <c r="A117" s="135" t="s">
        <v>103</v>
      </c>
      <c r="B117" s="135"/>
      <c r="C117" s="135"/>
      <c r="D117" s="135"/>
      <c r="E117" s="135"/>
      <c r="F117" s="135"/>
      <c r="G117" s="135"/>
      <c r="H117" s="41" t="s">
        <v>48</v>
      </c>
      <c r="I117" s="40">
        <f>SUM(I33+I43+I52+I110+I114+I116)</f>
        <v>8487.09</v>
      </c>
    </row>
    <row r="118" spans="1:9" ht="15.75" customHeight="1">
      <c r="A118" s="7" t="s">
        <v>19</v>
      </c>
      <c r="B118" s="134" t="s">
        <v>104</v>
      </c>
      <c r="C118" s="134"/>
      <c r="D118" s="134"/>
      <c r="E118" s="134"/>
      <c r="F118" s="134"/>
      <c r="G118" s="134"/>
      <c r="H118" s="42" t="s">
        <v>48</v>
      </c>
      <c r="I118" s="15" t="s">
        <v>48</v>
      </c>
    </row>
    <row r="119" spans="1:9" ht="15.75" customHeight="1">
      <c r="A119" s="7"/>
      <c r="B119" s="134" t="s">
        <v>105</v>
      </c>
      <c r="C119" s="134"/>
      <c r="D119" s="134"/>
      <c r="E119" s="134"/>
      <c r="F119" s="134"/>
      <c r="G119" s="134"/>
      <c r="H119" s="42" t="s">
        <v>48</v>
      </c>
      <c r="I119" s="15" t="s">
        <v>48</v>
      </c>
    </row>
    <row r="120" spans="1:9" ht="22.5" customHeight="1">
      <c r="A120" s="7"/>
      <c r="B120" s="131" t="s">
        <v>163</v>
      </c>
      <c r="C120" s="131"/>
      <c r="D120" s="131"/>
      <c r="E120" s="131"/>
      <c r="F120" s="131"/>
      <c r="G120" s="131"/>
      <c r="H120" s="43">
        <v>0.076</v>
      </c>
      <c r="I120" s="44">
        <f>ROUND(($I$117/(1-$H$129))*H120,2)</f>
        <v>752.21</v>
      </c>
    </row>
    <row r="121" spans="1:9" ht="22.5" customHeight="1">
      <c r="A121" s="7"/>
      <c r="B121" s="131" t="s">
        <v>164</v>
      </c>
      <c r="C121" s="131"/>
      <c r="D121" s="131"/>
      <c r="E121" s="131"/>
      <c r="F121" s="131"/>
      <c r="G121" s="131"/>
      <c r="H121" s="43">
        <v>0.0165</v>
      </c>
      <c r="I121" s="44">
        <f>ROUND(($I$117/(1-$H$129))*H121,2)</f>
        <v>163.31</v>
      </c>
    </row>
    <row r="122" spans="1:9" ht="29.25" customHeight="1">
      <c r="A122" s="7"/>
      <c r="B122" s="133" t="s">
        <v>165</v>
      </c>
      <c r="C122" s="133"/>
      <c r="D122" s="133"/>
      <c r="E122" s="133"/>
      <c r="F122" s="133"/>
      <c r="G122" s="133"/>
      <c r="H122" s="45" t="s">
        <v>48</v>
      </c>
      <c r="I122" s="15" t="s">
        <v>48</v>
      </c>
    </row>
    <row r="123" spans="1:9" ht="29.25" customHeight="1">
      <c r="A123" s="7"/>
      <c r="B123" s="133" t="s">
        <v>166</v>
      </c>
      <c r="C123" s="133"/>
      <c r="D123" s="133"/>
      <c r="E123" s="133"/>
      <c r="F123" s="133"/>
      <c r="G123" s="133"/>
      <c r="H123" s="45" t="s">
        <v>48</v>
      </c>
      <c r="I123" s="15" t="s">
        <v>48</v>
      </c>
    </row>
    <row r="124" spans="1:9" ht="18" customHeight="1">
      <c r="A124" s="7"/>
      <c r="B124" s="126" t="s">
        <v>106</v>
      </c>
      <c r="C124" s="126"/>
      <c r="D124" s="126"/>
      <c r="E124" s="126"/>
      <c r="F124" s="126"/>
      <c r="G124" s="126"/>
      <c r="H124" s="46" t="s">
        <v>48</v>
      </c>
      <c r="I124" s="47" t="s">
        <v>48</v>
      </c>
    </row>
    <row r="125" spans="1:9" ht="18" customHeight="1">
      <c r="A125" s="7"/>
      <c r="B125" s="126" t="s">
        <v>107</v>
      </c>
      <c r="C125" s="126"/>
      <c r="D125" s="126"/>
      <c r="E125" s="126"/>
      <c r="F125" s="126"/>
      <c r="G125" s="126"/>
      <c r="H125" s="46" t="s">
        <v>48</v>
      </c>
      <c r="I125" s="47" t="s">
        <v>48</v>
      </c>
    </row>
    <row r="126" spans="1:9" ht="15" customHeight="1">
      <c r="A126" s="7"/>
      <c r="B126" s="96" t="s">
        <v>179</v>
      </c>
      <c r="C126" s="96"/>
      <c r="D126" s="96"/>
      <c r="E126" s="96"/>
      <c r="F126" s="96"/>
      <c r="G126" s="96"/>
      <c r="H126" s="43">
        <v>0.05</v>
      </c>
      <c r="I126" s="44">
        <f>ROUND(($I$117/(1-$H$129))*H126,2)</f>
        <v>494.87</v>
      </c>
    </row>
    <row r="127" spans="1:9" ht="15.75" customHeight="1">
      <c r="A127" s="130" t="s">
        <v>72</v>
      </c>
      <c r="B127" s="130"/>
      <c r="C127" s="130"/>
      <c r="D127" s="130"/>
      <c r="E127" s="130"/>
      <c r="F127" s="130"/>
      <c r="G127" s="130"/>
      <c r="H127" s="130"/>
      <c r="I127" s="19">
        <f>SUM(I114+I116+I120+I121+I126)</f>
        <v>2413.28</v>
      </c>
    </row>
    <row r="128" spans="1:9" ht="6.75" customHeight="1">
      <c r="A128" s="136"/>
      <c r="B128" s="136"/>
      <c r="C128" s="136"/>
      <c r="D128" s="136"/>
      <c r="E128" s="136"/>
      <c r="F128" s="136"/>
      <c r="G128" s="136"/>
      <c r="H128" s="136"/>
      <c r="I128" s="136"/>
    </row>
    <row r="129" spans="1:9" ht="15.75" customHeight="1">
      <c r="A129" s="137" t="s">
        <v>108</v>
      </c>
      <c r="B129" s="137"/>
      <c r="C129" s="137"/>
      <c r="D129" s="137"/>
      <c r="E129" s="137"/>
      <c r="F129" s="137"/>
      <c r="G129" s="137"/>
      <c r="H129" s="48">
        <f>SUM(H120:H126)</f>
        <v>0.1425</v>
      </c>
      <c r="I129" s="49">
        <f>SUM(I120:I126)</f>
        <v>1410.39</v>
      </c>
    </row>
    <row r="130" spans="1:9" ht="12.75" customHeight="1">
      <c r="A130" s="138" t="s">
        <v>109</v>
      </c>
      <c r="B130" s="138"/>
      <c r="C130" s="139" t="s">
        <v>110</v>
      </c>
      <c r="D130" s="139"/>
      <c r="E130" s="139"/>
      <c r="F130" s="139"/>
      <c r="G130" s="139"/>
      <c r="H130" s="139"/>
      <c r="I130" s="139"/>
    </row>
    <row r="131" spans="1:9" ht="12" customHeight="1">
      <c r="A131" s="138"/>
      <c r="B131" s="138"/>
      <c r="C131" s="140" t="s">
        <v>111</v>
      </c>
      <c r="D131" s="140"/>
      <c r="E131" s="140"/>
      <c r="F131" s="140"/>
      <c r="G131" s="140"/>
      <c r="H131" s="140"/>
      <c r="I131" s="140"/>
    </row>
    <row r="132" spans="1:9" ht="13.5" customHeight="1">
      <c r="A132" s="138"/>
      <c r="B132" s="138"/>
      <c r="C132" s="141" t="s">
        <v>112</v>
      </c>
      <c r="D132" s="141"/>
      <c r="E132" s="141"/>
      <c r="F132" s="141"/>
      <c r="G132" s="141"/>
      <c r="H132" s="141"/>
      <c r="I132" s="141"/>
    </row>
    <row r="133" spans="1:9" ht="6.75" customHeight="1">
      <c r="A133" s="142"/>
      <c r="B133" s="142"/>
      <c r="C133" s="142"/>
      <c r="D133" s="142"/>
      <c r="E133" s="142"/>
      <c r="F133" s="142"/>
      <c r="G133" s="142"/>
      <c r="H133" s="142"/>
      <c r="I133" s="142"/>
    </row>
    <row r="134" spans="1:9" ht="32.25" customHeight="1">
      <c r="A134" s="96" t="s">
        <v>113</v>
      </c>
      <c r="B134" s="96"/>
      <c r="C134" s="96"/>
      <c r="D134" s="96"/>
      <c r="E134" s="96"/>
      <c r="F134" s="96"/>
      <c r="G134" s="96"/>
      <c r="H134" s="96"/>
      <c r="I134" s="96"/>
    </row>
    <row r="135" spans="1:9" ht="5.25" customHeight="1">
      <c r="A135" s="136"/>
      <c r="B135" s="136"/>
      <c r="C135" s="136"/>
      <c r="D135" s="136"/>
      <c r="E135" s="136"/>
      <c r="F135" s="136"/>
      <c r="G135" s="136"/>
      <c r="H135" s="136"/>
      <c r="I135" s="136"/>
    </row>
    <row r="136" spans="1:9" ht="45" customHeight="1">
      <c r="A136" s="143" t="s">
        <v>156</v>
      </c>
      <c r="B136" s="143"/>
      <c r="C136" s="143"/>
      <c r="D136" s="143"/>
      <c r="E136" s="143"/>
      <c r="F136" s="143"/>
      <c r="G136" s="143"/>
      <c r="H136" s="143"/>
      <c r="I136" s="143"/>
    </row>
    <row r="137" spans="1:9" ht="15" customHeight="1">
      <c r="A137" s="93" t="s">
        <v>114</v>
      </c>
      <c r="B137" s="93"/>
      <c r="C137" s="93"/>
      <c r="D137" s="93"/>
      <c r="E137" s="93"/>
      <c r="F137" s="93"/>
      <c r="G137" s="93"/>
      <c r="H137" s="93"/>
      <c r="I137" s="50" t="s">
        <v>47</v>
      </c>
    </row>
    <row r="138" spans="1:11" ht="15" customHeight="1">
      <c r="A138" s="51" t="s">
        <v>14</v>
      </c>
      <c r="B138" s="144" t="s">
        <v>115</v>
      </c>
      <c r="C138" s="144"/>
      <c r="D138" s="144"/>
      <c r="E138" s="144"/>
      <c r="F138" s="144"/>
      <c r="G138" s="144"/>
      <c r="H138" s="144"/>
      <c r="I138" s="17">
        <f>I33</f>
        <v>3446.18</v>
      </c>
      <c r="K138" s="73"/>
    </row>
    <row r="139" spans="1:9" ht="15" customHeight="1">
      <c r="A139" s="51" t="s">
        <v>16</v>
      </c>
      <c r="B139" s="144" t="s">
        <v>116</v>
      </c>
      <c r="C139" s="144"/>
      <c r="D139" s="144"/>
      <c r="E139" s="144"/>
      <c r="F139" s="144"/>
      <c r="G139" s="144"/>
      <c r="H139" s="144"/>
      <c r="I139" s="17">
        <f>I43</f>
        <v>1170.97</v>
      </c>
    </row>
    <row r="140" spans="1:9" ht="15" customHeight="1">
      <c r="A140" s="51" t="s">
        <v>19</v>
      </c>
      <c r="B140" s="144" t="s">
        <v>117</v>
      </c>
      <c r="C140" s="144"/>
      <c r="D140" s="144"/>
      <c r="E140" s="144"/>
      <c r="F140" s="144"/>
      <c r="G140" s="144"/>
      <c r="H140" s="144"/>
      <c r="I140" s="17">
        <f>I52</f>
        <v>121.32</v>
      </c>
    </row>
    <row r="141" spans="1:9" ht="15" customHeight="1">
      <c r="A141" s="51" t="s">
        <v>21</v>
      </c>
      <c r="B141" s="144" t="s">
        <v>93</v>
      </c>
      <c r="C141" s="144"/>
      <c r="D141" s="144"/>
      <c r="E141" s="144"/>
      <c r="F141" s="144"/>
      <c r="G141" s="144"/>
      <c r="H141" s="144"/>
      <c r="I141" s="17">
        <f>I110</f>
        <v>2745.73</v>
      </c>
    </row>
    <row r="142" spans="1:9" ht="15" customHeight="1">
      <c r="A142" s="145" t="s">
        <v>118</v>
      </c>
      <c r="B142" s="145"/>
      <c r="C142" s="145"/>
      <c r="D142" s="145"/>
      <c r="E142" s="145"/>
      <c r="F142" s="145"/>
      <c r="G142" s="145"/>
      <c r="H142" s="145"/>
      <c r="I142" s="20">
        <f>SUM(I138:I141)</f>
        <v>7484.2</v>
      </c>
    </row>
    <row r="143" spans="1:9" ht="15" customHeight="1">
      <c r="A143" s="52" t="s">
        <v>49</v>
      </c>
      <c r="B143" s="144" t="s">
        <v>119</v>
      </c>
      <c r="C143" s="144"/>
      <c r="D143" s="144"/>
      <c r="E143" s="144"/>
      <c r="F143" s="144"/>
      <c r="G143" s="144"/>
      <c r="H143" s="144"/>
      <c r="I143" s="17">
        <f>I127</f>
        <v>2413.28</v>
      </c>
    </row>
    <row r="144" spans="1:9" ht="15" customHeight="1">
      <c r="A144" s="146" t="s">
        <v>120</v>
      </c>
      <c r="B144" s="146"/>
      <c r="C144" s="146"/>
      <c r="D144" s="146"/>
      <c r="E144" s="146"/>
      <c r="F144" s="146"/>
      <c r="G144" s="146"/>
      <c r="H144" s="146"/>
      <c r="I144" s="74">
        <f>SUM(I142:I143)</f>
        <v>9897.48</v>
      </c>
    </row>
    <row r="145" spans="1:9" ht="21" customHeight="1">
      <c r="A145" s="147"/>
      <c r="B145" s="147"/>
      <c r="C145" s="147"/>
      <c r="D145" s="147"/>
      <c r="E145" s="147"/>
      <c r="F145" s="147"/>
      <c r="G145" s="147"/>
      <c r="H145" s="147"/>
      <c r="I145" s="147"/>
    </row>
    <row r="146" spans="1:9" ht="18.75" customHeight="1">
      <c r="A146" s="96" t="s">
        <v>121</v>
      </c>
      <c r="B146" s="96"/>
      <c r="C146" s="96"/>
      <c r="D146" s="96"/>
      <c r="E146" s="96"/>
      <c r="F146" s="96"/>
      <c r="G146" s="108">
        <f>I144*H14</f>
        <v>9897.48</v>
      </c>
      <c r="H146" s="108"/>
      <c r="I146" s="108"/>
    </row>
    <row r="147" spans="1:9" ht="8.25" customHeight="1">
      <c r="A147" s="148"/>
      <c r="B147" s="148"/>
      <c r="C147" s="148"/>
      <c r="D147" s="148"/>
      <c r="E147" s="148"/>
      <c r="F147" s="148"/>
      <c r="G147" s="148"/>
      <c r="H147" s="148"/>
      <c r="I147" s="148"/>
    </row>
    <row r="148" spans="1:9" ht="19.5" customHeight="1">
      <c r="A148" s="90" t="s">
        <v>122</v>
      </c>
      <c r="B148" s="90"/>
      <c r="C148" s="90"/>
      <c r="D148" s="90"/>
      <c r="E148" s="90"/>
      <c r="F148" s="90"/>
      <c r="G148" s="149">
        <f>$H$10</f>
        <v>12</v>
      </c>
      <c r="H148" s="149"/>
      <c r="I148" s="149"/>
    </row>
    <row r="149" spans="1:9" ht="8.25" customHeight="1">
      <c r="A149" s="150"/>
      <c r="B149" s="150"/>
      <c r="C149" s="150"/>
      <c r="D149" s="150"/>
      <c r="E149" s="150"/>
      <c r="F149" s="150"/>
      <c r="G149" s="150"/>
      <c r="H149" s="150"/>
      <c r="I149" s="150"/>
    </row>
    <row r="150" spans="1:9" ht="31.5" customHeight="1">
      <c r="A150" s="151" t="s">
        <v>157</v>
      </c>
      <c r="B150" s="151"/>
      <c r="C150" s="151"/>
      <c r="D150" s="151"/>
      <c r="E150" s="151"/>
      <c r="F150" s="151"/>
      <c r="G150" s="152">
        <f>ROUND(G146*G148,2)</f>
        <v>118769.76</v>
      </c>
      <c r="H150" s="152"/>
      <c r="I150" s="152"/>
    </row>
    <row r="151" spans="1:9" ht="8.25" customHeight="1">
      <c r="A151" s="153"/>
      <c r="B151" s="153"/>
      <c r="C151" s="153"/>
      <c r="D151" s="153"/>
      <c r="E151" s="153"/>
      <c r="F151" s="153"/>
      <c r="G151" s="153"/>
      <c r="H151" s="153"/>
      <c r="I151" s="153"/>
    </row>
    <row r="152" spans="1:9" ht="29.25" customHeight="1">
      <c r="A152" s="154" t="s">
        <v>123</v>
      </c>
      <c r="B152" s="154"/>
      <c r="C152" s="154"/>
      <c r="D152" s="154"/>
      <c r="E152" s="154"/>
      <c r="F152" s="154"/>
      <c r="G152" s="154"/>
      <c r="H152" s="154"/>
      <c r="I152" s="154"/>
    </row>
    <row r="153" spans="1:9" ht="12" customHeight="1">
      <c r="A153" s="155" t="s">
        <v>124</v>
      </c>
      <c r="B153" s="155"/>
      <c r="C153" s="155"/>
      <c r="D153" s="91" t="s">
        <v>125</v>
      </c>
      <c r="E153" s="91"/>
      <c r="F153" s="91"/>
      <c r="G153" s="91"/>
      <c r="H153" s="91"/>
      <c r="I153" s="91"/>
    </row>
    <row r="154" spans="1:9" ht="12.75">
      <c r="A154" s="155"/>
      <c r="B154" s="155"/>
      <c r="C154" s="155"/>
      <c r="D154" s="91"/>
      <c r="E154" s="91"/>
      <c r="F154" s="91"/>
      <c r="G154" s="91"/>
      <c r="H154" s="91"/>
      <c r="I154" s="91"/>
    </row>
    <row r="155" spans="1:9" ht="57" customHeight="1">
      <c r="A155" s="156" t="s">
        <v>126</v>
      </c>
      <c r="B155" s="156"/>
      <c r="C155" s="156"/>
      <c r="D155" s="88" t="s">
        <v>127</v>
      </c>
      <c r="E155" s="88"/>
      <c r="F155" s="88"/>
      <c r="G155" s="88"/>
      <c r="H155" s="88"/>
      <c r="I155" s="88"/>
    </row>
    <row r="156" spans="1:9" ht="12.75">
      <c r="A156" s="157"/>
      <c r="B156" s="157"/>
      <c r="C156" s="157"/>
      <c r="D156" s="158"/>
      <c r="E156" s="158"/>
      <c r="F156" s="158"/>
      <c r="G156" s="158"/>
      <c r="H156" s="158"/>
      <c r="I156" s="158"/>
    </row>
    <row r="157" spans="1:9" ht="12.75" customHeight="1">
      <c r="A157" s="159"/>
      <c r="B157" s="159"/>
      <c r="C157" s="159"/>
      <c r="D157" s="158"/>
      <c r="E157" s="158"/>
      <c r="F157" s="158"/>
      <c r="G157" s="158"/>
      <c r="H157" s="158"/>
      <c r="I157" s="158"/>
    </row>
    <row r="158" spans="1:9" ht="15" customHeight="1">
      <c r="A158" s="160"/>
      <c r="B158" s="160"/>
      <c r="C158" s="160"/>
      <c r="D158" s="160"/>
      <c r="E158" s="160"/>
      <c r="F158" s="160"/>
      <c r="G158" s="160"/>
      <c r="H158" s="160"/>
      <c r="I158" s="160"/>
    </row>
    <row r="159" spans="1:9" ht="12.75" hidden="1">
      <c r="A159" s="160"/>
      <c r="B159" s="160"/>
      <c r="C159" s="160"/>
      <c r="D159" s="160"/>
      <c r="E159" s="160"/>
      <c r="F159" s="160"/>
      <c r="G159" s="160"/>
      <c r="H159" s="160"/>
      <c r="I159" s="160"/>
    </row>
    <row r="160" spans="1:9" ht="27" customHeight="1">
      <c r="A160" s="161" t="s">
        <v>128</v>
      </c>
      <c r="B160" s="161"/>
      <c r="C160" s="161"/>
      <c r="D160" s="161"/>
      <c r="E160" s="161"/>
      <c r="F160" s="161"/>
      <c r="G160" s="161"/>
      <c r="H160" s="161"/>
      <c r="I160" s="161"/>
    </row>
    <row r="161" spans="1:9" ht="12.75" customHeight="1">
      <c r="A161" s="91" t="s">
        <v>129</v>
      </c>
      <c r="B161" s="91"/>
      <c r="C161" s="91"/>
      <c r="D161" s="91"/>
      <c r="E161" s="91"/>
      <c r="F161" s="91"/>
      <c r="G161" s="91"/>
      <c r="H161" s="91" t="s">
        <v>130</v>
      </c>
      <c r="I161" s="91"/>
    </row>
    <row r="162" spans="1:9" ht="15" customHeight="1">
      <c r="A162" s="162" t="s">
        <v>131</v>
      </c>
      <c r="B162" s="162"/>
      <c r="C162" s="162"/>
      <c r="D162" s="162"/>
      <c r="E162" s="162"/>
      <c r="F162" s="162"/>
      <c r="G162" s="162"/>
      <c r="H162" s="163">
        <v>1</v>
      </c>
      <c r="I162" s="163"/>
    </row>
    <row r="163" spans="1:9" ht="12.75" customHeight="1">
      <c r="A163" s="157"/>
      <c r="B163" s="157"/>
      <c r="C163" s="157"/>
      <c r="D163" s="157"/>
      <c r="E163" s="157"/>
      <c r="F163" s="157"/>
      <c r="G163" s="157"/>
      <c r="H163" s="91"/>
      <c r="I163" s="91"/>
    </row>
    <row r="164" spans="1:9" ht="12.75" customHeight="1">
      <c r="A164" s="159"/>
      <c r="B164" s="159"/>
      <c r="C164" s="159"/>
      <c r="D164" s="159"/>
      <c r="E164" s="159"/>
      <c r="F164" s="159"/>
      <c r="G164" s="159"/>
      <c r="H164" s="91"/>
      <c r="I164" s="91"/>
    </row>
  </sheetData>
  <sheetProtection selectLockedCells="1" selectUnlockedCells="1"/>
  <mergeCells count="220">
    <mergeCell ref="A163:G163"/>
    <mergeCell ref="H163:I163"/>
    <mergeCell ref="A164:G164"/>
    <mergeCell ref="H164:I164"/>
    <mergeCell ref="A158:I159"/>
    <mergeCell ref="A160:I160"/>
    <mergeCell ref="A161:G161"/>
    <mergeCell ref="H161:I161"/>
    <mergeCell ref="A162:G162"/>
    <mergeCell ref="H162:I162"/>
    <mergeCell ref="A155:C155"/>
    <mergeCell ref="D155:I155"/>
    <mergeCell ref="A156:C156"/>
    <mergeCell ref="D156:I156"/>
    <mergeCell ref="A157:C157"/>
    <mergeCell ref="D157:I157"/>
    <mergeCell ref="A149:I149"/>
    <mergeCell ref="A150:F150"/>
    <mergeCell ref="G150:I150"/>
    <mergeCell ref="A151:I151"/>
    <mergeCell ref="A152:I152"/>
    <mergeCell ref="A153:C154"/>
    <mergeCell ref="D153:I154"/>
    <mergeCell ref="A145:I145"/>
    <mergeCell ref="A146:F146"/>
    <mergeCell ref="G146:I146"/>
    <mergeCell ref="A147:I147"/>
    <mergeCell ref="A148:F148"/>
    <mergeCell ref="G148:I148"/>
    <mergeCell ref="B139:H139"/>
    <mergeCell ref="B140:H140"/>
    <mergeCell ref="B141:H141"/>
    <mergeCell ref="A142:H142"/>
    <mergeCell ref="B143:H143"/>
    <mergeCell ref="A144:H144"/>
    <mergeCell ref="A133:I133"/>
    <mergeCell ref="A134:I134"/>
    <mergeCell ref="A135:I135"/>
    <mergeCell ref="A136:I136"/>
    <mergeCell ref="A137:H137"/>
    <mergeCell ref="B138:H138"/>
    <mergeCell ref="B126:G126"/>
    <mergeCell ref="A127:H127"/>
    <mergeCell ref="A128:I128"/>
    <mergeCell ref="A129:G129"/>
    <mergeCell ref="A130:B132"/>
    <mergeCell ref="C130:I130"/>
    <mergeCell ref="C131:I131"/>
    <mergeCell ref="C132:I132"/>
    <mergeCell ref="B120:G120"/>
    <mergeCell ref="B121:G121"/>
    <mergeCell ref="B122:G122"/>
    <mergeCell ref="B123:G123"/>
    <mergeCell ref="B124:G124"/>
    <mergeCell ref="B125:G125"/>
    <mergeCell ref="B114:G114"/>
    <mergeCell ref="A115:G115"/>
    <mergeCell ref="B116:G116"/>
    <mergeCell ref="A117:G117"/>
    <mergeCell ref="B118:G118"/>
    <mergeCell ref="B119:G119"/>
    <mergeCell ref="B108:H108"/>
    <mergeCell ref="B109:H109"/>
    <mergeCell ref="A110:H110"/>
    <mergeCell ref="A111:I111"/>
    <mergeCell ref="B112:G112"/>
    <mergeCell ref="A113:G113"/>
    <mergeCell ref="A102:I102"/>
    <mergeCell ref="B103:H103"/>
    <mergeCell ref="B104:H104"/>
    <mergeCell ref="B105:H105"/>
    <mergeCell ref="B106:H106"/>
    <mergeCell ref="B107:H107"/>
    <mergeCell ref="B96:H96"/>
    <mergeCell ref="B97:H97"/>
    <mergeCell ref="B98:H98"/>
    <mergeCell ref="A99:H99"/>
    <mergeCell ref="B100:H100"/>
    <mergeCell ref="A101:H101"/>
    <mergeCell ref="A90:H90"/>
    <mergeCell ref="A91:I91"/>
    <mergeCell ref="B92:H92"/>
    <mergeCell ref="B93:H93"/>
    <mergeCell ref="B94:H94"/>
    <mergeCell ref="B95:H95"/>
    <mergeCell ref="B84:H84"/>
    <mergeCell ref="B85:H85"/>
    <mergeCell ref="B86:H86"/>
    <mergeCell ref="B87:H87"/>
    <mergeCell ref="B88:H88"/>
    <mergeCell ref="B89:H89"/>
    <mergeCell ref="B78:H78"/>
    <mergeCell ref="B79:H79"/>
    <mergeCell ref="B80:H80"/>
    <mergeCell ref="A81:H81"/>
    <mergeCell ref="A82:I82"/>
    <mergeCell ref="B83:H83"/>
    <mergeCell ref="B72:H72"/>
    <mergeCell ref="A73:H73"/>
    <mergeCell ref="B74:H74"/>
    <mergeCell ref="A75:H75"/>
    <mergeCell ref="A76:I76"/>
    <mergeCell ref="A77:I77"/>
    <mergeCell ref="B65:G65"/>
    <mergeCell ref="A66:G66"/>
    <mergeCell ref="A68:I68"/>
    <mergeCell ref="A69:I69"/>
    <mergeCell ref="A70:I70"/>
    <mergeCell ref="B71:H71"/>
    <mergeCell ref="B59:G59"/>
    <mergeCell ref="B60:G60"/>
    <mergeCell ref="B61:G61"/>
    <mergeCell ref="B62:G62"/>
    <mergeCell ref="B63:G63"/>
    <mergeCell ref="B64:C64"/>
    <mergeCell ref="A52:H52"/>
    <mergeCell ref="A53:I53"/>
    <mergeCell ref="A54:I54"/>
    <mergeCell ref="A56:I56"/>
    <mergeCell ref="B57:G57"/>
    <mergeCell ref="B58:G58"/>
    <mergeCell ref="A46:I46"/>
    <mergeCell ref="A47:I47"/>
    <mergeCell ref="B48:H48"/>
    <mergeCell ref="B49:H49"/>
    <mergeCell ref="B50:H50"/>
    <mergeCell ref="B51:H51"/>
    <mergeCell ref="B40:G40"/>
    <mergeCell ref="B41:H41"/>
    <mergeCell ref="B42:H42"/>
    <mergeCell ref="B43:H43"/>
    <mergeCell ref="A44:I44"/>
    <mergeCell ref="A45:I45"/>
    <mergeCell ref="A34:I34"/>
    <mergeCell ref="B35:H35"/>
    <mergeCell ref="B36:H36"/>
    <mergeCell ref="B37:G37"/>
    <mergeCell ref="B38:G38"/>
    <mergeCell ref="B39:H39"/>
    <mergeCell ref="A28:I28"/>
    <mergeCell ref="A29:I29"/>
    <mergeCell ref="A30:I30"/>
    <mergeCell ref="B31:G31"/>
    <mergeCell ref="B32:H32"/>
    <mergeCell ref="A33:H33"/>
    <mergeCell ref="B24:G24"/>
    <mergeCell ref="H24:I24"/>
    <mergeCell ref="B25:G25"/>
    <mergeCell ref="B26:G26"/>
    <mergeCell ref="H26:I26"/>
    <mergeCell ref="A27:I27"/>
    <mergeCell ref="B21:G21"/>
    <mergeCell ref="H21:I21"/>
    <mergeCell ref="B22:G22"/>
    <mergeCell ref="H22:I22"/>
    <mergeCell ref="B23:G23"/>
    <mergeCell ref="H23:I23"/>
    <mergeCell ref="HI19:HP19"/>
    <mergeCell ref="HQ19:HX19"/>
    <mergeCell ref="HY19:IF19"/>
    <mergeCell ref="IG19:IN19"/>
    <mergeCell ref="IO19:IV19"/>
    <mergeCell ref="B20:G20"/>
    <mergeCell ref="H20:I20"/>
    <mergeCell ref="FM19:FT19"/>
    <mergeCell ref="FU19:GB19"/>
    <mergeCell ref="GC19:GJ19"/>
    <mergeCell ref="GK19:GR19"/>
    <mergeCell ref="GS19:GZ19"/>
    <mergeCell ref="HA19:HH19"/>
    <mergeCell ref="DQ19:DX19"/>
    <mergeCell ref="DY19:EF19"/>
    <mergeCell ref="EG19:EN19"/>
    <mergeCell ref="EO19:EV19"/>
    <mergeCell ref="EW19:FD19"/>
    <mergeCell ref="FE19:FL19"/>
    <mergeCell ref="BU19:CB19"/>
    <mergeCell ref="CC19:CJ19"/>
    <mergeCell ref="CK19:CR19"/>
    <mergeCell ref="CS19:CZ19"/>
    <mergeCell ref="DA19:DH19"/>
    <mergeCell ref="DI19:DP19"/>
    <mergeCell ref="Y19:AF19"/>
    <mergeCell ref="AG19:AN19"/>
    <mergeCell ref="AO19:AV19"/>
    <mergeCell ref="AW19:BD19"/>
    <mergeCell ref="BE19:BL19"/>
    <mergeCell ref="BM19:BT19"/>
    <mergeCell ref="A16:I16"/>
    <mergeCell ref="A17:I17"/>
    <mergeCell ref="A18:I18"/>
    <mergeCell ref="A19:I19"/>
    <mergeCell ref="J19:P19"/>
    <mergeCell ref="Q19:X19"/>
    <mergeCell ref="A13:E13"/>
    <mergeCell ref="F13:G13"/>
    <mergeCell ref="H13:I13"/>
    <mergeCell ref="A14:G14"/>
    <mergeCell ref="H14:I14"/>
    <mergeCell ref="A15:I15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2:I2"/>
    <mergeCell ref="A3:E3"/>
    <mergeCell ref="F3:I3"/>
    <mergeCell ref="A4:E4"/>
    <mergeCell ref="F4:I4"/>
    <mergeCell ref="A1:I1"/>
  </mergeCells>
  <printOptions horizontalCentered="1"/>
  <pageMargins left="0.7874015748031497" right="0.31496062992125984" top="0.7874015748031497" bottom="0.7874015748031497" header="0.5118110236220472" footer="0.5118110236220472"/>
  <pageSetup horizontalDpi="300" verticalDpi="300" orientation="portrait" paperSize="9" scale="83" r:id="rId1"/>
  <headerFooter alignWithMargins="0">
    <oddHeader>&amp;L&amp;F&amp;R&amp;A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IV166"/>
  <sheetViews>
    <sheetView view="pageBreakPreview" zoomScaleSheetLayoutView="100" zoomScalePageLayoutView="0" workbookViewId="0" topLeftCell="A138">
      <selection activeCell="A1" sqref="A1:I166"/>
    </sheetView>
  </sheetViews>
  <sheetFormatPr defaultColWidth="9.140625" defaultRowHeight="12.75"/>
  <cols>
    <col min="1" max="1" width="8.28125" style="53" customWidth="1"/>
    <col min="2" max="2" width="11.140625" style="53" customWidth="1"/>
    <col min="3" max="3" width="13.28125" style="53" customWidth="1"/>
    <col min="4" max="4" width="10.140625" style="53" customWidth="1"/>
    <col min="5" max="5" width="12.421875" style="53" customWidth="1"/>
    <col min="6" max="6" width="11.28125" style="53" customWidth="1"/>
    <col min="7" max="7" width="9.8515625" style="53" customWidth="1"/>
    <col min="8" max="8" width="10.28125" style="53" customWidth="1"/>
    <col min="9" max="9" width="18.57421875" style="75" customWidth="1"/>
    <col min="10" max="10" width="10.7109375" style="53" customWidth="1"/>
    <col min="11" max="11" width="11.140625" style="53" customWidth="1"/>
    <col min="12" max="12" width="14.00390625" style="53" customWidth="1"/>
    <col min="13" max="13" width="6.57421875" style="53" customWidth="1"/>
    <col min="14" max="15" width="9.28125" style="53" customWidth="1"/>
    <col min="16" max="16384" width="9.140625" style="53" customWidth="1"/>
  </cols>
  <sheetData>
    <row r="1" spans="1:9" ht="60.75" customHeight="1">
      <c r="A1" s="92" t="s">
        <v>172</v>
      </c>
      <c r="B1" s="92"/>
      <c r="C1" s="92"/>
      <c r="D1" s="92"/>
      <c r="E1" s="92"/>
      <c r="F1" s="92"/>
      <c r="G1" s="92"/>
      <c r="H1" s="92"/>
      <c r="I1" s="92"/>
    </row>
    <row r="2" spans="1:9" ht="38.25" customHeight="1">
      <c r="A2" s="89" t="s">
        <v>174</v>
      </c>
      <c r="B2" s="89"/>
      <c r="C2" s="89"/>
      <c r="D2" s="89"/>
      <c r="E2" s="89"/>
      <c r="F2" s="89"/>
      <c r="G2" s="89"/>
      <c r="H2" s="89"/>
      <c r="I2" s="89"/>
    </row>
    <row r="3" spans="1:9" ht="15.75" customHeight="1">
      <c r="A3" s="90" t="s">
        <v>11</v>
      </c>
      <c r="B3" s="90"/>
      <c r="C3" s="90"/>
      <c r="D3" s="90"/>
      <c r="E3" s="90"/>
      <c r="F3" s="91" t="s">
        <v>134</v>
      </c>
      <c r="G3" s="91"/>
      <c r="H3" s="91"/>
      <c r="I3" s="91"/>
    </row>
    <row r="4" spans="1:9" ht="15.75" customHeight="1">
      <c r="A4" s="90" t="s">
        <v>12</v>
      </c>
      <c r="B4" s="90"/>
      <c r="C4" s="90"/>
      <c r="D4" s="90"/>
      <c r="E4" s="90"/>
      <c r="F4" s="91" t="s">
        <v>135</v>
      </c>
      <c r="G4" s="91"/>
      <c r="H4" s="91"/>
      <c r="I4" s="91"/>
    </row>
    <row r="5" spans="1:9" ht="21.75" customHeight="1">
      <c r="A5" s="90" t="s">
        <v>175</v>
      </c>
      <c r="B5" s="90"/>
      <c r="C5" s="90"/>
      <c r="D5" s="90"/>
      <c r="E5" s="90"/>
      <c r="F5" s="90"/>
      <c r="G5" s="90"/>
      <c r="H5" s="90"/>
      <c r="I5" s="90"/>
    </row>
    <row r="6" spans="1:9" ht="20.25" customHeight="1">
      <c r="A6" s="93" t="s">
        <v>13</v>
      </c>
      <c r="B6" s="93"/>
      <c r="C6" s="93"/>
      <c r="D6" s="93"/>
      <c r="E6" s="93"/>
      <c r="F6" s="93"/>
      <c r="G6" s="93"/>
      <c r="H6" s="93"/>
      <c r="I6" s="93"/>
    </row>
    <row r="7" spans="1:9" ht="15.75" customHeight="1">
      <c r="A7" s="1" t="s">
        <v>14</v>
      </c>
      <c r="B7" s="90" t="s">
        <v>15</v>
      </c>
      <c r="C7" s="90"/>
      <c r="D7" s="90"/>
      <c r="E7" s="90"/>
      <c r="F7" s="90"/>
      <c r="G7" s="90"/>
      <c r="H7" s="94"/>
      <c r="I7" s="94"/>
    </row>
    <row r="8" spans="1:9" ht="15.75" customHeight="1">
      <c r="A8" s="1" t="s">
        <v>16</v>
      </c>
      <c r="B8" s="90" t="s">
        <v>17</v>
      </c>
      <c r="C8" s="90"/>
      <c r="D8" s="90"/>
      <c r="E8" s="90"/>
      <c r="F8" s="90"/>
      <c r="G8" s="90"/>
      <c r="H8" s="95" t="s">
        <v>18</v>
      </c>
      <c r="I8" s="95"/>
    </row>
    <row r="9" spans="1:9" ht="27" customHeight="1">
      <c r="A9" s="1" t="s">
        <v>19</v>
      </c>
      <c r="B9" s="90" t="s">
        <v>20</v>
      </c>
      <c r="C9" s="90"/>
      <c r="D9" s="90"/>
      <c r="E9" s="90"/>
      <c r="F9" s="90"/>
      <c r="G9" s="90"/>
      <c r="H9" s="95" t="s">
        <v>180</v>
      </c>
      <c r="I9" s="95"/>
    </row>
    <row r="10" spans="1:9" ht="15.75" customHeight="1">
      <c r="A10" s="1" t="s">
        <v>21</v>
      </c>
      <c r="B10" s="90" t="s">
        <v>22</v>
      </c>
      <c r="C10" s="90"/>
      <c r="D10" s="90"/>
      <c r="E10" s="90"/>
      <c r="F10" s="90"/>
      <c r="G10" s="90"/>
      <c r="H10" s="95">
        <v>12</v>
      </c>
      <c r="I10" s="95"/>
    </row>
    <row r="11" spans="1:9" ht="27.75" customHeight="1">
      <c r="A11" s="96" t="s">
        <v>23</v>
      </c>
      <c r="B11" s="96"/>
      <c r="C11" s="96"/>
      <c r="D11" s="96"/>
      <c r="E11" s="96"/>
      <c r="F11" s="96"/>
      <c r="G11" s="96"/>
      <c r="H11" s="96"/>
      <c r="I11" s="96"/>
    </row>
    <row r="12" spans="1:9" ht="43.5" customHeight="1">
      <c r="A12" s="97" t="s">
        <v>24</v>
      </c>
      <c r="B12" s="97"/>
      <c r="C12" s="97"/>
      <c r="D12" s="97"/>
      <c r="E12" s="97"/>
      <c r="F12" s="98" t="s">
        <v>25</v>
      </c>
      <c r="G12" s="98"/>
      <c r="H12" s="99" t="s">
        <v>26</v>
      </c>
      <c r="I12" s="99"/>
    </row>
    <row r="13" spans="1:9" ht="12.75" customHeight="1">
      <c r="A13" s="90" t="s">
        <v>132</v>
      </c>
      <c r="B13" s="90"/>
      <c r="C13" s="90"/>
      <c r="D13" s="90"/>
      <c r="E13" s="90"/>
      <c r="F13" s="91" t="s">
        <v>28</v>
      </c>
      <c r="G13" s="91"/>
      <c r="H13" s="100">
        <v>1</v>
      </c>
      <c r="I13" s="100"/>
    </row>
    <row r="14" spans="1:9" ht="12.75" customHeight="1">
      <c r="A14" s="101" t="s">
        <v>29</v>
      </c>
      <c r="B14" s="101"/>
      <c r="C14" s="101"/>
      <c r="D14" s="101"/>
      <c r="E14" s="101"/>
      <c r="F14" s="101"/>
      <c r="G14" s="101"/>
      <c r="H14" s="102">
        <f>SUM(H13:H13)</f>
        <v>1</v>
      </c>
      <c r="I14" s="102"/>
    </row>
    <row r="15" spans="1:9" ht="8.25" customHeight="1">
      <c r="A15" s="103"/>
      <c r="B15" s="103"/>
      <c r="C15" s="103"/>
      <c r="D15" s="103"/>
      <c r="E15" s="103"/>
      <c r="F15" s="103"/>
      <c r="G15" s="103"/>
      <c r="H15" s="103"/>
      <c r="I15" s="103"/>
    </row>
    <row r="16" spans="1:12" ht="57" customHeight="1">
      <c r="A16" s="104" t="s">
        <v>30</v>
      </c>
      <c r="B16" s="104"/>
      <c r="C16" s="104"/>
      <c r="D16" s="104"/>
      <c r="E16" s="104"/>
      <c r="F16" s="104"/>
      <c r="G16" s="104"/>
      <c r="H16" s="104"/>
      <c r="I16" s="104"/>
      <c r="J16" s="54"/>
      <c r="K16" s="55"/>
      <c r="L16" s="56"/>
    </row>
    <row r="17" spans="1:12" ht="7.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54"/>
      <c r="K17" s="55"/>
      <c r="L17" s="56"/>
    </row>
    <row r="18" spans="1:12" ht="47.25" customHeight="1">
      <c r="A18" s="106" t="s">
        <v>31</v>
      </c>
      <c r="B18" s="106"/>
      <c r="C18" s="106"/>
      <c r="D18" s="106"/>
      <c r="E18" s="106"/>
      <c r="F18" s="106"/>
      <c r="G18" s="106"/>
      <c r="H18" s="106"/>
      <c r="I18" s="106"/>
      <c r="J18" s="54"/>
      <c r="K18" s="55"/>
      <c r="L18" s="56"/>
    </row>
    <row r="19" spans="1:256" s="2" customFormat="1" ht="21.75" customHeight="1">
      <c r="A19" s="93" t="s">
        <v>32</v>
      </c>
      <c r="B19" s="93"/>
      <c r="C19" s="93"/>
      <c r="D19" s="93"/>
      <c r="E19" s="93"/>
      <c r="F19" s="93"/>
      <c r="G19" s="93"/>
      <c r="H19" s="93"/>
      <c r="I19" s="93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</row>
    <row r="20" spans="1:9" ht="27.75" customHeight="1">
      <c r="A20" s="1">
        <v>1</v>
      </c>
      <c r="B20" s="90" t="s">
        <v>33</v>
      </c>
      <c r="C20" s="90"/>
      <c r="D20" s="90"/>
      <c r="E20" s="90"/>
      <c r="F20" s="90"/>
      <c r="G20" s="90"/>
      <c r="H20" s="108" t="s">
        <v>34</v>
      </c>
      <c r="I20" s="108"/>
    </row>
    <row r="21" spans="1:9" ht="15.75" customHeight="1">
      <c r="A21" s="3">
        <v>2</v>
      </c>
      <c r="B21" s="109" t="s">
        <v>35</v>
      </c>
      <c r="C21" s="109"/>
      <c r="D21" s="109"/>
      <c r="E21" s="109"/>
      <c r="F21" s="109"/>
      <c r="G21" s="109"/>
      <c r="H21" s="110">
        <v>1723.09</v>
      </c>
      <c r="I21" s="110"/>
    </row>
    <row r="22" spans="1:9" ht="15.75" customHeight="1">
      <c r="A22" s="1">
        <v>3</v>
      </c>
      <c r="B22" s="90" t="s">
        <v>36</v>
      </c>
      <c r="C22" s="90"/>
      <c r="D22" s="90"/>
      <c r="E22" s="90"/>
      <c r="F22" s="90"/>
      <c r="G22" s="90"/>
      <c r="H22" s="111" t="s">
        <v>177</v>
      </c>
      <c r="I22" s="111"/>
    </row>
    <row r="23" spans="1:9" ht="15.75" customHeight="1">
      <c r="A23" s="4">
        <v>4</v>
      </c>
      <c r="B23" s="112" t="s">
        <v>37</v>
      </c>
      <c r="C23" s="112"/>
      <c r="D23" s="112"/>
      <c r="E23" s="112"/>
      <c r="F23" s="112"/>
      <c r="G23" s="112"/>
      <c r="H23" s="113">
        <v>44927</v>
      </c>
      <c r="I23" s="113"/>
    </row>
    <row r="24" spans="1:9" ht="15.75" customHeight="1">
      <c r="A24" s="1">
        <v>5</v>
      </c>
      <c r="B24" s="90" t="s">
        <v>137</v>
      </c>
      <c r="C24" s="90"/>
      <c r="D24" s="90"/>
      <c r="E24" s="90"/>
      <c r="F24" s="90"/>
      <c r="G24" s="90"/>
      <c r="H24" s="114">
        <f>H21/220</f>
        <v>7.83</v>
      </c>
      <c r="I24" s="114"/>
    </row>
    <row r="25" spans="1:9" ht="15.75" customHeight="1">
      <c r="A25" s="1">
        <v>6</v>
      </c>
      <c r="B25" s="90" t="s">
        <v>138</v>
      </c>
      <c r="C25" s="90"/>
      <c r="D25" s="90"/>
      <c r="E25" s="90"/>
      <c r="F25" s="90"/>
      <c r="G25" s="90"/>
      <c r="H25" s="57">
        <f>H24*50%</f>
        <v>3.92</v>
      </c>
      <c r="I25" s="57">
        <f>H24+H25</f>
        <v>11.75</v>
      </c>
    </row>
    <row r="26" spans="1:9" ht="17.25" customHeight="1">
      <c r="A26" s="58">
        <v>7</v>
      </c>
      <c r="B26" s="115" t="s">
        <v>38</v>
      </c>
      <c r="C26" s="115"/>
      <c r="D26" s="115"/>
      <c r="E26" s="115"/>
      <c r="F26" s="115"/>
      <c r="G26" s="115"/>
      <c r="H26" s="116">
        <v>2</v>
      </c>
      <c r="I26" s="116"/>
    </row>
    <row r="27" spans="1:9" ht="9" customHeight="1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 ht="14.25" customHeight="1">
      <c r="A28" s="118" t="s">
        <v>39</v>
      </c>
      <c r="B28" s="118"/>
      <c r="C28" s="118"/>
      <c r="D28" s="118"/>
      <c r="E28" s="118"/>
      <c r="F28" s="118"/>
      <c r="G28" s="118"/>
      <c r="H28" s="118"/>
      <c r="I28" s="118"/>
    </row>
    <row r="29" spans="1:9" ht="9" customHeight="1">
      <c r="A29" s="119"/>
      <c r="B29" s="119"/>
      <c r="C29" s="119"/>
      <c r="D29" s="119"/>
      <c r="E29" s="119"/>
      <c r="F29" s="119"/>
      <c r="G29" s="119"/>
      <c r="H29" s="119"/>
      <c r="I29" s="119"/>
    </row>
    <row r="30" spans="1:9" ht="21" customHeight="1">
      <c r="A30" s="120" t="s">
        <v>40</v>
      </c>
      <c r="B30" s="120"/>
      <c r="C30" s="120"/>
      <c r="D30" s="120"/>
      <c r="E30" s="120"/>
      <c r="F30" s="120"/>
      <c r="G30" s="120"/>
      <c r="H30" s="120"/>
      <c r="I30" s="120"/>
    </row>
    <row r="31" spans="1:9" s="60" customFormat="1" ht="26.25" customHeight="1">
      <c r="A31" s="5">
        <v>1</v>
      </c>
      <c r="B31" s="93" t="s">
        <v>41</v>
      </c>
      <c r="C31" s="93"/>
      <c r="D31" s="93"/>
      <c r="E31" s="93"/>
      <c r="F31" s="93"/>
      <c r="G31" s="93"/>
      <c r="H31" s="5" t="s">
        <v>42</v>
      </c>
      <c r="I31" s="59" t="s">
        <v>43</v>
      </c>
    </row>
    <row r="32" spans="1:9" ht="22.5" customHeight="1">
      <c r="A32" s="3" t="s">
        <v>14</v>
      </c>
      <c r="B32" s="121" t="s">
        <v>139</v>
      </c>
      <c r="C32" s="121"/>
      <c r="D32" s="121"/>
      <c r="E32" s="121"/>
      <c r="F32" s="121"/>
      <c r="G32" s="121"/>
      <c r="H32" s="121"/>
      <c r="I32" s="6">
        <f>H21*2</f>
        <v>3446.18</v>
      </c>
    </row>
    <row r="33" spans="1:9" ht="25.5" customHeight="1">
      <c r="A33" s="1" t="s">
        <v>16</v>
      </c>
      <c r="B33" s="90" t="s">
        <v>168</v>
      </c>
      <c r="C33" s="90"/>
      <c r="D33" s="90"/>
      <c r="E33" s="90"/>
      <c r="F33" s="90"/>
      <c r="G33" s="90"/>
      <c r="H33" s="90"/>
      <c r="I33" s="85">
        <f>H24*20%*7*15*2</f>
        <v>328.86</v>
      </c>
    </row>
    <row r="34" spans="1:9" ht="39.75" customHeight="1">
      <c r="A34" s="1" t="s">
        <v>19</v>
      </c>
      <c r="B34" s="90" t="s">
        <v>169</v>
      </c>
      <c r="C34" s="90"/>
      <c r="D34" s="90"/>
      <c r="E34" s="90"/>
      <c r="F34" s="90"/>
      <c r="G34" s="90"/>
      <c r="H34" s="90"/>
      <c r="I34" s="85">
        <f>H24*20%*1*15*2</f>
        <v>46.98</v>
      </c>
    </row>
    <row r="35" spans="1:9" ht="22.5" customHeight="1">
      <c r="A35" s="1" t="s">
        <v>21</v>
      </c>
      <c r="B35" s="90" t="s">
        <v>54</v>
      </c>
      <c r="C35" s="90"/>
      <c r="D35" s="90"/>
      <c r="E35" s="90"/>
      <c r="F35" s="90"/>
      <c r="G35" s="90"/>
      <c r="H35" s="90"/>
      <c r="I35" s="85"/>
    </row>
    <row r="36" spans="1:9" ht="15.75" customHeight="1">
      <c r="A36" s="122" t="s">
        <v>44</v>
      </c>
      <c r="B36" s="122"/>
      <c r="C36" s="122"/>
      <c r="D36" s="122"/>
      <c r="E36" s="122"/>
      <c r="F36" s="122"/>
      <c r="G36" s="122"/>
      <c r="H36" s="122"/>
      <c r="I36" s="61">
        <f>SUM(I32:I35)</f>
        <v>3822.02</v>
      </c>
    </row>
    <row r="37" spans="1:9" ht="22.5" customHeight="1">
      <c r="A37" s="123" t="s">
        <v>45</v>
      </c>
      <c r="B37" s="123"/>
      <c r="C37" s="123"/>
      <c r="D37" s="123"/>
      <c r="E37" s="123"/>
      <c r="F37" s="123"/>
      <c r="G37" s="123"/>
      <c r="H37" s="123"/>
      <c r="I37" s="123"/>
    </row>
    <row r="38" spans="1:11" ht="18.75" customHeight="1">
      <c r="A38" s="18">
        <v>2</v>
      </c>
      <c r="B38" s="93" t="s">
        <v>46</v>
      </c>
      <c r="C38" s="93"/>
      <c r="D38" s="93"/>
      <c r="E38" s="93"/>
      <c r="F38" s="93"/>
      <c r="G38" s="93"/>
      <c r="H38" s="93"/>
      <c r="I38" s="50" t="s">
        <v>47</v>
      </c>
      <c r="K38" s="53">
        <f>2+2</f>
        <v>4</v>
      </c>
    </row>
    <row r="39" spans="1:9" ht="33.75" customHeight="1">
      <c r="A39" s="7" t="s">
        <v>14</v>
      </c>
      <c r="B39" s="124" t="s">
        <v>140</v>
      </c>
      <c r="C39" s="124"/>
      <c r="D39" s="124"/>
      <c r="E39" s="124"/>
      <c r="F39" s="124"/>
      <c r="G39" s="124"/>
      <c r="H39" s="124"/>
      <c r="I39" s="8">
        <f>IF(ROUND((H40*30*H41)-(I32*0.06),2)&lt;0,0,ROUND((H40*30*H41)-((I32)*0.06),2))</f>
        <v>249.23</v>
      </c>
    </row>
    <row r="40" spans="1:9" ht="25.5" customHeight="1">
      <c r="A40" s="7"/>
      <c r="B40" s="124" t="s">
        <v>141</v>
      </c>
      <c r="C40" s="124"/>
      <c r="D40" s="124"/>
      <c r="E40" s="124"/>
      <c r="F40" s="124"/>
      <c r="G40" s="124"/>
      <c r="H40" s="9">
        <v>7.6</v>
      </c>
      <c r="I40" s="10" t="s">
        <v>48</v>
      </c>
    </row>
    <row r="41" spans="1:9" ht="15.75" customHeight="1">
      <c r="A41" s="7"/>
      <c r="B41" s="90" t="s">
        <v>142</v>
      </c>
      <c r="C41" s="90"/>
      <c r="D41" s="90"/>
      <c r="E41" s="90"/>
      <c r="F41" s="90"/>
      <c r="G41" s="90"/>
      <c r="H41" s="11">
        <v>2</v>
      </c>
      <c r="I41" s="10" t="s">
        <v>48</v>
      </c>
    </row>
    <row r="42" spans="1:9" ht="26.25" customHeight="1">
      <c r="A42" s="12" t="s">
        <v>16</v>
      </c>
      <c r="B42" s="125" t="s">
        <v>143</v>
      </c>
      <c r="C42" s="125"/>
      <c r="D42" s="125"/>
      <c r="E42" s="125"/>
      <c r="F42" s="125"/>
      <c r="G42" s="125"/>
      <c r="H42" s="125"/>
      <c r="I42" s="13">
        <f>ROUND(30*H43*(1-0.19),2)*1+ROUND(21.726*6*(1-0.19),2)*0</f>
        <v>534.6</v>
      </c>
    </row>
    <row r="43" spans="1:9" ht="41.25" customHeight="1">
      <c r="A43" s="7"/>
      <c r="B43" s="126" t="s">
        <v>170</v>
      </c>
      <c r="C43" s="126"/>
      <c r="D43" s="126"/>
      <c r="E43" s="126"/>
      <c r="F43" s="126"/>
      <c r="G43" s="126"/>
      <c r="H43" s="14">
        <v>22</v>
      </c>
      <c r="I43" s="15" t="s">
        <v>48</v>
      </c>
    </row>
    <row r="44" spans="1:9" ht="24" customHeight="1">
      <c r="A44" s="86" t="s">
        <v>21</v>
      </c>
      <c r="B44" s="127" t="s">
        <v>171</v>
      </c>
      <c r="C44" s="127"/>
      <c r="D44" s="127"/>
      <c r="E44" s="127"/>
      <c r="F44" s="127"/>
      <c r="G44" s="127"/>
      <c r="H44" s="127"/>
      <c r="I44" s="16">
        <f>17.32*2</f>
        <v>34.64</v>
      </c>
    </row>
    <row r="45" spans="1:9" ht="36.75" customHeight="1">
      <c r="A45" s="7" t="s">
        <v>49</v>
      </c>
      <c r="B45" s="90" t="s">
        <v>146</v>
      </c>
      <c r="C45" s="90"/>
      <c r="D45" s="90"/>
      <c r="E45" s="90"/>
      <c r="F45" s="90"/>
      <c r="G45" s="90"/>
      <c r="H45" s="90"/>
      <c r="I45" s="17">
        <f>I25*15*2</f>
        <v>352.5</v>
      </c>
    </row>
    <row r="46" spans="1:9" ht="15.75" customHeight="1">
      <c r="A46" s="18"/>
      <c r="B46" s="128" t="s">
        <v>50</v>
      </c>
      <c r="C46" s="128"/>
      <c r="D46" s="128"/>
      <c r="E46" s="128"/>
      <c r="F46" s="128"/>
      <c r="G46" s="128"/>
      <c r="H46" s="128"/>
      <c r="I46" s="19">
        <f>SUM(I39:I45)</f>
        <v>1170.97</v>
      </c>
    </row>
    <row r="47" spans="1:9" ht="7.5" customHeight="1">
      <c r="A47" s="105"/>
      <c r="B47" s="105"/>
      <c r="C47" s="105"/>
      <c r="D47" s="105"/>
      <c r="E47" s="105"/>
      <c r="F47" s="105"/>
      <c r="G47" s="105"/>
      <c r="H47" s="105"/>
      <c r="I47" s="105"/>
    </row>
    <row r="48" spans="1:9" ht="15.75" customHeight="1">
      <c r="A48" s="96" t="s">
        <v>51</v>
      </c>
      <c r="B48" s="96"/>
      <c r="C48" s="96"/>
      <c r="D48" s="96"/>
      <c r="E48" s="96"/>
      <c r="F48" s="96"/>
      <c r="G48" s="96"/>
      <c r="H48" s="96"/>
      <c r="I48" s="96"/>
    </row>
    <row r="49" spans="1:9" ht="7.5" customHeight="1">
      <c r="A49" s="103"/>
      <c r="B49" s="103"/>
      <c r="C49" s="103"/>
      <c r="D49" s="103"/>
      <c r="E49" s="103"/>
      <c r="F49" s="103"/>
      <c r="G49" s="103"/>
      <c r="H49" s="103"/>
      <c r="I49" s="103"/>
    </row>
    <row r="50" spans="1:10" ht="22.5" customHeight="1">
      <c r="A50" s="129" t="s">
        <v>52</v>
      </c>
      <c r="B50" s="129"/>
      <c r="C50" s="129"/>
      <c r="D50" s="129"/>
      <c r="E50" s="129"/>
      <c r="F50" s="129"/>
      <c r="G50" s="129"/>
      <c r="H50" s="129"/>
      <c r="I50" s="129"/>
      <c r="J50" s="63"/>
    </row>
    <row r="51" spans="1:9" ht="15.75" customHeight="1">
      <c r="A51" s="18">
        <v>3</v>
      </c>
      <c r="B51" s="93" t="s">
        <v>53</v>
      </c>
      <c r="C51" s="93"/>
      <c r="D51" s="93"/>
      <c r="E51" s="93"/>
      <c r="F51" s="93"/>
      <c r="G51" s="93"/>
      <c r="H51" s="93"/>
      <c r="I51" s="64" t="s">
        <v>47</v>
      </c>
    </row>
    <row r="52" spans="1:9" ht="36.75" customHeight="1">
      <c r="A52" s="7" t="s">
        <v>14</v>
      </c>
      <c r="B52" s="90" t="s">
        <v>178</v>
      </c>
      <c r="C52" s="90"/>
      <c r="D52" s="90"/>
      <c r="E52" s="90"/>
      <c r="F52" s="90"/>
      <c r="G52" s="90"/>
      <c r="H52" s="90"/>
      <c r="I52" s="8">
        <v>119.69</v>
      </c>
    </row>
    <row r="53" spans="1:9" ht="34.5" customHeight="1">
      <c r="A53" s="7" t="s">
        <v>16</v>
      </c>
      <c r="B53" s="90" t="s">
        <v>147</v>
      </c>
      <c r="C53" s="90"/>
      <c r="D53" s="90"/>
      <c r="E53" s="90"/>
      <c r="F53" s="90"/>
      <c r="G53" s="90"/>
      <c r="H53" s="90"/>
      <c r="I53" s="17">
        <v>1.63</v>
      </c>
    </row>
    <row r="54" spans="1:9" ht="15.75" customHeight="1">
      <c r="A54" s="7" t="s">
        <v>21</v>
      </c>
      <c r="B54" s="90" t="s">
        <v>54</v>
      </c>
      <c r="C54" s="90"/>
      <c r="D54" s="90"/>
      <c r="E54" s="90"/>
      <c r="F54" s="90"/>
      <c r="G54" s="90"/>
      <c r="H54" s="90"/>
      <c r="I54" s="17" t="s">
        <v>55</v>
      </c>
    </row>
    <row r="55" spans="1:9" ht="15.75" customHeight="1">
      <c r="A55" s="130" t="s">
        <v>56</v>
      </c>
      <c r="B55" s="130"/>
      <c r="C55" s="130"/>
      <c r="D55" s="130"/>
      <c r="E55" s="130"/>
      <c r="F55" s="130"/>
      <c r="G55" s="130"/>
      <c r="H55" s="130"/>
      <c r="I55" s="20">
        <f>SUM(I52:I54)</f>
        <v>121.32</v>
      </c>
    </row>
    <row r="56" spans="1:9" ht="8.25" customHeight="1">
      <c r="A56" s="105"/>
      <c r="B56" s="105"/>
      <c r="C56" s="105"/>
      <c r="D56" s="105"/>
      <c r="E56" s="105"/>
      <c r="F56" s="105"/>
      <c r="G56" s="105"/>
      <c r="H56" s="105"/>
      <c r="I56" s="105"/>
    </row>
    <row r="57" spans="1:9" ht="15.75" customHeight="1">
      <c r="A57" s="118" t="s">
        <v>57</v>
      </c>
      <c r="B57" s="118"/>
      <c r="C57" s="118"/>
      <c r="D57" s="118"/>
      <c r="E57" s="118"/>
      <c r="F57" s="118"/>
      <c r="G57" s="118"/>
      <c r="H57" s="118"/>
      <c r="I57" s="118"/>
    </row>
    <row r="58" spans="1:9" ht="8.25" customHeight="1">
      <c r="A58" s="65"/>
      <c r="B58" s="21"/>
      <c r="C58" s="21"/>
      <c r="D58" s="21"/>
      <c r="E58" s="21"/>
      <c r="F58" s="21"/>
      <c r="G58" s="21"/>
      <c r="H58" s="21"/>
      <c r="I58" s="22"/>
    </row>
    <row r="59" spans="1:9" s="66" customFormat="1" ht="27" customHeight="1">
      <c r="A59" s="120" t="s">
        <v>155</v>
      </c>
      <c r="B59" s="120"/>
      <c r="C59" s="120"/>
      <c r="D59" s="120"/>
      <c r="E59" s="120"/>
      <c r="F59" s="120"/>
      <c r="G59" s="120"/>
      <c r="H59" s="120"/>
      <c r="I59" s="120"/>
    </row>
    <row r="60" spans="1:9" s="66" customFormat="1" ht="28.5" customHeight="1">
      <c r="A60" s="67" t="s">
        <v>58</v>
      </c>
      <c r="B60" s="93" t="s">
        <v>59</v>
      </c>
      <c r="C60" s="93"/>
      <c r="D60" s="93"/>
      <c r="E60" s="93"/>
      <c r="F60" s="93"/>
      <c r="G60" s="93"/>
      <c r="H60" s="68" t="s">
        <v>42</v>
      </c>
      <c r="I60" s="50" t="s">
        <v>47</v>
      </c>
    </row>
    <row r="61" spans="1:9" s="66" customFormat="1" ht="15.75" customHeight="1">
      <c r="A61" s="23" t="s">
        <v>14</v>
      </c>
      <c r="B61" s="96" t="s">
        <v>60</v>
      </c>
      <c r="C61" s="96"/>
      <c r="D61" s="96"/>
      <c r="E61" s="96"/>
      <c r="F61" s="96"/>
      <c r="G61" s="96"/>
      <c r="H61" s="24">
        <v>0.2</v>
      </c>
      <c r="I61" s="25">
        <f aca="true" t="shared" si="0" ref="I61:I68">ROUND($I$36*H61,2)</f>
        <v>764.4</v>
      </c>
    </row>
    <row r="62" spans="1:9" s="66" customFormat="1" ht="15.75" customHeight="1">
      <c r="A62" s="23" t="s">
        <v>16</v>
      </c>
      <c r="B62" s="96" t="s">
        <v>61</v>
      </c>
      <c r="C62" s="96"/>
      <c r="D62" s="96"/>
      <c r="E62" s="96"/>
      <c r="F62" s="96"/>
      <c r="G62" s="96"/>
      <c r="H62" s="24">
        <v>0.015</v>
      </c>
      <c r="I62" s="25">
        <f t="shared" si="0"/>
        <v>57.33</v>
      </c>
    </row>
    <row r="63" spans="1:9" s="66" customFormat="1" ht="15.75" customHeight="1">
      <c r="A63" s="23" t="s">
        <v>19</v>
      </c>
      <c r="B63" s="96" t="s">
        <v>62</v>
      </c>
      <c r="C63" s="96"/>
      <c r="D63" s="96"/>
      <c r="E63" s="96"/>
      <c r="F63" s="96"/>
      <c r="G63" s="96"/>
      <c r="H63" s="24">
        <v>0.01</v>
      </c>
      <c r="I63" s="25">
        <f t="shared" si="0"/>
        <v>38.22</v>
      </c>
    </row>
    <row r="64" spans="1:9" s="66" customFormat="1" ht="15.75" customHeight="1">
      <c r="A64" s="23" t="s">
        <v>21</v>
      </c>
      <c r="B64" s="96" t="s">
        <v>63</v>
      </c>
      <c r="C64" s="96"/>
      <c r="D64" s="96"/>
      <c r="E64" s="96"/>
      <c r="F64" s="96"/>
      <c r="G64" s="96"/>
      <c r="H64" s="24">
        <v>0.002</v>
      </c>
      <c r="I64" s="25">
        <f t="shared" si="0"/>
        <v>7.64</v>
      </c>
    </row>
    <row r="65" spans="1:9" ht="15.75" customHeight="1">
      <c r="A65" s="23" t="s">
        <v>49</v>
      </c>
      <c r="B65" s="90" t="s">
        <v>64</v>
      </c>
      <c r="C65" s="90"/>
      <c r="D65" s="90"/>
      <c r="E65" s="90"/>
      <c r="F65" s="90"/>
      <c r="G65" s="90"/>
      <c r="H65" s="26">
        <v>0.025</v>
      </c>
      <c r="I65" s="25">
        <f t="shared" si="0"/>
        <v>95.55</v>
      </c>
    </row>
    <row r="66" spans="1:9" ht="15.75" customHeight="1">
      <c r="A66" s="23" t="s">
        <v>65</v>
      </c>
      <c r="B66" s="90" t="s">
        <v>66</v>
      </c>
      <c r="C66" s="90"/>
      <c r="D66" s="90"/>
      <c r="E66" s="90"/>
      <c r="F66" s="90"/>
      <c r="G66" s="90"/>
      <c r="H66" s="26">
        <v>0.08</v>
      </c>
      <c r="I66" s="25">
        <f t="shared" si="0"/>
        <v>305.76</v>
      </c>
    </row>
    <row r="67" spans="1:9" ht="65.25" customHeight="1">
      <c r="A67" s="23" t="s">
        <v>67</v>
      </c>
      <c r="B67" s="90" t="s">
        <v>158</v>
      </c>
      <c r="C67" s="90"/>
      <c r="D67" s="27" t="s">
        <v>68</v>
      </c>
      <c r="E67" s="28">
        <v>0.03</v>
      </c>
      <c r="F67" s="27" t="s">
        <v>69</v>
      </c>
      <c r="G67" s="29">
        <f>'PORTEIRO DIURNO ITEM 3'!G64</f>
        <v>3</v>
      </c>
      <c r="H67" s="30">
        <f>ROUND((E67*G67),6)</f>
        <v>0.09</v>
      </c>
      <c r="I67" s="25">
        <f t="shared" si="0"/>
        <v>343.98</v>
      </c>
    </row>
    <row r="68" spans="1:9" ht="15.75" customHeight="1">
      <c r="A68" s="23" t="s">
        <v>70</v>
      </c>
      <c r="B68" s="90" t="s">
        <v>71</v>
      </c>
      <c r="C68" s="90"/>
      <c r="D68" s="90"/>
      <c r="E68" s="90"/>
      <c r="F68" s="90"/>
      <c r="G68" s="90"/>
      <c r="H68" s="26">
        <v>0.006</v>
      </c>
      <c r="I68" s="25">
        <f t="shared" si="0"/>
        <v>22.93</v>
      </c>
    </row>
    <row r="69" spans="1:9" ht="15.75" customHeight="1">
      <c r="A69" s="130" t="s">
        <v>72</v>
      </c>
      <c r="B69" s="130"/>
      <c r="C69" s="130"/>
      <c r="D69" s="130"/>
      <c r="E69" s="130"/>
      <c r="F69" s="130"/>
      <c r="G69" s="130"/>
      <c r="H69" s="31">
        <f>SUM(H61:H68)</f>
        <v>0.428</v>
      </c>
      <c r="I69" s="19">
        <f>SUM(I61:I68)</f>
        <v>1635.81</v>
      </c>
    </row>
    <row r="70" spans="1:9" ht="8.25" customHeight="1">
      <c r="A70" s="32"/>
      <c r="B70" s="33"/>
      <c r="C70" s="33"/>
      <c r="D70" s="33"/>
      <c r="E70" s="33"/>
      <c r="F70" s="33"/>
      <c r="G70" s="33"/>
      <c r="H70" s="34"/>
      <c r="I70" s="35"/>
    </row>
    <row r="71" spans="1:9" ht="23.25" customHeight="1">
      <c r="A71" s="131" t="s">
        <v>73</v>
      </c>
      <c r="B71" s="131"/>
      <c r="C71" s="131"/>
      <c r="D71" s="131"/>
      <c r="E71" s="131"/>
      <c r="F71" s="131"/>
      <c r="G71" s="131"/>
      <c r="H71" s="131"/>
      <c r="I71" s="131"/>
    </row>
    <row r="72" spans="1:9" ht="6" customHeight="1">
      <c r="A72" s="105"/>
      <c r="B72" s="105"/>
      <c r="C72" s="105"/>
      <c r="D72" s="105"/>
      <c r="E72" s="105"/>
      <c r="F72" s="105"/>
      <c r="G72" s="105"/>
      <c r="H72" s="105"/>
      <c r="I72" s="105"/>
    </row>
    <row r="73" spans="1:9" ht="18" customHeight="1">
      <c r="A73" s="129" t="s">
        <v>74</v>
      </c>
      <c r="B73" s="129"/>
      <c r="C73" s="129"/>
      <c r="D73" s="129"/>
      <c r="E73" s="129"/>
      <c r="F73" s="129"/>
      <c r="G73" s="129"/>
      <c r="H73" s="129"/>
      <c r="I73" s="129"/>
    </row>
    <row r="74" spans="1:9" ht="15.75" customHeight="1">
      <c r="A74" s="18" t="s">
        <v>75</v>
      </c>
      <c r="B74" s="93" t="s">
        <v>76</v>
      </c>
      <c r="C74" s="93"/>
      <c r="D74" s="93"/>
      <c r="E74" s="93"/>
      <c r="F74" s="93"/>
      <c r="G74" s="93"/>
      <c r="H74" s="93"/>
      <c r="I74" s="64" t="s">
        <v>47</v>
      </c>
    </row>
    <row r="75" spans="1:9" ht="16.5" customHeight="1">
      <c r="A75" s="7" t="s">
        <v>14</v>
      </c>
      <c r="B75" s="96" t="s">
        <v>148</v>
      </c>
      <c r="C75" s="96"/>
      <c r="D75" s="96"/>
      <c r="E75" s="96"/>
      <c r="F75" s="96"/>
      <c r="G75" s="96"/>
      <c r="H75" s="96"/>
      <c r="I75" s="25">
        <f>ROUND(($I$36)/12,2)</f>
        <v>318.5</v>
      </c>
    </row>
    <row r="76" spans="1:9" ht="15.75" customHeight="1">
      <c r="A76" s="130" t="s">
        <v>77</v>
      </c>
      <c r="B76" s="130"/>
      <c r="C76" s="130"/>
      <c r="D76" s="130"/>
      <c r="E76" s="130"/>
      <c r="F76" s="130"/>
      <c r="G76" s="130"/>
      <c r="H76" s="130"/>
      <c r="I76" s="19">
        <f>SUM(I75:I75)</f>
        <v>318.5</v>
      </c>
    </row>
    <row r="77" spans="1:9" ht="15.75" customHeight="1">
      <c r="A77" s="7" t="s">
        <v>19</v>
      </c>
      <c r="B77" s="96" t="s">
        <v>78</v>
      </c>
      <c r="C77" s="96"/>
      <c r="D77" s="96"/>
      <c r="E77" s="96"/>
      <c r="F77" s="96"/>
      <c r="G77" s="96"/>
      <c r="H77" s="96"/>
      <c r="I77" s="25">
        <f>ROUND(H69*I76,2)</f>
        <v>136.32</v>
      </c>
    </row>
    <row r="78" spans="1:9" ht="15.75" customHeight="1">
      <c r="A78" s="130" t="s">
        <v>72</v>
      </c>
      <c r="B78" s="130"/>
      <c r="C78" s="130"/>
      <c r="D78" s="130"/>
      <c r="E78" s="130"/>
      <c r="F78" s="130"/>
      <c r="G78" s="130"/>
      <c r="H78" s="130"/>
      <c r="I78" s="19">
        <f>SUM(I76:I77)</f>
        <v>454.82</v>
      </c>
    </row>
    <row r="79" spans="1:9" ht="6.75" customHeight="1">
      <c r="A79" s="103"/>
      <c r="B79" s="103"/>
      <c r="C79" s="103"/>
      <c r="D79" s="103"/>
      <c r="E79" s="103"/>
      <c r="F79" s="103"/>
      <c r="G79" s="103"/>
      <c r="H79" s="103"/>
      <c r="I79" s="103"/>
    </row>
    <row r="80" spans="1:11" ht="24.75" customHeight="1">
      <c r="A80" s="129" t="s">
        <v>79</v>
      </c>
      <c r="B80" s="129"/>
      <c r="C80" s="129"/>
      <c r="D80" s="129"/>
      <c r="E80" s="129"/>
      <c r="F80" s="129"/>
      <c r="G80" s="129"/>
      <c r="H80" s="129"/>
      <c r="I80" s="129"/>
      <c r="K80" s="53">
        <f>1/12</f>
        <v>0.0833333333333333</v>
      </c>
    </row>
    <row r="81" spans="1:9" ht="15.75" customHeight="1">
      <c r="A81" s="18" t="s">
        <v>80</v>
      </c>
      <c r="B81" s="132" t="s">
        <v>81</v>
      </c>
      <c r="C81" s="132"/>
      <c r="D81" s="132"/>
      <c r="E81" s="132"/>
      <c r="F81" s="132"/>
      <c r="G81" s="132"/>
      <c r="H81" s="132"/>
      <c r="I81" s="64" t="s">
        <v>47</v>
      </c>
    </row>
    <row r="82" spans="1:9" ht="16.5" customHeight="1">
      <c r="A82" s="7" t="s">
        <v>14</v>
      </c>
      <c r="B82" s="90" t="s">
        <v>149</v>
      </c>
      <c r="C82" s="90"/>
      <c r="D82" s="90"/>
      <c r="E82" s="90"/>
      <c r="F82" s="90"/>
      <c r="G82" s="90"/>
      <c r="H82" s="90"/>
      <c r="I82" s="25">
        <v>0</v>
      </c>
    </row>
    <row r="83" spans="1:9" ht="15.75" customHeight="1">
      <c r="A83" s="7" t="s">
        <v>16</v>
      </c>
      <c r="B83" s="90" t="s">
        <v>82</v>
      </c>
      <c r="C83" s="90"/>
      <c r="D83" s="90"/>
      <c r="E83" s="90"/>
      <c r="F83" s="90"/>
      <c r="G83" s="90"/>
      <c r="H83" s="90"/>
      <c r="I83" s="25">
        <f>ROUND(H69*I82,2)</f>
        <v>0</v>
      </c>
    </row>
    <row r="84" spans="1:9" ht="15.75" customHeight="1">
      <c r="A84" s="130" t="s">
        <v>72</v>
      </c>
      <c r="B84" s="130"/>
      <c r="C84" s="130"/>
      <c r="D84" s="130"/>
      <c r="E84" s="130"/>
      <c r="F84" s="130"/>
      <c r="G84" s="130"/>
      <c r="H84" s="130"/>
      <c r="I84" s="19">
        <f>SUM(I82:I83)</f>
        <v>0</v>
      </c>
    </row>
    <row r="85" spans="1:9" s="66" customFormat="1" ht="19.5" customHeight="1">
      <c r="A85" s="123" t="s">
        <v>83</v>
      </c>
      <c r="B85" s="123"/>
      <c r="C85" s="123"/>
      <c r="D85" s="123"/>
      <c r="E85" s="123"/>
      <c r="F85" s="123"/>
      <c r="G85" s="123"/>
      <c r="H85" s="123"/>
      <c r="I85" s="123"/>
    </row>
    <row r="86" spans="1:9" s="66" customFormat="1" ht="15.75" customHeight="1">
      <c r="A86" s="18" t="s">
        <v>84</v>
      </c>
      <c r="B86" s="132" t="s">
        <v>85</v>
      </c>
      <c r="C86" s="132"/>
      <c r="D86" s="132"/>
      <c r="E86" s="132"/>
      <c r="F86" s="132"/>
      <c r="G86" s="132"/>
      <c r="H86" s="132"/>
      <c r="I86" s="64" t="s">
        <v>47</v>
      </c>
    </row>
    <row r="87" spans="1:9" s="66" customFormat="1" ht="68.25" customHeight="1">
      <c r="A87" s="7" t="s">
        <v>14</v>
      </c>
      <c r="B87" s="133" t="s">
        <v>159</v>
      </c>
      <c r="C87" s="133"/>
      <c r="D87" s="133"/>
      <c r="E87" s="133"/>
      <c r="F87" s="133"/>
      <c r="G87" s="133"/>
      <c r="H87" s="133"/>
      <c r="I87" s="25">
        <f>ROUND((($I$36/12)+($I$75/12)+($I$96/12))*(30/30)*0.05,2)</f>
        <v>19.02</v>
      </c>
    </row>
    <row r="88" spans="1:9" s="66" customFormat="1" ht="15.75" customHeight="1">
      <c r="A88" s="7" t="s">
        <v>16</v>
      </c>
      <c r="B88" s="118" t="s">
        <v>86</v>
      </c>
      <c r="C88" s="118"/>
      <c r="D88" s="118"/>
      <c r="E88" s="118"/>
      <c r="F88" s="118"/>
      <c r="G88" s="118"/>
      <c r="H88" s="118"/>
      <c r="I88" s="25">
        <f>ROUND($H$66*I87,2)</f>
        <v>1.52</v>
      </c>
    </row>
    <row r="89" spans="1:9" s="66" customFormat="1" ht="25.5" customHeight="1">
      <c r="A89" s="7" t="s">
        <v>19</v>
      </c>
      <c r="B89" s="96" t="s">
        <v>160</v>
      </c>
      <c r="C89" s="96"/>
      <c r="D89" s="96"/>
      <c r="E89" s="96"/>
      <c r="F89" s="96"/>
      <c r="G89" s="96"/>
      <c r="H89" s="96"/>
      <c r="I89" s="25">
        <f>ROUND((0.08*0.4*SUM($I$36+$I$75+$I$96)*0.05),2)</f>
        <v>7.3</v>
      </c>
    </row>
    <row r="90" spans="1:9" s="66" customFormat="1" ht="60.75" customHeight="1">
      <c r="A90" s="7" t="s">
        <v>21</v>
      </c>
      <c r="B90" s="96" t="s">
        <v>161</v>
      </c>
      <c r="C90" s="96"/>
      <c r="D90" s="96"/>
      <c r="E90" s="96"/>
      <c r="F90" s="96"/>
      <c r="G90" s="96"/>
      <c r="H90" s="96"/>
      <c r="I90" s="25">
        <f>ROUND(((7/30)/$H$10)*$I$36*0.9,2)</f>
        <v>66.89</v>
      </c>
    </row>
    <row r="91" spans="1:9" s="66" customFormat="1" ht="15.75" customHeight="1">
      <c r="A91" s="7" t="s">
        <v>49</v>
      </c>
      <c r="B91" s="118" t="s">
        <v>87</v>
      </c>
      <c r="C91" s="118"/>
      <c r="D91" s="118"/>
      <c r="E91" s="118"/>
      <c r="F91" s="118"/>
      <c r="G91" s="118"/>
      <c r="H91" s="118"/>
      <c r="I91" s="25">
        <f>ROUND($H$69*I90,2)</f>
        <v>28.63</v>
      </c>
    </row>
    <row r="92" spans="1:9" s="66" customFormat="1" ht="25.5" customHeight="1">
      <c r="A92" s="7" t="s">
        <v>65</v>
      </c>
      <c r="B92" s="96" t="s">
        <v>162</v>
      </c>
      <c r="C92" s="96"/>
      <c r="D92" s="96"/>
      <c r="E92" s="96"/>
      <c r="F92" s="96"/>
      <c r="G92" s="96"/>
      <c r="H92" s="96"/>
      <c r="I92" s="25">
        <f>ROUND(0.08*0.4*SUM($I$36+$I$75+$I$96)*0.9,2)</f>
        <v>131.48</v>
      </c>
    </row>
    <row r="93" spans="1:9" s="66" customFormat="1" ht="15.75" customHeight="1">
      <c r="A93" s="130" t="s">
        <v>72</v>
      </c>
      <c r="B93" s="130"/>
      <c r="C93" s="130"/>
      <c r="D93" s="130"/>
      <c r="E93" s="130"/>
      <c r="F93" s="130"/>
      <c r="G93" s="130"/>
      <c r="H93" s="130"/>
      <c r="I93" s="19">
        <f>SUM(I87:I92)</f>
        <v>254.84</v>
      </c>
    </row>
    <row r="94" spans="1:9" ht="15.75" customHeight="1">
      <c r="A94" s="129" t="s">
        <v>88</v>
      </c>
      <c r="B94" s="129"/>
      <c r="C94" s="129"/>
      <c r="D94" s="129"/>
      <c r="E94" s="129"/>
      <c r="F94" s="129"/>
      <c r="G94" s="129"/>
      <c r="H94" s="129"/>
      <c r="I94" s="129"/>
    </row>
    <row r="95" spans="1:9" ht="15.75" customHeight="1">
      <c r="A95" s="69" t="s">
        <v>89</v>
      </c>
      <c r="B95" s="132" t="s">
        <v>90</v>
      </c>
      <c r="C95" s="132"/>
      <c r="D95" s="132"/>
      <c r="E95" s="132"/>
      <c r="F95" s="132"/>
      <c r="G95" s="132"/>
      <c r="H95" s="132"/>
      <c r="I95" s="70" t="s">
        <v>47</v>
      </c>
    </row>
    <row r="96" spans="1:9" ht="15" customHeight="1">
      <c r="A96" s="36" t="s">
        <v>14</v>
      </c>
      <c r="B96" s="96" t="s">
        <v>150</v>
      </c>
      <c r="C96" s="96"/>
      <c r="D96" s="96"/>
      <c r="E96" s="96"/>
      <c r="F96" s="96"/>
      <c r="G96" s="96"/>
      <c r="H96" s="96"/>
      <c r="I96" s="25">
        <f>ROUND($I$36/12,2)+ROUND(($I$36/3)/12,2)</f>
        <v>424.67</v>
      </c>
    </row>
    <row r="97" spans="1:9" ht="26.25" customHeight="1">
      <c r="A97" s="36" t="s">
        <v>16</v>
      </c>
      <c r="B97" s="96" t="s">
        <v>151</v>
      </c>
      <c r="C97" s="96"/>
      <c r="D97" s="96"/>
      <c r="E97" s="96"/>
      <c r="F97" s="96"/>
      <c r="G97" s="96"/>
      <c r="H97" s="96"/>
      <c r="I97" s="25">
        <f>ROUND(((3/30)/12)*($I$36),2)</f>
        <v>31.85</v>
      </c>
    </row>
    <row r="98" spans="1:9" ht="27" customHeight="1">
      <c r="A98" s="36" t="s">
        <v>19</v>
      </c>
      <c r="B98" s="96" t="s">
        <v>152</v>
      </c>
      <c r="C98" s="96"/>
      <c r="D98" s="96"/>
      <c r="E98" s="96"/>
      <c r="F98" s="96"/>
      <c r="G98" s="96"/>
      <c r="H98" s="96"/>
      <c r="I98" s="25">
        <f>ROUND((5/30)/12*0.015*($I$36),2)</f>
        <v>0.8</v>
      </c>
    </row>
    <row r="99" spans="1:9" ht="12" customHeight="1">
      <c r="A99" s="36" t="s">
        <v>21</v>
      </c>
      <c r="B99" s="96" t="s">
        <v>153</v>
      </c>
      <c r="C99" s="96"/>
      <c r="D99" s="96"/>
      <c r="E99" s="96"/>
      <c r="F99" s="96"/>
      <c r="G99" s="96"/>
      <c r="H99" s="96"/>
      <c r="I99" s="25">
        <f>ROUND((2.96/30)/12*($I$36),2)</f>
        <v>31.43</v>
      </c>
    </row>
    <row r="100" spans="1:9" ht="13.5" customHeight="1">
      <c r="A100" s="36" t="s">
        <v>49</v>
      </c>
      <c r="B100" s="96" t="s">
        <v>154</v>
      </c>
      <c r="C100" s="96"/>
      <c r="D100" s="96"/>
      <c r="E100" s="96"/>
      <c r="F100" s="96"/>
      <c r="G100" s="96"/>
      <c r="H100" s="96"/>
      <c r="I100" s="25">
        <f>ROUND(((15/30)/12)*0.0078*($I$36),2)</f>
        <v>1.24</v>
      </c>
    </row>
    <row r="101" spans="1:9" ht="15.75" customHeight="1">
      <c r="A101" s="36" t="s">
        <v>65</v>
      </c>
      <c r="B101" s="118" t="s">
        <v>54</v>
      </c>
      <c r="C101" s="118"/>
      <c r="D101" s="118"/>
      <c r="E101" s="118"/>
      <c r="F101" s="118"/>
      <c r="G101" s="118"/>
      <c r="H101" s="118"/>
      <c r="I101" s="25">
        <v>0</v>
      </c>
    </row>
    <row r="102" spans="1:9" ht="15.75" customHeight="1">
      <c r="A102" s="130" t="s">
        <v>77</v>
      </c>
      <c r="B102" s="130"/>
      <c r="C102" s="130"/>
      <c r="D102" s="130"/>
      <c r="E102" s="130"/>
      <c r="F102" s="130"/>
      <c r="G102" s="130"/>
      <c r="H102" s="130"/>
      <c r="I102" s="37">
        <f>SUM(I96:I101)</f>
        <v>489.99</v>
      </c>
    </row>
    <row r="103" spans="1:9" ht="15.75" customHeight="1">
      <c r="A103" s="36" t="s">
        <v>67</v>
      </c>
      <c r="B103" s="134" t="s">
        <v>91</v>
      </c>
      <c r="C103" s="134"/>
      <c r="D103" s="134"/>
      <c r="E103" s="134"/>
      <c r="F103" s="134"/>
      <c r="G103" s="134"/>
      <c r="H103" s="134"/>
      <c r="I103" s="38">
        <f>ROUND(H69*I102,2)</f>
        <v>209.72</v>
      </c>
    </row>
    <row r="104" spans="1:9" ht="15.75" customHeight="1">
      <c r="A104" s="130" t="s">
        <v>72</v>
      </c>
      <c r="B104" s="130"/>
      <c r="C104" s="130"/>
      <c r="D104" s="130"/>
      <c r="E104" s="130"/>
      <c r="F104" s="130"/>
      <c r="G104" s="130"/>
      <c r="H104" s="130"/>
      <c r="I104" s="19">
        <f>SUM(I102:I103)</f>
        <v>699.71</v>
      </c>
    </row>
    <row r="105" spans="1:9" ht="19.5" customHeight="1">
      <c r="A105" s="123" t="s">
        <v>92</v>
      </c>
      <c r="B105" s="123"/>
      <c r="C105" s="123"/>
      <c r="D105" s="123"/>
      <c r="E105" s="123"/>
      <c r="F105" s="123"/>
      <c r="G105" s="123"/>
      <c r="H105" s="123"/>
      <c r="I105" s="123"/>
    </row>
    <row r="106" spans="1:9" ht="15.75" customHeight="1">
      <c r="A106" s="18">
        <v>4</v>
      </c>
      <c r="B106" s="93" t="s">
        <v>93</v>
      </c>
      <c r="C106" s="93"/>
      <c r="D106" s="93"/>
      <c r="E106" s="93"/>
      <c r="F106" s="93"/>
      <c r="G106" s="93"/>
      <c r="H106" s="93"/>
      <c r="I106" s="64" t="s">
        <v>47</v>
      </c>
    </row>
    <row r="107" spans="1:9" ht="15.75" customHeight="1">
      <c r="A107" s="7" t="s">
        <v>58</v>
      </c>
      <c r="B107" s="90" t="s">
        <v>59</v>
      </c>
      <c r="C107" s="90"/>
      <c r="D107" s="90"/>
      <c r="E107" s="90"/>
      <c r="F107" s="90"/>
      <c r="G107" s="90"/>
      <c r="H107" s="90"/>
      <c r="I107" s="8">
        <f>I69</f>
        <v>1635.81</v>
      </c>
    </row>
    <row r="108" spans="1:9" ht="15.75" customHeight="1">
      <c r="A108" s="7" t="s">
        <v>75</v>
      </c>
      <c r="B108" s="90" t="s">
        <v>76</v>
      </c>
      <c r="C108" s="90"/>
      <c r="D108" s="90"/>
      <c r="E108" s="90"/>
      <c r="F108" s="90"/>
      <c r="G108" s="90"/>
      <c r="H108" s="90"/>
      <c r="I108" s="8">
        <f>I78</f>
        <v>454.82</v>
      </c>
    </row>
    <row r="109" spans="1:9" ht="15.75" customHeight="1">
      <c r="A109" s="7" t="s">
        <v>80</v>
      </c>
      <c r="B109" s="90" t="s">
        <v>81</v>
      </c>
      <c r="C109" s="90"/>
      <c r="D109" s="90"/>
      <c r="E109" s="90"/>
      <c r="F109" s="90"/>
      <c r="G109" s="90"/>
      <c r="H109" s="90"/>
      <c r="I109" s="8">
        <f>I84</f>
        <v>0</v>
      </c>
    </row>
    <row r="110" spans="1:11" ht="15.75" customHeight="1">
      <c r="A110" s="7" t="s">
        <v>84</v>
      </c>
      <c r="B110" s="90" t="s">
        <v>94</v>
      </c>
      <c r="C110" s="90"/>
      <c r="D110" s="90"/>
      <c r="E110" s="90"/>
      <c r="F110" s="90"/>
      <c r="G110" s="90"/>
      <c r="H110" s="90"/>
      <c r="I110" s="8">
        <f>I93</f>
        <v>254.84</v>
      </c>
      <c r="K110" s="71"/>
    </row>
    <row r="111" spans="1:9" ht="15.75" customHeight="1">
      <c r="A111" s="7" t="s">
        <v>89</v>
      </c>
      <c r="B111" s="90" t="s">
        <v>95</v>
      </c>
      <c r="C111" s="90"/>
      <c r="D111" s="90"/>
      <c r="E111" s="90"/>
      <c r="F111" s="90"/>
      <c r="G111" s="90"/>
      <c r="H111" s="90"/>
      <c r="I111" s="8">
        <f>I104</f>
        <v>699.71</v>
      </c>
    </row>
    <row r="112" spans="1:9" ht="15.75" customHeight="1">
      <c r="A112" s="7" t="s">
        <v>96</v>
      </c>
      <c r="B112" s="90" t="s">
        <v>54</v>
      </c>
      <c r="C112" s="90"/>
      <c r="D112" s="90"/>
      <c r="E112" s="90"/>
      <c r="F112" s="90"/>
      <c r="G112" s="90"/>
      <c r="H112" s="90"/>
      <c r="I112" s="8">
        <v>0</v>
      </c>
    </row>
    <row r="113" spans="1:9" ht="15.75" customHeight="1">
      <c r="A113" s="130" t="s">
        <v>72</v>
      </c>
      <c r="B113" s="130"/>
      <c r="C113" s="130"/>
      <c r="D113" s="130"/>
      <c r="E113" s="130"/>
      <c r="F113" s="130"/>
      <c r="G113" s="130"/>
      <c r="H113" s="130"/>
      <c r="I113" s="19">
        <f>SUM(I107:I112)</f>
        <v>3045.18</v>
      </c>
    </row>
    <row r="114" spans="1:9" s="66" customFormat="1" ht="21.75" customHeight="1">
      <c r="A114" s="123" t="s">
        <v>97</v>
      </c>
      <c r="B114" s="123"/>
      <c r="C114" s="123"/>
      <c r="D114" s="123"/>
      <c r="E114" s="123"/>
      <c r="F114" s="123"/>
      <c r="G114" s="123"/>
      <c r="H114" s="123"/>
      <c r="I114" s="123"/>
    </row>
    <row r="115" spans="1:9" ht="26.25" customHeight="1">
      <c r="A115" s="18">
        <v>5</v>
      </c>
      <c r="B115" s="132" t="s">
        <v>98</v>
      </c>
      <c r="C115" s="132"/>
      <c r="D115" s="132"/>
      <c r="E115" s="132"/>
      <c r="F115" s="132"/>
      <c r="G115" s="132"/>
      <c r="H115" s="68" t="s">
        <v>42</v>
      </c>
      <c r="I115" s="64" t="s">
        <v>47</v>
      </c>
    </row>
    <row r="116" spans="1:9" ht="50.25" customHeight="1">
      <c r="A116" s="135" t="s">
        <v>99</v>
      </c>
      <c r="B116" s="135"/>
      <c r="C116" s="135"/>
      <c r="D116" s="135"/>
      <c r="E116" s="135"/>
      <c r="F116" s="135"/>
      <c r="G116" s="135"/>
      <c r="H116" s="39" t="s">
        <v>48</v>
      </c>
      <c r="I116" s="40">
        <f>SUM(I36+I46+I55+I113)</f>
        <v>8159.49</v>
      </c>
    </row>
    <row r="117" spans="1:12" ht="15.75" customHeight="1">
      <c r="A117" s="7" t="s">
        <v>14</v>
      </c>
      <c r="B117" s="134" t="s">
        <v>100</v>
      </c>
      <c r="C117" s="134"/>
      <c r="D117" s="134"/>
      <c r="E117" s="134"/>
      <c r="F117" s="134"/>
      <c r="G117" s="134"/>
      <c r="H117" s="26">
        <v>0.08</v>
      </c>
      <c r="I117" s="25">
        <f>ROUND(H117*I116,2)</f>
        <v>652.76</v>
      </c>
      <c r="L117" s="72">
        <f>I147</f>
        <v>10790.51</v>
      </c>
    </row>
    <row r="118" spans="1:9" ht="46.5" customHeight="1">
      <c r="A118" s="135" t="s">
        <v>101</v>
      </c>
      <c r="B118" s="135"/>
      <c r="C118" s="135"/>
      <c r="D118" s="135"/>
      <c r="E118" s="135"/>
      <c r="F118" s="135"/>
      <c r="G118" s="135"/>
      <c r="H118" s="41" t="s">
        <v>48</v>
      </c>
      <c r="I118" s="40">
        <f>SUM(I36+I46+I55+I113+I117)</f>
        <v>8812.25</v>
      </c>
    </row>
    <row r="119" spans="1:9" ht="15.75" customHeight="1">
      <c r="A119" s="7" t="s">
        <v>16</v>
      </c>
      <c r="B119" s="134" t="s">
        <v>102</v>
      </c>
      <c r="C119" s="134"/>
      <c r="D119" s="134"/>
      <c r="E119" s="134"/>
      <c r="F119" s="134"/>
      <c r="G119" s="134"/>
      <c r="H119" s="26">
        <v>0.05</v>
      </c>
      <c r="I119" s="25">
        <f>ROUND(H119*I118,2)</f>
        <v>440.61</v>
      </c>
    </row>
    <row r="120" spans="1:9" ht="45" customHeight="1">
      <c r="A120" s="135" t="s">
        <v>103</v>
      </c>
      <c r="B120" s="135"/>
      <c r="C120" s="135"/>
      <c r="D120" s="135"/>
      <c r="E120" s="135"/>
      <c r="F120" s="135"/>
      <c r="G120" s="135"/>
      <c r="H120" s="41" t="s">
        <v>48</v>
      </c>
      <c r="I120" s="40">
        <f>SUM(I36+I46+I55+I113+I117+I119)</f>
        <v>9252.86</v>
      </c>
    </row>
    <row r="121" spans="1:9" ht="15.75" customHeight="1">
      <c r="A121" s="7" t="s">
        <v>19</v>
      </c>
      <c r="B121" s="134" t="s">
        <v>104</v>
      </c>
      <c r="C121" s="134"/>
      <c r="D121" s="134"/>
      <c r="E121" s="134"/>
      <c r="F121" s="134"/>
      <c r="G121" s="134"/>
      <c r="H121" s="42" t="s">
        <v>48</v>
      </c>
      <c r="I121" s="15" t="s">
        <v>48</v>
      </c>
    </row>
    <row r="122" spans="1:9" ht="15.75" customHeight="1">
      <c r="A122" s="7"/>
      <c r="B122" s="134" t="s">
        <v>105</v>
      </c>
      <c r="C122" s="134"/>
      <c r="D122" s="134"/>
      <c r="E122" s="134"/>
      <c r="F122" s="134"/>
      <c r="G122" s="134"/>
      <c r="H122" s="42" t="s">
        <v>48</v>
      </c>
      <c r="I122" s="15" t="s">
        <v>48</v>
      </c>
    </row>
    <row r="123" spans="1:9" ht="22.5" customHeight="1">
      <c r="A123" s="7"/>
      <c r="B123" s="131" t="s">
        <v>163</v>
      </c>
      <c r="C123" s="131"/>
      <c r="D123" s="131"/>
      <c r="E123" s="131"/>
      <c r="F123" s="131"/>
      <c r="G123" s="131"/>
      <c r="H123" s="43">
        <v>0.076</v>
      </c>
      <c r="I123" s="44">
        <f>ROUND(($I$120/(1-$H$132))*H123,2)</f>
        <v>820.08</v>
      </c>
    </row>
    <row r="124" spans="1:9" ht="22.5" customHeight="1">
      <c r="A124" s="7"/>
      <c r="B124" s="131" t="s">
        <v>164</v>
      </c>
      <c r="C124" s="131"/>
      <c r="D124" s="131"/>
      <c r="E124" s="131"/>
      <c r="F124" s="131"/>
      <c r="G124" s="131"/>
      <c r="H124" s="43">
        <v>0.0165</v>
      </c>
      <c r="I124" s="44">
        <f>ROUND(($I$120/(1-$H$132))*H124,2)</f>
        <v>178.04</v>
      </c>
    </row>
    <row r="125" spans="1:9" ht="29.25" customHeight="1">
      <c r="A125" s="7"/>
      <c r="B125" s="133" t="s">
        <v>165</v>
      </c>
      <c r="C125" s="133"/>
      <c r="D125" s="133"/>
      <c r="E125" s="133"/>
      <c r="F125" s="133"/>
      <c r="G125" s="133"/>
      <c r="H125" s="45" t="s">
        <v>48</v>
      </c>
      <c r="I125" s="15" t="s">
        <v>48</v>
      </c>
    </row>
    <row r="126" spans="1:9" ht="29.25" customHeight="1">
      <c r="A126" s="7"/>
      <c r="B126" s="133" t="s">
        <v>166</v>
      </c>
      <c r="C126" s="133"/>
      <c r="D126" s="133"/>
      <c r="E126" s="133"/>
      <c r="F126" s="133"/>
      <c r="G126" s="133"/>
      <c r="H126" s="45" t="s">
        <v>48</v>
      </c>
      <c r="I126" s="15" t="s">
        <v>48</v>
      </c>
    </row>
    <row r="127" spans="1:9" ht="18" customHeight="1">
      <c r="A127" s="7"/>
      <c r="B127" s="126" t="s">
        <v>106</v>
      </c>
      <c r="C127" s="126"/>
      <c r="D127" s="126"/>
      <c r="E127" s="126"/>
      <c r="F127" s="126"/>
      <c r="G127" s="126"/>
      <c r="H127" s="46" t="s">
        <v>48</v>
      </c>
      <c r="I127" s="47" t="s">
        <v>48</v>
      </c>
    </row>
    <row r="128" spans="1:9" ht="18" customHeight="1">
      <c r="A128" s="7"/>
      <c r="B128" s="126" t="s">
        <v>107</v>
      </c>
      <c r="C128" s="126"/>
      <c r="D128" s="126"/>
      <c r="E128" s="126"/>
      <c r="F128" s="126"/>
      <c r="G128" s="126"/>
      <c r="H128" s="46" t="s">
        <v>48</v>
      </c>
      <c r="I128" s="47" t="s">
        <v>48</v>
      </c>
    </row>
    <row r="129" spans="1:9" ht="15" customHeight="1">
      <c r="A129" s="7"/>
      <c r="B129" s="96" t="s">
        <v>179</v>
      </c>
      <c r="C129" s="96"/>
      <c r="D129" s="96"/>
      <c r="E129" s="96"/>
      <c r="F129" s="96"/>
      <c r="G129" s="96"/>
      <c r="H129" s="43">
        <v>0.05</v>
      </c>
      <c r="I129" s="44">
        <f>ROUND(($I$120/(1-$H$132))*H129,2)</f>
        <v>539.53</v>
      </c>
    </row>
    <row r="130" spans="1:9" ht="15.75" customHeight="1">
      <c r="A130" s="130" t="s">
        <v>72</v>
      </c>
      <c r="B130" s="130"/>
      <c r="C130" s="130"/>
      <c r="D130" s="130"/>
      <c r="E130" s="130"/>
      <c r="F130" s="130"/>
      <c r="G130" s="130"/>
      <c r="H130" s="130"/>
      <c r="I130" s="19">
        <f>SUM(I117+I119+I123+I124+I129)</f>
        <v>2631.02</v>
      </c>
    </row>
    <row r="131" spans="1:9" ht="6.75" customHeight="1">
      <c r="A131" s="136"/>
      <c r="B131" s="136"/>
      <c r="C131" s="136"/>
      <c r="D131" s="136"/>
      <c r="E131" s="136"/>
      <c r="F131" s="136"/>
      <c r="G131" s="136"/>
      <c r="H131" s="136"/>
      <c r="I131" s="136"/>
    </row>
    <row r="132" spans="1:9" ht="15.75" customHeight="1">
      <c r="A132" s="137" t="s">
        <v>108</v>
      </c>
      <c r="B132" s="137"/>
      <c r="C132" s="137"/>
      <c r="D132" s="137"/>
      <c r="E132" s="137"/>
      <c r="F132" s="137"/>
      <c r="G132" s="137"/>
      <c r="H132" s="48">
        <f>SUM(H123:H129)</f>
        <v>0.1425</v>
      </c>
      <c r="I132" s="49">
        <f>SUM(I123:I129)</f>
        <v>1537.65</v>
      </c>
    </row>
    <row r="133" spans="1:9" ht="12.75" customHeight="1">
      <c r="A133" s="138" t="s">
        <v>109</v>
      </c>
      <c r="B133" s="138"/>
      <c r="C133" s="139" t="s">
        <v>110</v>
      </c>
      <c r="D133" s="139"/>
      <c r="E133" s="139"/>
      <c r="F133" s="139"/>
      <c r="G133" s="139"/>
      <c r="H133" s="139"/>
      <c r="I133" s="139"/>
    </row>
    <row r="134" spans="1:9" ht="12" customHeight="1">
      <c r="A134" s="138"/>
      <c r="B134" s="138"/>
      <c r="C134" s="140" t="s">
        <v>111</v>
      </c>
      <c r="D134" s="140"/>
      <c r="E134" s="140"/>
      <c r="F134" s="140"/>
      <c r="G134" s="140"/>
      <c r="H134" s="140"/>
      <c r="I134" s="140"/>
    </row>
    <row r="135" spans="1:9" ht="13.5" customHeight="1">
      <c r="A135" s="138"/>
      <c r="B135" s="138"/>
      <c r="C135" s="141" t="s">
        <v>112</v>
      </c>
      <c r="D135" s="141"/>
      <c r="E135" s="141"/>
      <c r="F135" s="141"/>
      <c r="G135" s="141"/>
      <c r="H135" s="141"/>
      <c r="I135" s="141"/>
    </row>
    <row r="136" spans="1:9" ht="6.75" customHeight="1">
      <c r="A136" s="142"/>
      <c r="B136" s="142"/>
      <c r="C136" s="142"/>
      <c r="D136" s="142"/>
      <c r="E136" s="142"/>
      <c r="F136" s="142"/>
      <c r="G136" s="142"/>
      <c r="H136" s="142"/>
      <c r="I136" s="142"/>
    </row>
    <row r="137" spans="1:9" ht="32.25" customHeight="1">
      <c r="A137" s="96" t="s">
        <v>113</v>
      </c>
      <c r="B137" s="96"/>
      <c r="C137" s="96"/>
      <c r="D137" s="96"/>
      <c r="E137" s="96"/>
      <c r="F137" s="96"/>
      <c r="G137" s="96"/>
      <c r="H137" s="96"/>
      <c r="I137" s="96"/>
    </row>
    <row r="138" spans="1:9" ht="5.25" customHeight="1">
      <c r="A138" s="136"/>
      <c r="B138" s="136"/>
      <c r="C138" s="136"/>
      <c r="D138" s="136"/>
      <c r="E138" s="136"/>
      <c r="F138" s="136"/>
      <c r="G138" s="136"/>
      <c r="H138" s="136"/>
      <c r="I138" s="136"/>
    </row>
    <row r="139" spans="1:9" ht="45" customHeight="1">
      <c r="A139" s="143" t="s">
        <v>156</v>
      </c>
      <c r="B139" s="143"/>
      <c r="C139" s="143"/>
      <c r="D139" s="143"/>
      <c r="E139" s="143"/>
      <c r="F139" s="143"/>
      <c r="G139" s="143"/>
      <c r="H139" s="143"/>
      <c r="I139" s="143"/>
    </row>
    <row r="140" spans="1:9" ht="15" customHeight="1">
      <c r="A140" s="93" t="s">
        <v>114</v>
      </c>
      <c r="B140" s="93"/>
      <c r="C140" s="93"/>
      <c r="D140" s="93"/>
      <c r="E140" s="93"/>
      <c r="F140" s="93"/>
      <c r="G140" s="93"/>
      <c r="H140" s="93"/>
      <c r="I140" s="50" t="s">
        <v>47</v>
      </c>
    </row>
    <row r="141" spans="1:11" ht="15" customHeight="1">
      <c r="A141" s="51" t="s">
        <v>14</v>
      </c>
      <c r="B141" s="144" t="s">
        <v>115</v>
      </c>
      <c r="C141" s="144"/>
      <c r="D141" s="144"/>
      <c r="E141" s="144"/>
      <c r="F141" s="144"/>
      <c r="G141" s="144"/>
      <c r="H141" s="144"/>
      <c r="I141" s="17">
        <f>I36</f>
        <v>3822.02</v>
      </c>
      <c r="K141" s="73"/>
    </row>
    <row r="142" spans="1:9" ht="15" customHeight="1">
      <c r="A142" s="51" t="s">
        <v>16</v>
      </c>
      <c r="B142" s="144" t="s">
        <v>116</v>
      </c>
      <c r="C142" s="144"/>
      <c r="D142" s="144"/>
      <c r="E142" s="144"/>
      <c r="F142" s="144"/>
      <c r="G142" s="144"/>
      <c r="H142" s="144"/>
      <c r="I142" s="17">
        <f>I46</f>
        <v>1170.97</v>
      </c>
    </row>
    <row r="143" spans="1:9" ht="15" customHeight="1">
      <c r="A143" s="51" t="s">
        <v>19</v>
      </c>
      <c r="B143" s="144" t="s">
        <v>117</v>
      </c>
      <c r="C143" s="144"/>
      <c r="D143" s="144"/>
      <c r="E143" s="144"/>
      <c r="F143" s="144"/>
      <c r="G143" s="144"/>
      <c r="H143" s="144"/>
      <c r="I143" s="17">
        <f>I55</f>
        <v>121.32</v>
      </c>
    </row>
    <row r="144" spans="1:9" ht="15" customHeight="1">
      <c r="A144" s="51" t="s">
        <v>21</v>
      </c>
      <c r="B144" s="144" t="s">
        <v>93</v>
      </c>
      <c r="C144" s="144"/>
      <c r="D144" s="144"/>
      <c r="E144" s="144"/>
      <c r="F144" s="144"/>
      <c r="G144" s="144"/>
      <c r="H144" s="144"/>
      <c r="I144" s="17">
        <f>I113</f>
        <v>3045.18</v>
      </c>
    </row>
    <row r="145" spans="1:9" ht="15" customHeight="1">
      <c r="A145" s="145" t="s">
        <v>118</v>
      </c>
      <c r="B145" s="145"/>
      <c r="C145" s="145"/>
      <c r="D145" s="145"/>
      <c r="E145" s="145"/>
      <c r="F145" s="145"/>
      <c r="G145" s="145"/>
      <c r="H145" s="145"/>
      <c r="I145" s="20">
        <f>SUM(I141:I144)</f>
        <v>8159.49</v>
      </c>
    </row>
    <row r="146" spans="1:9" ht="15" customHeight="1">
      <c r="A146" s="52" t="s">
        <v>49</v>
      </c>
      <c r="B146" s="144" t="s">
        <v>119</v>
      </c>
      <c r="C146" s="144"/>
      <c r="D146" s="144"/>
      <c r="E146" s="144"/>
      <c r="F146" s="144"/>
      <c r="G146" s="144"/>
      <c r="H146" s="144"/>
      <c r="I146" s="17">
        <f>I130</f>
        <v>2631.02</v>
      </c>
    </row>
    <row r="147" spans="1:9" ht="15" customHeight="1">
      <c r="A147" s="146" t="s">
        <v>120</v>
      </c>
      <c r="B147" s="146"/>
      <c r="C147" s="146"/>
      <c r="D147" s="146"/>
      <c r="E147" s="146"/>
      <c r="F147" s="146"/>
      <c r="G147" s="146"/>
      <c r="H147" s="146"/>
      <c r="I147" s="74">
        <f>SUM(I145:I146)</f>
        <v>10790.51</v>
      </c>
    </row>
    <row r="148" spans="1:9" ht="21" customHeight="1">
      <c r="A148" s="147"/>
      <c r="B148" s="147"/>
      <c r="C148" s="147"/>
      <c r="D148" s="147"/>
      <c r="E148" s="147"/>
      <c r="F148" s="147"/>
      <c r="G148" s="147"/>
      <c r="H148" s="147"/>
      <c r="I148" s="147"/>
    </row>
    <row r="149" spans="1:9" ht="18.75" customHeight="1">
      <c r="A149" s="96" t="s">
        <v>121</v>
      </c>
      <c r="B149" s="96"/>
      <c r="C149" s="96"/>
      <c r="D149" s="96"/>
      <c r="E149" s="96"/>
      <c r="F149" s="96"/>
      <c r="G149" s="108">
        <f>I147*H14</f>
        <v>10790.51</v>
      </c>
      <c r="H149" s="108"/>
      <c r="I149" s="108"/>
    </row>
    <row r="150" spans="1:9" ht="8.25" customHeight="1">
      <c r="A150" s="148"/>
      <c r="B150" s="148"/>
      <c r="C150" s="148"/>
      <c r="D150" s="148"/>
      <c r="E150" s="148"/>
      <c r="F150" s="148"/>
      <c r="G150" s="148"/>
      <c r="H150" s="148"/>
      <c r="I150" s="148"/>
    </row>
    <row r="151" spans="1:9" ht="19.5" customHeight="1">
      <c r="A151" s="90" t="s">
        <v>122</v>
      </c>
      <c r="B151" s="90"/>
      <c r="C151" s="90"/>
      <c r="D151" s="90"/>
      <c r="E151" s="90"/>
      <c r="F151" s="90"/>
      <c r="G151" s="149">
        <f>$H$10</f>
        <v>12</v>
      </c>
      <c r="H151" s="149"/>
      <c r="I151" s="149"/>
    </row>
    <row r="152" spans="1:9" ht="8.25" customHeight="1">
      <c r="A152" s="150"/>
      <c r="B152" s="150"/>
      <c r="C152" s="150"/>
      <c r="D152" s="150"/>
      <c r="E152" s="150"/>
      <c r="F152" s="150"/>
      <c r="G152" s="150"/>
      <c r="H152" s="150"/>
      <c r="I152" s="150"/>
    </row>
    <row r="153" spans="1:9" ht="31.5" customHeight="1">
      <c r="A153" s="151" t="s">
        <v>157</v>
      </c>
      <c r="B153" s="151"/>
      <c r="C153" s="151"/>
      <c r="D153" s="151"/>
      <c r="E153" s="151"/>
      <c r="F153" s="151"/>
      <c r="G153" s="152">
        <f>ROUND(G149*G151,2)</f>
        <v>129486.12</v>
      </c>
      <c r="H153" s="152"/>
      <c r="I153" s="152"/>
    </row>
    <row r="154" spans="1:9" ht="8.25" customHeight="1">
      <c r="A154" s="153"/>
      <c r="B154" s="153"/>
      <c r="C154" s="153"/>
      <c r="D154" s="153"/>
      <c r="E154" s="153"/>
      <c r="F154" s="153"/>
      <c r="G154" s="153"/>
      <c r="H154" s="153"/>
      <c r="I154" s="153"/>
    </row>
    <row r="155" spans="1:9" ht="29.25" customHeight="1">
      <c r="A155" s="154" t="s">
        <v>123</v>
      </c>
      <c r="B155" s="154"/>
      <c r="C155" s="154"/>
      <c r="D155" s="154"/>
      <c r="E155" s="154"/>
      <c r="F155" s="154"/>
      <c r="G155" s="154"/>
      <c r="H155" s="154"/>
      <c r="I155" s="154"/>
    </row>
    <row r="156" spans="1:9" ht="12" customHeight="1">
      <c r="A156" s="155" t="s">
        <v>124</v>
      </c>
      <c r="B156" s="155"/>
      <c r="C156" s="155"/>
      <c r="D156" s="91" t="s">
        <v>125</v>
      </c>
      <c r="E156" s="91"/>
      <c r="F156" s="91"/>
      <c r="G156" s="91"/>
      <c r="H156" s="91"/>
      <c r="I156" s="91"/>
    </row>
    <row r="157" spans="1:9" ht="12.75">
      <c r="A157" s="155"/>
      <c r="B157" s="155"/>
      <c r="C157" s="155"/>
      <c r="D157" s="91"/>
      <c r="E157" s="91"/>
      <c r="F157" s="91"/>
      <c r="G157" s="91"/>
      <c r="H157" s="91"/>
      <c r="I157" s="91"/>
    </row>
    <row r="158" spans="1:9" ht="66" customHeight="1">
      <c r="A158" s="156" t="s">
        <v>133</v>
      </c>
      <c r="B158" s="156"/>
      <c r="C158" s="156"/>
      <c r="D158" s="88" t="s">
        <v>127</v>
      </c>
      <c r="E158" s="88"/>
      <c r="F158" s="88"/>
      <c r="G158" s="88"/>
      <c r="H158" s="88"/>
      <c r="I158" s="88"/>
    </row>
    <row r="159" spans="1:9" ht="12.75">
      <c r="A159" s="157"/>
      <c r="B159" s="157"/>
      <c r="C159" s="157"/>
      <c r="D159" s="158"/>
      <c r="E159" s="158"/>
      <c r="F159" s="158"/>
      <c r="G159" s="158"/>
      <c r="H159" s="158"/>
      <c r="I159" s="158"/>
    </row>
    <row r="160" spans="1:9" ht="12.75" customHeight="1">
      <c r="A160" s="159"/>
      <c r="B160" s="159"/>
      <c r="C160" s="159"/>
      <c r="D160" s="158"/>
      <c r="E160" s="158"/>
      <c r="F160" s="158"/>
      <c r="G160" s="158"/>
      <c r="H160" s="158"/>
      <c r="I160" s="158"/>
    </row>
    <row r="161" spans="1:9" ht="15" customHeight="1">
      <c r="A161" s="160"/>
      <c r="B161" s="160"/>
      <c r="C161" s="160"/>
      <c r="D161" s="160"/>
      <c r="E161" s="160"/>
      <c r="F161" s="160"/>
      <c r="G161" s="160"/>
      <c r="H161" s="160"/>
      <c r="I161" s="160"/>
    </row>
    <row r="162" spans="1:9" ht="12.75" hidden="1">
      <c r="A162" s="160"/>
      <c r="B162" s="160"/>
      <c r="C162" s="160"/>
      <c r="D162" s="160"/>
      <c r="E162" s="160"/>
      <c r="F162" s="160"/>
      <c r="G162" s="160"/>
      <c r="H162" s="160"/>
      <c r="I162" s="160"/>
    </row>
    <row r="163" spans="1:9" ht="27" customHeight="1">
      <c r="A163" s="161" t="s">
        <v>128</v>
      </c>
      <c r="B163" s="161"/>
      <c r="C163" s="161"/>
      <c r="D163" s="161"/>
      <c r="E163" s="161"/>
      <c r="F163" s="161"/>
      <c r="G163" s="161"/>
      <c r="H163" s="161"/>
      <c r="I163" s="161"/>
    </row>
    <row r="164" spans="1:9" ht="12.75" customHeight="1">
      <c r="A164" s="91" t="s">
        <v>129</v>
      </c>
      <c r="B164" s="91"/>
      <c r="C164" s="91"/>
      <c r="D164" s="91"/>
      <c r="E164" s="91"/>
      <c r="F164" s="91"/>
      <c r="G164" s="91"/>
      <c r="H164" s="91" t="s">
        <v>130</v>
      </c>
      <c r="I164" s="91"/>
    </row>
    <row r="165" spans="1:9" ht="15" customHeight="1">
      <c r="A165" s="162" t="s">
        <v>131</v>
      </c>
      <c r="B165" s="162"/>
      <c r="C165" s="162"/>
      <c r="D165" s="162"/>
      <c r="E165" s="162"/>
      <c r="F165" s="162"/>
      <c r="G165" s="162"/>
      <c r="H165" s="163">
        <v>1</v>
      </c>
      <c r="I165" s="163"/>
    </row>
    <row r="166" spans="1:9" ht="12.75" customHeight="1">
      <c r="A166" s="157"/>
      <c r="B166" s="157"/>
      <c r="C166" s="157"/>
      <c r="D166" s="157"/>
      <c r="E166" s="157"/>
      <c r="F166" s="157"/>
      <c r="G166" s="157"/>
      <c r="H166" s="91"/>
      <c r="I166" s="91"/>
    </row>
  </sheetData>
  <sheetProtection selectLockedCells="1" selectUnlockedCells="1"/>
  <mergeCells count="221">
    <mergeCell ref="A166:G166"/>
    <mergeCell ref="H166:I166"/>
    <mergeCell ref="A161:I162"/>
    <mergeCell ref="A163:I163"/>
    <mergeCell ref="A164:G164"/>
    <mergeCell ref="H164:I164"/>
    <mergeCell ref="A165:G165"/>
    <mergeCell ref="H165:I165"/>
    <mergeCell ref="A158:C158"/>
    <mergeCell ref="D158:I158"/>
    <mergeCell ref="A159:C159"/>
    <mergeCell ref="D159:I159"/>
    <mergeCell ref="A160:C160"/>
    <mergeCell ref="D160:I160"/>
    <mergeCell ref="A153:F153"/>
    <mergeCell ref="G153:I153"/>
    <mergeCell ref="A154:I154"/>
    <mergeCell ref="A155:I155"/>
    <mergeCell ref="A156:C157"/>
    <mergeCell ref="D156:I157"/>
    <mergeCell ref="A149:F149"/>
    <mergeCell ref="G149:I149"/>
    <mergeCell ref="A150:I150"/>
    <mergeCell ref="A151:F151"/>
    <mergeCell ref="G151:I151"/>
    <mergeCell ref="A152:I152"/>
    <mergeCell ref="B143:H143"/>
    <mergeCell ref="B144:H144"/>
    <mergeCell ref="A145:H145"/>
    <mergeCell ref="B146:H146"/>
    <mergeCell ref="A147:H147"/>
    <mergeCell ref="A148:I148"/>
    <mergeCell ref="A137:I137"/>
    <mergeCell ref="A138:I138"/>
    <mergeCell ref="A139:I139"/>
    <mergeCell ref="A140:H140"/>
    <mergeCell ref="B141:H141"/>
    <mergeCell ref="B142:H142"/>
    <mergeCell ref="A132:G132"/>
    <mergeCell ref="A133:B135"/>
    <mergeCell ref="C133:I133"/>
    <mergeCell ref="C134:I134"/>
    <mergeCell ref="C135:I135"/>
    <mergeCell ref="A136:I136"/>
    <mergeCell ref="B126:G126"/>
    <mergeCell ref="B127:G127"/>
    <mergeCell ref="B128:G128"/>
    <mergeCell ref="B129:G129"/>
    <mergeCell ref="A130:H130"/>
    <mergeCell ref="A131:I131"/>
    <mergeCell ref="A120:G120"/>
    <mergeCell ref="B121:G121"/>
    <mergeCell ref="B122:G122"/>
    <mergeCell ref="B123:G123"/>
    <mergeCell ref="B124:G124"/>
    <mergeCell ref="B125:G125"/>
    <mergeCell ref="A114:I114"/>
    <mergeCell ref="B115:G115"/>
    <mergeCell ref="A116:G116"/>
    <mergeCell ref="B117:G117"/>
    <mergeCell ref="A118:G118"/>
    <mergeCell ref="B119:G119"/>
    <mergeCell ref="B108:H108"/>
    <mergeCell ref="B109:H109"/>
    <mergeCell ref="B110:H110"/>
    <mergeCell ref="B111:H111"/>
    <mergeCell ref="B112:H112"/>
    <mergeCell ref="A113:H113"/>
    <mergeCell ref="A102:H102"/>
    <mergeCell ref="B103:H103"/>
    <mergeCell ref="A104:H104"/>
    <mergeCell ref="A105:I105"/>
    <mergeCell ref="B106:H106"/>
    <mergeCell ref="B107:H107"/>
    <mergeCell ref="B96:H96"/>
    <mergeCell ref="B97:H97"/>
    <mergeCell ref="B98:H98"/>
    <mergeCell ref="B99:H99"/>
    <mergeCell ref="B100:H100"/>
    <mergeCell ref="B101:H101"/>
    <mergeCell ref="B90:H90"/>
    <mergeCell ref="B91:H91"/>
    <mergeCell ref="B92:H92"/>
    <mergeCell ref="A93:H93"/>
    <mergeCell ref="A94:I94"/>
    <mergeCell ref="B95:H95"/>
    <mergeCell ref="A84:H84"/>
    <mergeCell ref="A85:I85"/>
    <mergeCell ref="B86:H86"/>
    <mergeCell ref="B87:H87"/>
    <mergeCell ref="B88:H88"/>
    <mergeCell ref="B89:H89"/>
    <mergeCell ref="A78:H78"/>
    <mergeCell ref="A79:I79"/>
    <mergeCell ref="A80:I80"/>
    <mergeCell ref="B81:H81"/>
    <mergeCell ref="B82:H82"/>
    <mergeCell ref="B83:H83"/>
    <mergeCell ref="A72:I72"/>
    <mergeCell ref="A73:I73"/>
    <mergeCell ref="B74:H74"/>
    <mergeCell ref="B75:H75"/>
    <mergeCell ref="A76:H76"/>
    <mergeCell ref="B77:H77"/>
    <mergeCell ref="B65:G65"/>
    <mergeCell ref="B66:G66"/>
    <mergeCell ref="B67:C67"/>
    <mergeCell ref="B68:G68"/>
    <mergeCell ref="A69:G69"/>
    <mergeCell ref="A71:I71"/>
    <mergeCell ref="A59:I59"/>
    <mergeCell ref="B60:G60"/>
    <mergeCell ref="B61:G61"/>
    <mergeCell ref="B62:G62"/>
    <mergeCell ref="B63:G63"/>
    <mergeCell ref="B64:G64"/>
    <mergeCell ref="B52:H52"/>
    <mergeCell ref="B53:H53"/>
    <mergeCell ref="B54:H54"/>
    <mergeCell ref="A55:H55"/>
    <mergeCell ref="A56:I56"/>
    <mergeCell ref="A57:I57"/>
    <mergeCell ref="B46:H46"/>
    <mergeCell ref="A47:I47"/>
    <mergeCell ref="A48:I48"/>
    <mergeCell ref="A49:I49"/>
    <mergeCell ref="A50:I50"/>
    <mergeCell ref="B51:H51"/>
    <mergeCell ref="B40:G40"/>
    <mergeCell ref="B41:G41"/>
    <mergeCell ref="B42:H42"/>
    <mergeCell ref="B43:G43"/>
    <mergeCell ref="B44:H44"/>
    <mergeCell ref="B45:H45"/>
    <mergeCell ref="B34:H34"/>
    <mergeCell ref="B35:H35"/>
    <mergeCell ref="A36:H36"/>
    <mergeCell ref="A37:I37"/>
    <mergeCell ref="B38:H38"/>
    <mergeCell ref="B39:H39"/>
    <mergeCell ref="A28:I28"/>
    <mergeCell ref="A29:I29"/>
    <mergeCell ref="A30:I30"/>
    <mergeCell ref="B31:G31"/>
    <mergeCell ref="B32:H32"/>
    <mergeCell ref="B33:H33"/>
    <mergeCell ref="B24:G24"/>
    <mergeCell ref="H24:I24"/>
    <mergeCell ref="B25:G25"/>
    <mergeCell ref="B26:G26"/>
    <mergeCell ref="H26:I26"/>
    <mergeCell ref="A27:I27"/>
    <mergeCell ref="B21:G21"/>
    <mergeCell ref="H21:I21"/>
    <mergeCell ref="B22:G22"/>
    <mergeCell ref="H22:I22"/>
    <mergeCell ref="B23:G23"/>
    <mergeCell ref="H23:I23"/>
    <mergeCell ref="HI19:HP19"/>
    <mergeCell ref="HQ19:HX19"/>
    <mergeCell ref="HY19:IF19"/>
    <mergeCell ref="IG19:IN19"/>
    <mergeCell ref="IO19:IV19"/>
    <mergeCell ref="B20:G20"/>
    <mergeCell ref="H20:I20"/>
    <mergeCell ref="FM19:FT19"/>
    <mergeCell ref="FU19:GB19"/>
    <mergeCell ref="GC19:GJ19"/>
    <mergeCell ref="GK19:GR19"/>
    <mergeCell ref="GS19:GZ19"/>
    <mergeCell ref="HA19:HH19"/>
    <mergeCell ref="DQ19:DX19"/>
    <mergeCell ref="DY19:EF19"/>
    <mergeCell ref="EG19:EN19"/>
    <mergeCell ref="EO19:EV19"/>
    <mergeCell ref="EW19:FD19"/>
    <mergeCell ref="FE19:FL19"/>
    <mergeCell ref="BU19:CB19"/>
    <mergeCell ref="CC19:CJ19"/>
    <mergeCell ref="CK19:CR19"/>
    <mergeCell ref="CS19:CZ19"/>
    <mergeCell ref="DA19:DH19"/>
    <mergeCell ref="DI19:DP19"/>
    <mergeCell ref="Y19:AF19"/>
    <mergeCell ref="AG19:AN19"/>
    <mergeCell ref="AO19:AV19"/>
    <mergeCell ref="AW19:BD19"/>
    <mergeCell ref="BE19:BL19"/>
    <mergeCell ref="BM19:BT19"/>
    <mergeCell ref="A16:I16"/>
    <mergeCell ref="A17:I17"/>
    <mergeCell ref="A18:I18"/>
    <mergeCell ref="A19:I19"/>
    <mergeCell ref="J19:P19"/>
    <mergeCell ref="Q19:X19"/>
    <mergeCell ref="A13:E13"/>
    <mergeCell ref="F13:G13"/>
    <mergeCell ref="H13:I13"/>
    <mergeCell ref="A14:G14"/>
    <mergeCell ref="H14:I14"/>
    <mergeCell ref="A15:I15"/>
    <mergeCell ref="B9:G9"/>
    <mergeCell ref="H9:I9"/>
    <mergeCell ref="B10:G10"/>
    <mergeCell ref="H10:I10"/>
    <mergeCell ref="A11:I11"/>
    <mergeCell ref="A12:E12"/>
    <mergeCell ref="F12:G12"/>
    <mergeCell ref="H12:I12"/>
    <mergeCell ref="A5:I5"/>
    <mergeCell ref="A6:I6"/>
    <mergeCell ref="B7:G7"/>
    <mergeCell ref="H7:I7"/>
    <mergeCell ref="B8:G8"/>
    <mergeCell ref="H8:I8"/>
    <mergeCell ref="A2:I2"/>
    <mergeCell ref="A3:E3"/>
    <mergeCell ref="F3:I3"/>
    <mergeCell ref="A4:E4"/>
    <mergeCell ref="F4:I4"/>
    <mergeCell ref="A1:I1"/>
  </mergeCells>
  <printOptions horizontalCentered="1"/>
  <pageMargins left="0.7874015748031497" right="0.31496062992125984" top="0.7874015748031497" bottom="0.7874015748031497" header="0.5118110236220472" footer="0.5118110236220472"/>
  <pageSetup horizontalDpi="300" verticalDpi="300" orientation="portrait" paperSize="9" scale="83" r:id="rId1"/>
  <headerFooter alignWithMargins="0"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Edinete Rita</dc:creator>
  <cp:keywords/>
  <dc:description/>
  <cp:lastModifiedBy>Edinete Rita Folle Cecconello</cp:lastModifiedBy>
  <cp:lastPrinted>2023-03-13T14:03:51Z</cp:lastPrinted>
  <dcterms:created xsi:type="dcterms:W3CDTF">2018-02-21T18:11:46Z</dcterms:created>
  <dcterms:modified xsi:type="dcterms:W3CDTF">2023-03-13T14:03:56Z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1046-10.2.0.6020</vt:lpwstr>
  </property>
</Properties>
</file>