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500" activeTab="2"/>
  </bookViews>
  <sheets>
    <sheet name="Real BCCPA-IN 5-CV" sheetId="1" r:id="rId1"/>
    <sheet name="INSUMOS" sheetId="2" r:id="rId2"/>
    <sheet name="Rel Ponto" sheetId="3" r:id="rId3"/>
    <sheet name="Mapa Insumos" sheetId="4" r:id="rId4"/>
    <sheet name="CÁLCULO N. SERVENTES NOVA FREQ" sheetId="5" r:id="rId5"/>
    <sheet name="CÁLCULO DO Nº DE SERVENTES MÁXI" sheetId="6" r:id="rId6"/>
  </sheets>
  <definedNames/>
  <calcPr fullCalcOnLoad="1"/>
</workbook>
</file>

<file path=xl/sharedStrings.xml><?xml version="1.0" encoding="utf-8"?>
<sst xmlns="http://schemas.openxmlformats.org/spreadsheetml/2006/main" count="971" uniqueCount="464">
  <si>
    <t xml:space="preserve">LIMPEZA - Regime de Tributação: Lucro Real </t>
  </si>
  <si>
    <r>
      <rPr>
        <b/>
        <sz val="18"/>
        <rFont val="Arial"/>
        <family val="2"/>
      </rPr>
      <t xml:space="preserve">ANEXO V </t>
    </r>
    <r>
      <rPr>
        <b/>
        <sz val="18"/>
        <color indexed="10"/>
        <rFont val="Arial"/>
        <family val="2"/>
      </rPr>
      <t xml:space="preserve">do Pregão IFRS nº 46/2019 – </t>
    </r>
    <r>
      <rPr>
        <b/>
        <sz val="18"/>
        <color indexed="12"/>
        <rFont val="Arial"/>
        <family val="2"/>
      </rPr>
      <t xml:space="preserve">CONTA VINCULADA
</t>
    </r>
    <r>
      <rPr>
        <b/>
        <sz val="18"/>
        <color indexed="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</si>
  <si>
    <t>Nº do processo:</t>
  </si>
  <si>
    <t>23371.000438/2019-93</t>
  </si>
  <si>
    <t>Licitação nº:</t>
  </si>
  <si>
    <t>Pregão IFRS Campus Sertão nº 46/2019</t>
  </si>
  <si>
    <t>DISCRIMINAÇÃO DOS SERVIÇOS (DADOS REFERENTES À CONTRATAÇÃO)</t>
  </si>
  <si>
    <t>A</t>
  </si>
  <si>
    <t>Data de apresentação da proposta (dia/mês/ano)</t>
  </si>
  <si>
    <t>xx</t>
  </si>
  <si>
    <t>B</t>
  </si>
  <si>
    <t>Município/UF</t>
  </si>
  <si>
    <t>Sertão/RS</t>
  </si>
  <si>
    <t>C</t>
  </si>
  <si>
    <t>Ano do Acordo, Convenção ou Dissídio Coletivo</t>
  </si>
  <si>
    <t>D</t>
  </si>
  <si>
    <t>Número de meses de execução contratual</t>
  </si>
  <si>
    <t>IDENTIFICAÇÃO DO SERVIÇO</t>
  </si>
  <si>
    <t xml:space="preserve">Tipo de Serviço: 
                                Limpeza e Conservação Predial                                                                                                   </t>
  </si>
  <si>
    <t>Unidade
 de 
Medida</t>
  </si>
  <si>
    <t xml:space="preserve">Quantidade total a contratar (Em função da unidade de medida) </t>
  </si>
  <si>
    <t>a) Áreas internas - Pisos acarpetados</t>
  </si>
  <si>
    <t>m2</t>
  </si>
  <si>
    <t>b) Áreas internas - Pisos frios</t>
  </si>
  <si>
    <t>c) Áreas internas - Laboratórios</t>
  </si>
  <si>
    <t>d) Áreas internas - Almoxarifados/galpões</t>
  </si>
  <si>
    <t>e) Áreas internas - Oficinas</t>
  </si>
  <si>
    <t>f) Áreas internas - Áreas com espaços livres - saguão, hall e salão</t>
  </si>
  <si>
    <t>m-2</t>
  </si>
  <si>
    <t>m-1</t>
  </si>
  <si>
    <t>m0</t>
  </si>
  <si>
    <r>
      <rPr>
        <b/>
        <sz val="10"/>
        <color indexed="12"/>
        <rFont val="Arial"/>
        <family val="2"/>
      </rPr>
      <t>g) Banheiros</t>
    </r>
    <r>
      <rPr>
        <b/>
        <sz val="10"/>
        <color indexed="21"/>
        <rFont val="Arial"/>
        <family val="2"/>
      </rPr>
      <t xml:space="preserve"> </t>
    </r>
  </si>
  <si>
    <t>TOTAL DA ÁREA INTERNA</t>
  </si>
  <si>
    <t>a) Áreas externas - Pisos pavimentados adjacentes/contíguos às edificações</t>
  </si>
  <si>
    <t>b) Áreas externas -  Varrição de passeios e arruamentos</t>
  </si>
  <si>
    <t>c) Áreas externas -  Pátios com áreas verdes com alta frequência</t>
  </si>
  <si>
    <t>d) Áreas externas -  Pátios com áreas verdes com média frequência</t>
  </si>
  <si>
    <t>e) Áreas externas -  Pátios com áreas verdes com baixa frequência</t>
  </si>
  <si>
    <t>f) Áreas externas -  Coleta de detritos em pátios e áreas verdes com frequência diária</t>
  </si>
  <si>
    <t>TOTAL DA ÁREA EXTERNA</t>
  </si>
  <si>
    <t>a) Esquadrias externas - Face externa com exposição a situação de risco</t>
  </si>
  <si>
    <t>b) Esquadrias externas - Face externa sem exposição a situação de risco</t>
  </si>
  <si>
    <t>c) Esquadrias externas - Face interna</t>
  </si>
  <si>
    <t>TOTAL DA ÁREA DA ESQUADRIA EXTERNA - FACE INTERNA/EXTERNA</t>
  </si>
  <si>
    <t>a) Fachada envidraçada</t>
  </si>
  <si>
    <t>TOTAL DA ÁREA DA FACHADA ENVIDRAÇADA</t>
  </si>
  <si>
    <t>a) Áreas hospitalares e assemelhadas</t>
  </si>
  <si>
    <r>
      <rPr>
        <b/>
        <sz val="10"/>
        <rFont val="Arial"/>
        <family val="2"/>
      </rPr>
      <t xml:space="preserve">                                                                                                     </t>
    </r>
    <r>
      <rPr>
        <b/>
        <sz val="10"/>
        <color indexed="10"/>
        <rFont val="Arial"/>
        <family val="2"/>
      </rPr>
      <t>TOTAL DAS ÁREAS HOSPITALARES</t>
    </r>
  </si>
  <si>
    <t>a) Outras áreas (especificar)</t>
  </si>
  <si>
    <t>TOTAL DAS OUTRAS ÁREAS (ESPECIFICAR)</t>
  </si>
  <si>
    <t xml:space="preserve">TOTAL GERAL 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</si>
  <si>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</si>
  <si>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b/>
        <sz val="15"/>
        <rFont val="Arial"/>
        <family val="2"/>
      </rPr>
      <t xml:space="preserve">1. MÓDULOS 
</t>
    </r>
    <r>
      <rPr>
        <b/>
        <sz val="12"/>
        <rFont val="Arial"/>
        <family val="2"/>
      </rPr>
      <t xml:space="preserve">Mão de obra
</t>
    </r>
    <r>
      <rPr>
        <b/>
        <sz val="11"/>
        <rFont val="Arial"/>
        <family val="2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</si>
  <si>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</si>
  <si>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</si>
  <si>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 xml:space="preserve"> limpeza e conservação</t>
  </si>
  <si>
    <t>Classificação Brasileira de Ocupações (CBO)</t>
  </si>
  <si>
    <t>Salário Normativo da Categoria Profissional - para a jornada de 44 h/sem</t>
  </si>
  <si>
    <t>Categoria Profissional (vinculada à execução contratual)</t>
  </si>
  <si>
    <t xml:space="preserve">      servente de limpeza</t>
  </si>
  <si>
    <t>Data-Base da Categoria (dia/mês/ano)</t>
  </si>
  <si>
    <t>1º de janeiro de 2019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</si>
  <si>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</si>
  <si>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</si>
  <si>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</si>
  <si>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</si>
  <si>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</si>
  <si>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r>
      <rPr>
        <b/>
        <sz val="10"/>
        <rFont val="Arial"/>
        <family val="2"/>
      </rPr>
      <t xml:space="preserve">Salário-Base   </t>
    </r>
    <r>
      <rPr>
        <b/>
        <sz val="10"/>
        <color indexed="10"/>
        <rFont val="Arial"/>
        <family val="2"/>
      </rPr>
      <t xml:space="preserve"> (valor para somente 1 servente de limpeza) 
</t>
    </r>
    <r>
      <rPr>
        <b/>
        <sz val="10"/>
        <rFont val="Arial"/>
        <family val="2"/>
      </rPr>
      <t xml:space="preserve">            </t>
    </r>
    <r>
      <rPr>
        <b/>
        <sz val="10"/>
        <color indexed="12"/>
        <rFont val="Arial"/>
        <family val="2"/>
      </rPr>
      <t xml:space="preserve"> para a jornada de 44 horas semanais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</si>
  <si>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Adicional de Insalubridade </t>
    </r>
    <r>
      <rPr>
        <b/>
        <sz val="8"/>
        <color indexed="10"/>
        <rFont val="Arial"/>
        <family val="2"/>
      </rPr>
      <t>(40%sobre o salário-base proporcionalizado- cláusula 54  C da CCT 2019)</t>
    </r>
  </si>
  <si>
    <t>G</t>
  </si>
  <si>
    <t xml:space="preserve">Outros (especificar)                                          </t>
  </si>
  <si>
    <t xml:space="preserve">Total </t>
  </si>
  <si>
    <t>Nota1:  O Módulo 1 refere-se ao valor mensal devido ao empegado pela prestação do serviço no período de 12 meses.</t>
  </si>
  <si>
    <t>Módulo 2 – Encargos e Benefícios Anuais, Mensais e Diários</t>
  </si>
  <si>
    <r>
      <rPr>
        <b/>
        <sz val="11"/>
        <rFont val="Arial"/>
        <family val="2"/>
      </rPr>
      <t>Submódulo 2.1 – 13º (décimo terceiro) Salário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e Adicional de Férias</t>
    </r>
  </si>
  <si>
    <t>2.1</t>
  </si>
  <si>
    <r>
      <rPr>
        <b/>
        <sz val="11"/>
        <rFont val="Arial"/>
        <family val="2"/>
      </rPr>
      <t>13º (décimo terceiro) Salário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e Adicional de Férias</t>
    </r>
  </si>
  <si>
    <t>Valor (R$)</t>
  </si>
  <si>
    <r>
      <rPr>
        <b/>
        <sz val="10"/>
        <rFont val="Arial"/>
        <family val="2"/>
      </rPr>
      <t>13º (décimo terceiro) Salário</t>
    </r>
    <r>
      <rPr>
        <b/>
        <sz val="11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8,33% sobre o valor do Módulo 1 – Composição da Remuneração, conforme Anexo XII da IN 5/17</t>
    </r>
  </si>
  <si>
    <r>
      <rPr>
        <b/>
        <sz val="10"/>
        <color indexed="8"/>
        <rFont val="Arial"/>
        <family val="2"/>
      </rPr>
      <t>Adicional de Férias</t>
    </r>
    <r>
      <rPr>
        <b/>
        <sz val="10"/>
        <color indexed="21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Obrigatória a cotação de 2,78% sobre o valor do Módulo 1 – Composição da Remuneração, conforme Anexo XII da IN 5/17 </t>
    </r>
  </si>
  <si>
    <t>Total</t>
  </si>
  <si>
    <t xml:space="preserve">Nota 1:  Como a planilha de custos e formação de preços é calculada mensalmente, provisiona-se proporcionalmente 1/12 (um doze avos) dos valores referentes à gratificação natalina, e adicional de férias.
Nota 2:  O adicional de férias contido no Submódulo 2.1 corresponde a 1/3 (um terço) da remuneração que por sua vez é dividido por 12 (doze) conforme Nota 1 acima.
</t>
  </si>
  <si>
    <r>
      <rPr>
        <b/>
        <sz val="11"/>
        <rFont val="Arial"/>
        <family val="2"/>
      </rPr>
      <t xml:space="preserve">Submódulo 2.2 - Encargos Previdenciários (GPS), Fundo de Garantia por Tempo de Serviço (FGTS) e outras contribuições </t>
    </r>
    <r>
      <rPr>
        <b/>
        <sz val="11"/>
        <color indexed="12"/>
        <rFont val="Arial"/>
        <family val="2"/>
      </rPr>
      <t>(Base de cálculo: Módulo 1 + Submódulo 2.1)</t>
    </r>
  </si>
  <si>
    <t>2.2</t>
  </si>
  <si>
    <t>GPS, FGTS e outras contribuições</t>
  </si>
  <si>
    <t>Percentual (%)</t>
  </si>
  <si>
    <t>Valor
 (R$)</t>
  </si>
  <si>
    <t>INSS</t>
  </si>
  <si>
    <t>Salário Educação</t>
  </si>
  <si>
    <r>
      <rPr>
        <b/>
        <sz val="10"/>
        <rFont val="Arial"/>
        <family val="2"/>
      </rPr>
      <t xml:space="preserve">RAT x FAP
</t>
    </r>
    <r>
      <rPr>
        <b/>
        <sz val="8"/>
        <color indexed="10"/>
        <rFont val="Arial"/>
        <family val="2"/>
      </rPr>
      <t>Cálculo do valor: % do SAT x FAP (Fator Acidentário de Prevenção de cada empresa)</t>
    </r>
  </si>
  <si>
    <t>RAT =</t>
  </si>
  <si>
    <t xml:space="preserve"> FAP =</t>
  </si>
  <si>
    <t>SESC ou SESI</t>
  </si>
  <si>
    <t>E</t>
  </si>
  <si>
    <t>SENAC ou SENAI</t>
  </si>
  <si>
    <t>F</t>
  </si>
  <si>
    <t>SEBRAE</t>
  </si>
  <si>
    <t>INCRA</t>
  </si>
  <si>
    <t>H</t>
  </si>
  <si>
    <t>FGTS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</si>
  <si>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</si>
  <si>
    <t>Submódulo 2.3 – Benefícios Mensais e Diários</t>
  </si>
  <si>
    <t>2.3</t>
  </si>
  <si>
    <t>Benefícios Mensais e Diários</t>
  </si>
  <si>
    <r>
      <rPr>
        <b/>
        <sz val="10"/>
        <rFont val="Arial"/>
        <family val="2"/>
      </rPr>
      <t xml:space="preserve">Transporte                                              </t>
    </r>
    <r>
      <rPr>
        <b/>
        <sz val="10"/>
        <color indexed="10"/>
        <rFont val="Arial"/>
        <family val="2"/>
      </rPr>
      <t xml:space="preserve"> Cálculo do valor: [(2xVTx22) – (6%xSB)]</t>
    </r>
  </si>
  <si>
    <t xml:space="preserve">      A.1) Valor da passagem do transporte coletivo no município de prestação dos serviços </t>
  </si>
  <si>
    <t>-</t>
  </si>
  <si>
    <t xml:space="preserve">      A.2) Quantidade de passagens por dia por empregado</t>
  </si>
  <si>
    <t xml:space="preserve">      A.3) Quantidade de dias do mês de recebimento de passagens</t>
  </si>
  <si>
    <r>
      <rPr>
        <b/>
        <sz val="10"/>
        <color indexed="10"/>
        <rFont val="Arial"/>
        <family val="2"/>
      </rPr>
      <t xml:space="preserve">      A.4) Participação do empregado em percentual do salário-base </t>
    </r>
    <r>
      <rPr>
        <b/>
        <sz val="8"/>
        <color indexed="10"/>
        <rFont val="Arial"/>
        <family val="2"/>
      </rPr>
      <t>(cláus. 21 da CCT 2019)</t>
    </r>
  </si>
  <si>
    <r>
      <rPr>
        <b/>
        <sz val="10"/>
        <rFont val="Arial"/>
        <family val="2"/>
      </rPr>
      <t xml:space="preserve">Auxílio-Refeição/Alimentação </t>
    </r>
    <r>
      <rPr>
        <b/>
        <sz val="10"/>
        <color indexed="10"/>
        <rFont val="Arial"/>
        <family val="2"/>
      </rPr>
      <t>Cálculo do valor = [(22xVA)x(1-</t>
    </r>
    <r>
      <rPr>
        <b/>
        <sz val="10"/>
        <color indexed="12"/>
        <rFont val="Arial"/>
        <family val="2"/>
      </rPr>
      <t>0,19</t>
    </r>
    <r>
      <rPr>
        <b/>
        <sz val="10"/>
        <color indexed="10"/>
        <rFont val="Arial"/>
        <family val="2"/>
      </rPr>
      <t>)]</t>
    </r>
  </si>
  <si>
    <t xml:space="preserve">      B.1) Valor do auxílio-alimentação (clausula 19 da CCT 2019)</t>
  </si>
  <si>
    <t xml:space="preserve">      B.2) Quantidade de dias do mês de recebimento de auxílio-alimentação</t>
  </si>
  <si>
    <t xml:space="preserve">       B.3) Participação do empregado em percentual sobre o auxílio-alimentação</t>
  </si>
  <si>
    <t>Assistência Médica e Familiar</t>
  </si>
  <si>
    <r>
      <rPr>
        <b/>
        <sz val="10"/>
        <rFont val="Arial"/>
        <family val="2"/>
      </rPr>
      <t xml:space="preserve">Plano de Benefício Social Familiar </t>
    </r>
    <r>
      <rPr>
        <b/>
        <sz val="10"/>
        <color indexed="10"/>
        <rFont val="Arial"/>
        <family val="2"/>
      </rPr>
      <t>(cláusula 22 da CCT 2019)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Cálculo do valor = R$ 15,02 </t>
    </r>
    <r>
      <rPr>
        <b/>
        <sz val="10"/>
        <color indexed="39"/>
        <rFont val="Arial"/>
        <family val="2"/>
      </rPr>
      <t>Sem participação do empregado</t>
    </r>
  </si>
  <si>
    <t xml:space="preserve">Outros (especificar)                                           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</si>
  <si>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</si>
  <si>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</si>
  <si>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</si>
  <si>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r>
      <rPr>
        <b/>
        <sz val="10"/>
        <rFont val="Arial"/>
        <family val="2"/>
      </rPr>
      <t xml:space="preserve">13º (décimo terceiro) Salário </t>
    </r>
    <r>
      <rPr>
        <b/>
        <sz val="10"/>
        <rFont val="Arial"/>
        <family val="2"/>
      </rPr>
      <t>e Adicional de Férias</t>
    </r>
  </si>
  <si>
    <t>Módulo 3 - Provisão para Rescisão</t>
  </si>
  <si>
    <t>Provisão para Rescisão</t>
  </si>
  <si>
    <t>Valor  (R$)</t>
  </si>
  <si>
    <r>
      <rPr>
        <b/>
        <sz val="10"/>
        <rFont val="Arial"/>
        <family val="2"/>
      </rPr>
      <t xml:space="preserve">Aviso Prévio Indenizado     </t>
    </r>
    <r>
      <rPr>
        <b/>
        <sz val="8"/>
        <color indexed="10"/>
        <rFont val="Arial"/>
        <family val="2"/>
      </rPr>
      <t xml:space="preserve">Aviso-prévio indenizado     Cálculo do valor = {Rem/12 + 13º/12=(Rem/12)/12 + Férias/12=(Rem/12)/12 + (1/3xFérias)/12=1/3x[(Rem/12)/12]} x (30/30=1) x </t>
    </r>
    <r>
      <rPr>
        <b/>
        <sz val="10"/>
        <color indexed="12"/>
        <rFont val="Arial"/>
        <family val="2"/>
      </rPr>
      <t>5%</t>
    </r>
    <r>
      <rPr>
        <b/>
        <sz val="8"/>
        <color indexed="10"/>
        <rFont val="Arial"/>
        <family val="2"/>
      </rPr>
      <t xml:space="preserve">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</si>
  <si>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</si>
  <si>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rPr>
        <b/>
        <sz val="10"/>
        <rFont val="Arial"/>
        <family val="2"/>
      </rPr>
      <t xml:space="preserve">Aviso Prévio Trabalhado                 (negociar extinção/redução na 1ª prorrogação)
</t>
    </r>
    <r>
      <rPr>
        <b/>
        <sz val="10"/>
        <color indexed="10"/>
        <rFont val="Arial"/>
        <family val="2"/>
      </rPr>
      <t>Cálculo do valor= [(Rem/30)x7]/12 meses do contratox</t>
    </r>
    <r>
      <rPr>
        <b/>
        <sz val="10"/>
        <color indexed="12"/>
        <rFont val="Arial"/>
        <family val="2"/>
      </rPr>
      <t>100%</t>
    </r>
    <r>
      <rPr>
        <b/>
        <sz val="10"/>
        <color indexed="10"/>
        <rFont val="Arial"/>
        <family val="2"/>
      </rPr>
      <t xml:space="preserve"> dos empregados - ao final do contrato</t>
    </r>
  </si>
  <si>
    <t xml:space="preserve">Incidência de GPS, FGTS e outras contribuições sobre o Aviso Prévio Trabalhado       </t>
  </si>
  <si>
    <r>
      <rPr>
        <b/>
        <sz val="10"/>
        <rFont val="Arial"/>
        <family val="2"/>
      </rPr>
      <t xml:space="preserve">Multa do FGTS e contribuição social sobre o Aviso Prévio Trabalhado </t>
    </r>
    <r>
      <rPr>
        <b/>
        <sz val="8"/>
        <color indexed="10"/>
        <rFont val="Arial"/>
        <family val="2"/>
      </rPr>
      <t>Obrigatória a cotação de 4,76% sobre o valor do Módulo 1 – Composição da Remuneração, conforme Anexo XII da IN Seges nº 5/2017 (4,76%+0,24% = 5,0%)</t>
    </r>
  </si>
  <si>
    <t>Módulo 4 - Custo de Reposição do Profissional Ausente</t>
  </si>
  <si>
    <t>Nota 1: Os itens que contemplam o módulo 4 se referem ao custo dos dias trabalhados pelo repositor/substituto quando o empregado alocado na prestação do serviço estiver ausente, conforme as previsões estabelecidas na legislação.</t>
  </si>
  <si>
    <t>Base de cálculo para o Custo de Reposição do Profissional Ausente (substituto): BCCPA = MÓDULO 1 + MÓDULO 2 + MÓDULO 3 - exceto o Afastamento Maternidade, pois que a Rem e o 13º são compensados pelo INSS  1.422,03</t>
  </si>
  <si>
    <t>MÓD 1 =</t>
  </si>
  <si>
    <r>
      <rPr>
        <b/>
        <sz val="11"/>
        <color indexed="12"/>
        <rFont val="Arial"/>
        <family val="2"/>
      </rPr>
      <t xml:space="preserve">MÓD 2 </t>
    </r>
    <r>
      <rPr>
        <b/>
        <sz val="9"/>
        <color indexed="12"/>
        <rFont val="Arial"/>
        <family val="2"/>
      </rPr>
      <t>(sem VA e VT)</t>
    </r>
    <r>
      <rPr>
        <b/>
        <sz val="11"/>
        <color indexed="12"/>
        <rFont val="Arial"/>
        <family val="2"/>
      </rPr>
      <t xml:space="preserve"> =</t>
    </r>
  </si>
  <si>
    <t xml:space="preserve"> </t>
  </si>
  <si>
    <t>MÓD 3=</t>
  </si>
  <si>
    <t>Submódulo 4.1 – Substituto nas Ausências Legais</t>
  </si>
  <si>
    <t>4.1</t>
  </si>
  <si>
    <t>Substituto nas Ausências Legais</t>
  </si>
  <si>
    <r>
      <rPr>
        <b/>
        <sz val="10"/>
        <rFont val="Arial"/>
        <family val="2"/>
      </rPr>
      <t xml:space="preserve">Substituto na cobertura de Férias                   </t>
    </r>
    <r>
      <rPr>
        <b/>
        <sz val="10"/>
        <color indexed="10"/>
        <rFont val="Arial"/>
        <family val="2"/>
      </rPr>
      <t xml:space="preserve"> Cálculo do valor = 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/12</t>
    </r>
  </si>
  <si>
    <r>
      <rPr>
        <b/>
        <sz val="10"/>
        <rFont val="Arial"/>
        <family val="2"/>
      </rPr>
      <t xml:space="preserve">Substituto na cobertura de Ausências Legais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/30)x1dia]/12</t>
    </r>
  </si>
  <si>
    <r>
      <rPr>
        <b/>
        <sz val="10"/>
        <rFont val="Arial"/>
        <family val="2"/>
      </rPr>
      <t xml:space="preserve">Substituto na cobertura deLicença-Paternidade                                   
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</si>
  <si>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rPr>
        <b/>
        <sz val="10"/>
        <rFont val="Arial"/>
        <family val="2"/>
      </rPr>
      <t xml:space="preserve">Substituto na cobertura de Ausência por acidente de trabalho           
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</si>
  <si>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r>
      <rPr>
        <b/>
        <sz val="10"/>
        <color indexed="8"/>
        <rFont val="Arial"/>
        <family val="2"/>
      </rPr>
      <t xml:space="preserve">Substituto na cobertura de Afastamento Maternidade 
</t>
    </r>
    <r>
      <rPr>
        <b/>
        <sz val="9"/>
        <color indexed="10"/>
        <rFont val="Arial"/>
        <family val="2"/>
      </rPr>
      <t>Cálculo do valor = {[(MÓD1 + MÓD1 / 3)/12 + (SUB2.2 + SUB2.3 - VA - VT + MÓD3)]  x (4/12)]} x 2%</t>
    </r>
  </si>
  <si>
    <r>
      <rPr>
        <b/>
        <sz val="10"/>
        <color indexed="8"/>
        <rFont val="Arial"/>
        <family val="2"/>
      </rPr>
      <t xml:space="preserve">Substituto na cobertura de Outras ausências (especificar)
Substituto na cobertura de Ausência por doença (incluído)
</t>
    </r>
    <r>
      <rPr>
        <b/>
        <sz val="10"/>
        <color indexed="10"/>
        <rFont val="Arial"/>
        <family val="2"/>
      </rPr>
      <t xml:space="preserve">Cálculo do valor = [(BCCPA)/30)x5dias]/12 
</t>
    </r>
    <r>
      <rPr>
        <b/>
        <sz val="10"/>
        <color indexed="12"/>
        <rFont val="Arial"/>
        <family val="2"/>
      </rPr>
      <t>Incluído por permissão da IN Seges nº 5/2017, Anexo VII-B, item 1.7, alíneas "b" e "c".5.</t>
    </r>
  </si>
  <si>
    <t>Submódulo 4.2 – Substituto na Intrajornada</t>
  </si>
  <si>
    <t xml:space="preserve">4.2 </t>
  </si>
  <si>
    <t>Substituto na Intrajornada</t>
  </si>
  <si>
    <t>Substituto na cobertura de Intervalo para repouso ou alimentação</t>
  </si>
  <si>
    <t>Incidência dos encargos do Submódulo 2.2 sobre o total do Submódulo 4.2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</si>
  <si>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</si>
  <si>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</si>
  <si>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</si>
  <si>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</si>
  <si>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</si>
  <si>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 xml:space="preserve">Uniformes </t>
  </si>
  <si>
    <t xml:space="preserve">Materiais </t>
  </si>
  <si>
    <t xml:space="preserve">Equipamentos </t>
  </si>
  <si>
    <t>Controle da jornada de trablho eletrônico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</si>
  <si>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</si>
  <si>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</si>
  <si>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</si>
  <si>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</si>
  <si>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</si>
  <si>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</si>
  <si>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</si>
  <si>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</si>
  <si>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</si>
  <si>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</si>
  <si>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</si>
  <si>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b/>
        <sz val="10"/>
        <rFont val="Arial"/>
        <family val="2"/>
      </rPr>
      <t xml:space="preserve">  a) Cofins  </t>
    </r>
    <r>
      <rPr>
        <sz val="10"/>
        <color indexed="10"/>
        <rFont val="Arial"/>
        <family val="2"/>
      </rPr>
      <t>(depende do regime de tributação - utilizada a hipótese de Lucro Real)</t>
    </r>
  </si>
  <si>
    <r>
      <rPr>
        <b/>
        <sz val="10"/>
        <rFont val="Arial"/>
        <family val="2"/>
      </rPr>
      <t xml:space="preserve">  b) PIS </t>
    </r>
    <r>
      <rPr>
        <sz val="10"/>
        <color indexed="10"/>
        <rFont val="Arial"/>
        <family val="2"/>
      </rPr>
      <t>(depende do regime de tributação - utilizada a hipótese de Lucro Real)</t>
    </r>
  </si>
  <si>
    <r>
      <rPr>
        <b/>
        <sz val="10"/>
        <rFont val="Arial"/>
        <family val="2"/>
      </rPr>
      <t xml:space="preserve"> c) IRPJ - </t>
    </r>
    <r>
      <rPr>
        <b/>
        <sz val="10"/>
        <color indexed="12"/>
        <rFont val="Arial"/>
        <family val="2"/>
      </rPr>
      <t>Em face dos Acórdãos TCU nº 950/2007-P e 205/2018-P, o licitante não pode cotar expressamente este tributo</t>
    </r>
  </si>
  <si>
    <r>
      <rPr>
        <b/>
        <sz val="10"/>
        <rFont val="Arial"/>
        <family val="2"/>
      </rPr>
      <t xml:space="preserve"> d) CSLL - </t>
    </r>
    <r>
      <rPr>
        <b/>
        <sz val="10"/>
        <color indexed="12"/>
        <rFont val="Arial"/>
        <family val="2"/>
      </rPr>
      <t>Em face dos Acórdãos TCU nº 950/2007-P e 205/2018-P, o licitante não pode cotar expressamente este tributo</t>
    </r>
  </si>
  <si>
    <t>C.2   Tributos Estaduais (especificar)</t>
  </si>
  <si>
    <t>C.3   Tributos Municipais (especificar):</t>
  </si>
  <si>
    <r>
      <rPr>
        <b/>
        <sz val="10"/>
        <rFont val="Arial"/>
        <family val="2"/>
      </rPr>
      <t xml:space="preserve">  a) ISS             </t>
    </r>
    <r>
      <rPr>
        <sz val="10"/>
        <color indexed="10"/>
        <rFont val="Arial"/>
        <family val="2"/>
      </rPr>
      <t xml:space="preserve"> (Lei Municipal de Sertão 1.735/2006)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</si>
  <si>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</si>
  <si>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</si>
  <si>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</si>
  <si>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</si>
  <si>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</si>
  <si>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</si>
  <si>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t xml:space="preserve">
2. QUADRO-RESUMO DO CUSTO POR EMPREGADO
</t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</si>
  <si>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</si>
  <si>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</si>
  <si>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</si>
  <si>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</si>
  <si>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</si>
  <si>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</si>
  <si>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</si>
  <si>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</si>
  <si>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>3.  COMPLEMENTO DOS SERVIÇOS DE LIMPEZA E CONSERVAÇÃO</t>
  </si>
  <si>
    <t>PREÇO MENSAL UNITÁRIO POR M² (metro quadrado)</t>
  </si>
  <si>
    <t>MÃO DE OBRA 
       ENCARREGADO / SERVENTE</t>
  </si>
  <si>
    <t>(1) 
PRODUTIVIDADE
(1/M²)</t>
  </si>
  <si>
    <t>(2)
PREÇO HOMEM-MÊS                   (R$)</t>
  </si>
  <si>
    <t>(1 X 2)
SUBTOTAL
(R$/M²)</t>
  </si>
  <si>
    <r>
      <rPr>
        <sz val="10"/>
        <rFont val="Arial"/>
        <family val="2"/>
      </rPr>
      <t xml:space="preserve">ENC. / Pisos acarpetados </t>
    </r>
    <r>
      <rPr>
        <sz val="10"/>
        <color indexed="25"/>
        <rFont val="Arial"/>
        <family val="2"/>
      </rPr>
      <t xml:space="preserve"> </t>
    </r>
    <r>
      <rPr>
        <sz val="10"/>
        <color indexed="10"/>
        <rFont val="Arial"/>
        <family val="2"/>
      </rPr>
      <t>= 1/(30** x 1000*)</t>
    </r>
  </si>
  <si>
    <r>
      <rPr>
        <sz val="10"/>
        <rFont val="Arial"/>
        <family val="2"/>
      </rPr>
      <t>SERV. / Pisos acarpetados</t>
    </r>
    <r>
      <rPr>
        <sz val="10"/>
        <color indexed="10"/>
        <rFont val="Arial"/>
        <family val="2"/>
      </rPr>
      <t xml:space="preserve"> = 1 / 1000*</t>
    </r>
  </si>
  <si>
    <t>TOTAL</t>
  </si>
  <si>
    <r>
      <rPr>
        <sz val="10"/>
        <rFont val="Arial"/>
        <family val="2"/>
      </rPr>
      <t>ENC. / Pisos frios</t>
    </r>
    <r>
      <rPr>
        <sz val="10"/>
        <color indexed="25"/>
        <rFont val="Arial"/>
        <family val="2"/>
      </rPr>
      <t xml:space="preserve"> </t>
    </r>
    <r>
      <rPr>
        <sz val="10"/>
        <color indexed="10"/>
        <rFont val="Arial"/>
        <family val="2"/>
      </rPr>
      <t>= 1/(30** x 1000*)</t>
    </r>
  </si>
  <si>
    <r>
      <rPr>
        <sz val="10"/>
        <rFont val="Arial"/>
        <family val="2"/>
      </rPr>
      <t xml:space="preserve">SERV. / Pisos frios </t>
    </r>
    <r>
      <rPr>
        <sz val="10"/>
        <color indexed="10"/>
        <rFont val="Arial"/>
        <family val="2"/>
      </rPr>
      <t>= 1 / 1000*</t>
    </r>
  </si>
  <si>
    <r>
      <rPr>
        <sz val="10"/>
        <rFont val="Arial"/>
        <family val="2"/>
      </rPr>
      <t>ENC. / Laboratórios</t>
    </r>
    <r>
      <rPr>
        <sz val="10"/>
        <color indexed="10"/>
        <rFont val="Arial"/>
        <family val="2"/>
      </rPr>
      <t xml:space="preserve"> = 1/(30** x 405*)</t>
    </r>
  </si>
  <si>
    <r>
      <rPr>
        <sz val="10"/>
        <rFont val="Arial"/>
        <family val="2"/>
      </rPr>
      <t>SERV. / Laboratórios</t>
    </r>
    <r>
      <rPr>
        <sz val="10"/>
        <color indexed="10"/>
        <rFont val="Arial"/>
        <family val="2"/>
      </rPr>
      <t xml:space="preserve"> = 1/405*</t>
    </r>
  </si>
  <si>
    <r>
      <rPr>
        <sz val="9"/>
        <rFont val="Arial"/>
        <family val="2"/>
      </rPr>
      <t xml:space="preserve">ENC. / Almoxaridados/galpões </t>
    </r>
    <r>
      <rPr>
        <sz val="9"/>
        <color indexed="10"/>
        <rFont val="Arial"/>
        <family val="2"/>
      </rPr>
      <t>= 1/(30**x 2000*)</t>
    </r>
  </si>
  <si>
    <r>
      <rPr>
        <sz val="9"/>
        <rFont val="Arial"/>
        <family val="2"/>
      </rPr>
      <t xml:space="preserve">SERV./Almoxaridados/galpões </t>
    </r>
    <r>
      <rPr>
        <sz val="9"/>
        <color indexed="10"/>
        <rFont val="Arial"/>
        <family val="2"/>
      </rPr>
      <t>= 1/2000*</t>
    </r>
  </si>
  <si>
    <r>
      <rPr>
        <sz val="10"/>
        <rFont val="Arial"/>
        <family val="2"/>
      </rPr>
      <t xml:space="preserve">ENC. / Oficinas </t>
    </r>
    <r>
      <rPr>
        <sz val="10"/>
        <color indexed="10"/>
        <rFont val="Arial"/>
        <family val="2"/>
      </rPr>
      <t>= 1/(30**x1500*)</t>
    </r>
  </si>
  <si>
    <r>
      <rPr>
        <sz val="10"/>
        <rFont val="Arial"/>
        <family val="2"/>
      </rPr>
      <t xml:space="preserve">SERV. / Oficinas </t>
    </r>
    <r>
      <rPr>
        <sz val="10"/>
        <color indexed="10"/>
        <rFont val="Arial"/>
        <family val="2"/>
      </rPr>
      <t>= 1/1500*</t>
    </r>
  </si>
  <si>
    <r>
      <rPr>
        <sz val="10"/>
        <rFont val="Arial"/>
        <family val="2"/>
      </rPr>
      <t xml:space="preserve">ENC. / Áreas com espaços livres - saguão, hall e salão </t>
    </r>
    <r>
      <rPr>
        <sz val="10"/>
        <color indexed="10"/>
        <rFont val="Arial"/>
        <family val="2"/>
      </rPr>
      <t>= 1/(30**x1250*)</t>
    </r>
  </si>
  <si>
    <r>
      <rPr>
        <sz val="10"/>
        <rFont val="Arial"/>
        <family val="2"/>
      </rPr>
      <t xml:space="preserve">SERV. / Áreas com espaços livres - saguão, hall e salão </t>
    </r>
    <r>
      <rPr>
        <sz val="10"/>
        <color indexed="10"/>
        <rFont val="Arial"/>
        <family val="2"/>
      </rPr>
      <t>= 1/1250*</t>
    </r>
  </si>
  <si>
    <r>
      <rPr>
        <b/>
        <sz val="10"/>
        <rFont val="Arial"/>
        <family val="2"/>
      </rPr>
      <t xml:space="preserve">ENC. / Banheiros </t>
    </r>
    <r>
      <rPr>
        <sz val="10"/>
        <color indexed="10"/>
        <rFont val="Arial"/>
        <family val="2"/>
      </rPr>
      <t>= 1(30**x250*)</t>
    </r>
  </si>
  <si>
    <r>
      <rPr>
        <b/>
        <sz val="10"/>
        <rFont val="Arial"/>
        <family val="2"/>
      </rPr>
      <t xml:space="preserve">SERV. / Banheiros </t>
    </r>
    <r>
      <rPr>
        <sz val="10"/>
        <color indexed="10"/>
        <rFont val="Arial"/>
        <family val="2"/>
      </rPr>
      <t>= 1/250*</t>
    </r>
  </si>
  <si>
    <t>P = produtividade de referência do trabalhador prevista no subitem 3.1</t>
  </si>
  <si>
    <t>MÃO DE OBRA
       ENCARREGADO / SERVENTE</t>
  </si>
  <si>
    <t>(1)
PRODUTIVIDADE
(1/M²)</t>
  </si>
  <si>
    <t>(2)
PREÇO HOMEM-MÊS
(R$)</t>
  </si>
  <si>
    <r>
      <rPr>
        <sz val="10"/>
        <rFont val="Arial"/>
        <family val="2"/>
      </rPr>
      <t xml:space="preserve">ENC. / Pisos pavimentados adjacentes/contíguos às edificações          </t>
    </r>
    <r>
      <rPr>
        <sz val="10"/>
        <color indexed="10"/>
        <rFont val="Arial"/>
        <family val="2"/>
      </rPr>
      <t xml:space="preserve">   = 1/(30** x 2250*)</t>
    </r>
  </si>
  <si>
    <t>30</t>
  </si>
  <si>
    <r>
      <rPr>
        <sz val="10"/>
        <rFont val="Arial"/>
        <family val="2"/>
      </rPr>
      <t xml:space="preserve">SERV. / Pisos pavimentados adjacentes/contíguos às edificações             </t>
    </r>
    <r>
      <rPr>
        <sz val="10"/>
        <color indexed="10"/>
        <rFont val="Arial"/>
        <family val="2"/>
      </rPr>
      <t>= 1/2250*</t>
    </r>
  </si>
  <si>
    <r>
      <rPr>
        <sz val="10"/>
        <rFont val="Arial"/>
        <family val="2"/>
      </rPr>
      <t>ENC. / Varrição de passeios e arruamentos</t>
    </r>
    <r>
      <rPr>
        <sz val="10"/>
        <color indexed="10"/>
        <rFont val="Arial"/>
        <family val="2"/>
      </rPr>
      <t xml:space="preserve">  = 1/(30** x 7500*)</t>
    </r>
  </si>
  <si>
    <r>
      <rPr>
        <sz val="10"/>
        <rFont val="Arial"/>
        <family val="2"/>
      </rPr>
      <t xml:space="preserve">SERV. / Varrição de passeios e arruamentos </t>
    </r>
    <r>
      <rPr>
        <sz val="10"/>
        <color indexed="10"/>
        <rFont val="Arial"/>
        <family val="2"/>
      </rPr>
      <t>= 1/7500*</t>
    </r>
  </si>
  <si>
    <r>
      <rPr>
        <sz val="10"/>
        <rFont val="Arial"/>
        <family val="2"/>
      </rPr>
      <t xml:space="preserve">ENC. / pátios e áreas verdes com alta frequência </t>
    </r>
    <r>
      <rPr>
        <sz val="10"/>
        <color indexed="10"/>
        <rFont val="Arial"/>
        <family val="2"/>
      </rPr>
      <t>= 1/(30** x 2250*)</t>
    </r>
  </si>
  <si>
    <r>
      <rPr>
        <sz val="10"/>
        <rFont val="Arial"/>
        <family val="2"/>
      </rPr>
      <t xml:space="preserve">SERV. / Pátios e áreas verdes com alta frequência </t>
    </r>
    <r>
      <rPr>
        <sz val="10"/>
        <color indexed="10"/>
        <rFont val="Arial"/>
        <family val="2"/>
      </rPr>
      <t>= 1/2250*</t>
    </r>
  </si>
  <si>
    <r>
      <rPr>
        <sz val="10"/>
        <rFont val="Arial"/>
        <family val="2"/>
      </rPr>
      <t xml:space="preserve">Enc. / Pátios e áreas verdes com média frequência </t>
    </r>
    <r>
      <rPr>
        <sz val="10"/>
        <color indexed="10"/>
        <rFont val="Arial"/>
        <family val="2"/>
      </rPr>
      <t>= 1/(30** x 2250*)</t>
    </r>
  </si>
  <si>
    <r>
      <rPr>
        <sz val="10"/>
        <rFont val="Arial"/>
        <family val="2"/>
      </rPr>
      <t xml:space="preserve">SERV. / Pátios e áreas verdes com média frequência </t>
    </r>
    <r>
      <rPr>
        <sz val="10"/>
        <color indexed="10"/>
        <rFont val="Arial"/>
        <family val="2"/>
      </rPr>
      <t>= 1/2250*</t>
    </r>
  </si>
  <si>
    <r>
      <rPr>
        <sz val="10"/>
        <rFont val="Arial"/>
        <family val="2"/>
      </rPr>
      <t xml:space="preserve">ENC. / Pátios e áreas verdes com baixa frequência </t>
    </r>
    <r>
      <rPr>
        <sz val="10"/>
        <color indexed="10"/>
        <rFont val="Arial"/>
        <family val="2"/>
      </rPr>
      <t>= 1/(30** x 2250*)</t>
    </r>
  </si>
  <si>
    <t>1</t>
  </si>
  <si>
    <r>
      <rPr>
        <sz val="10"/>
        <rFont val="Arial"/>
        <family val="2"/>
      </rPr>
      <t xml:space="preserve">SERV. / Pátios e áreas verdes com baixa frequência </t>
    </r>
    <r>
      <rPr>
        <sz val="10"/>
        <color indexed="10"/>
        <rFont val="Arial"/>
        <family val="2"/>
      </rPr>
      <t>= 1/2250*</t>
    </r>
  </si>
  <si>
    <r>
      <rPr>
        <sz val="10"/>
        <rFont val="Arial"/>
        <family val="2"/>
      </rPr>
      <t xml:space="preserve">ENC. / Coleta de detritos em pátio e áreas verdes com frequência diária </t>
    </r>
    <r>
      <rPr>
        <sz val="10"/>
        <color indexed="10"/>
        <rFont val="Arial"/>
        <family val="2"/>
      </rPr>
      <t>= 1/(30** x 100000*)</t>
    </r>
  </si>
  <si>
    <r>
      <rPr>
        <sz val="10"/>
        <rFont val="Arial"/>
        <family val="2"/>
      </rPr>
      <t xml:space="preserve">SERV. / Coleta de detritos em pátios e áreas verdes com frequência diária </t>
    </r>
    <r>
      <rPr>
        <sz val="10"/>
        <color indexed="10"/>
        <rFont val="Arial"/>
        <family val="2"/>
      </rPr>
      <t>= 1/100000*</t>
    </r>
  </si>
  <si>
    <t>P = produtividade de referência do trabalhador prevista no subitem 3.2</t>
  </si>
  <si>
    <r>
      <rPr>
        <b/>
        <sz val="9"/>
        <rFont val="Arial"/>
        <family val="2"/>
      </rPr>
      <t xml:space="preserve">MÃO DE OBRA 
       </t>
    </r>
    <r>
      <rPr>
        <b/>
        <sz val="8"/>
        <color indexed="8"/>
        <rFont val="Arial"/>
        <family val="2"/>
      </rPr>
      <t>ENCARREGADO / SERVENTE</t>
    </r>
  </si>
  <si>
    <t>(1)
PRODUTIVIDADE 
(1/M²)</t>
  </si>
  <si>
    <r>
      <rPr>
        <b/>
        <sz val="10"/>
        <rFont val="Arial"/>
        <family val="2"/>
      </rPr>
      <t xml:space="preserve">(2) FREQUÊNCIA NO </t>
    </r>
    <r>
      <rPr>
        <b/>
        <sz val="10"/>
        <color indexed="10"/>
        <rFont val="Arial"/>
        <family val="2"/>
      </rPr>
      <t xml:space="preserve">MÊS  </t>
    </r>
    <r>
      <rPr>
        <b/>
        <sz val="10"/>
        <rFont val="Arial"/>
        <family val="2"/>
      </rPr>
      <t xml:space="preserve">  (HORAS)      16 ***</t>
    </r>
  </si>
  <si>
    <r>
      <rPr>
        <b/>
        <sz val="10"/>
        <rFont val="Arial"/>
        <family val="2"/>
      </rPr>
      <t xml:space="preserve">(3)
 JORNADA DE TRABALHO NO </t>
    </r>
    <r>
      <rPr>
        <b/>
        <sz val="10"/>
        <color indexed="10"/>
        <rFont val="Arial"/>
        <family val="2"/>
      </rPr>
      <t xml:space="preserve">MÊS
</t>
    </r>
    <r>
      <rPr>
        <b/>
        <sz val="10"/>
        <rFont val="Arial"/>
        <family val="2"/>
      </rPr>
      <t xml:space="preserve"> (HORAS)</t>
    </r>
  </si>
  <si>
    <t>(4) 
= (1 X 2 X 3)
Ki****</t>
  </si>
  <si>
    <t>(5)
PREÇO HOMEM-MÊS 
(R$)</t>
  </si>
  <si>
    <t>(6) = (4 X 5)
 SUBTOTAL
 (R$/M²)</t>
  </si>
  <si>
    <t>ENC. / Face externa com exposição a situação de risco = 1/(30**x145)</t>
  </si>
  <si>
    <t>188,76</t>
  </si>
  <si>
    <t>SERV. / Face externa com exposição a situação de risco = 1/145*</t>
  </si>
  <si>
    <t>ENC. / Face externa sem exposição a situação de risco = 1/(30**x340*)</t>
  </si>
  <si>
    <t>SERV. / Face externa sem exposição a situação de risco = 1/340*</t>
  </si>
  <si>
    <r>
      <rPr>
        <sz val="10"/>
        <rFont val="Arial"/>
        <family val="2"/>
      </rPr>
      <t xml:space="preserve">ENC. / Face interna               </t>
    </r>
    <r>
      <rPr>
        <sz val="10"/>
        <color indexed="10"/>
        <rFont val="Arial"/>
        <family val="2"/>
      </rPr>
      <t>= 1/(30**x340)</t>
    </r>
  </si>
  <si>
    <r>
      <rPr>
        <sz val="10"/>
        <rFont val="Arial"/>
        <family val="2"/>
      </rPr>
      <t xml:space="preserve">SERV. / Face interna </t>
    </r>
    <r>
      <rPr>
        <sz val="10"/>
        <color indexed="10"/>
        <rFont val="Arial"/>
        <family val="2"/>
      </rPr>
      <t>= 1/340*</t>
    </r>
  </si>
  <si>
    <t>P = produtividade de referência do trabalhador prevista no subitem 3.3</t>
  </si>
  <si>
    <t>FACHADA ENVIDRAÇADA – FACE EXTERNA</t>
  </si>
  <si>
    <t>(1)
PRODUTIVIDADE (1/M²)</t>
  </si>
  <si>
    <r>
      <rPr>
        <sz val="10"/>
        <rFont val="Arial"/>
        <family val="2"/>
      </rPr>
      <t xml:space="preserve">(2) FREQUÊNCIA NO </t>
    </r>
    <r>
      <rPr>
        <b/>
        <sz val="10"/>
        <rFont val="Arial"/>
        <family val="2"/>
      </rPr>
      <t>MÊS</t>
    </r>
    <r>
      <rPr>
        <sz val="10"/>
        <rFont val="Arial"/>
        <family val="2"/>
      </rPr>
      <t xml:space="preserve"> (</t>
    </r>
    <r>
      <rPr>
        <strike/>
        <sz val="10"/>
        <color indexed="10"/>
        <rFont val="Arial"/>
        <family val="2"/>
      </rPr>
      <t xml:space="preserve">SEMESTRE) </t>
    </r>
    <r>
      <rPr>
        <sz val="10"/>
        <rFont val="Arial"/>
        <family val="2"/>
      </rPr>
      <t>(HORAS)  ***</t>
    </r>
  </si>
  <si>
    <r>
      <rPr>
        <sz val="10"/>
        <rFont val="Arial"/>
        <family val="2"/>
      </rPr>
      <t xml:space="preserve">(3)
JORNADA DE TRABALHO NO </t>
    </r>
    <r>
      <rPr>
        <b/>
        <sz val="10"/>
        <rFont val="Arial"/>
        <family val="2"/>
      </rPr>
      <t>SEMESTRE</t>
    </r>
    <r>
      <rPr>
        <sz val="10"/>
        <rFont val="Arial"/>
        <family val="2"/>
      </rPr>
      <t xml:space="preserve"> (HORAS)</t>
    </r>
  </si>
  <si>
    <t>(4) 
= (1 X 2 X 3)                               Ke****</t>
  </si>
  <si>
    <t>(5) PREÇO HOMEM-MÊS (R$)</t>
  </si>
  <si>
    <t>(4 X 5)
                  SUBTOTAL                      (R$/M²)</t>
  </si>
  <si>
    <r>
      <rPr>
        <sz val="10"/>
        <rFont val="Arial"/>
        <family val="2"/>
      </rPr>
      <t>Encarregado</t>
    </r>
    <r>
      <rPr>
        <sz val="10"/>
        <color indexed="10"/>
        <rFont val="Arial"/>
        <family val="2"/>
      </rPr>
      <t xml:space="preserve">      = 1/(4**x145*)</t>
    </r>
  </si>
  <si>
    <r>
      <rPr>
        <sz val="10"/>
        <rFont val="Arial"/>
        <family val="2"/>
      </rPr>
      <t xml:space="preserve">Servente
 </t>
    </r>
    <r>
      <rPr>
        <sz val="10"/>
        <color indexed="10"/>
        <rFont val="Arial"/>
        <family val="2"/>
      </rPr>
      <t>= 1/145*</t>
    </r>
  </si>
  <si>
    <t>P = produtividade de referência do trabalhador prevista no subitem 3.4</t>
  </si>
  <si>
    <t>ÁREA MÉDICO- HOSPITALAR E ASSEMELHADOS</t>
  </si>
  <si>
    <t>MÃO DE OBRA
ENCARREGADO / SERVENTE</t>
  </si>
  <si>
    <t>(2)
PREÇO HOMEM-MÊS        (R$)</t>
  </si>
  <si>
    <r>
      <rPr>
        <sz val="10"/>
        <rFont val="Arial"/>
        <family val="2"/>
      </rPr>
      <t xml:space="preserve">Encarregado </t>
    </r>
    <r>
      <rPr>
        <sz val="10"/>
        <color indexed="10"/>
        <rFont val="Arial"/>
        <family val="2"/>
      </rPr>
      <t>= 1(30** x 405*)</t>
    </r>
  </si>
  <si>
    <r>
      <rPr>
        <sz val="10"/>
        <rFont val="Arial"/>
        <family val="2"/>
      </rPr>
      <t xml:space="preserve">Servente </t>
    </r>
    <r>
      <rPr>
        <sz val="10"/>
        <color indexed="10"/>
        <rFont val="Arial"/>
        <family val="2"/>
      </rPr>
      <t>= 1/405*</t>
    </r>
  </si>
  <si>
    <t>P = produtividade de referência do trabalhador prevista no subitem 3.5</t>
  </si>
  <si>
    <r>
      <rPr>
        <sz val="9"/>
        <rFont val="Arial"/>
        <family val="2"/>
      </rPr>
      <t>* Caso as produtividades mínimas adotadas sejam diferentes, estes valores das planilhas, bem como os coeficientes deles decorrentes (Ki e</t>
    </r>
    <r>
      <rPr>
        <b/>
        <sz val="9"/>
        <rFont val="Arial"/>
        <family val="2"/>
      </rPr>
      <t xml:space="preserve"> Ke</t>
    </r>
    <r>
      <rPr>
        <sz val="9"/>
        <rFont val="Arial"/>
        <family val="2"/>
      </rPr>
      <t xml:space="preserve">) deverão ser adequados à nova situação.
** Caso a relação entre serventes e encarregado seja diferente, os valores das planilhas, bem como os coeficientes deles decorrentes (Ki e </t>
    </r>
    <r>
      <rPr>
        <b/>
        <sz val="9"/>
        <rFont val="Arial"/>
        <family val="2"/>
      </rPr>
      <t>Ke</t>
    </r>
    <r>
      <rPr>
        <sz val="9"/>
        <rFont val="Arial"/>
        <family val="2"/>
      </rPr>
      <t xml:space="preserve">) deverão ser adequados à nova situação.
*** Frequência sugerida em horas por mês. Caso a frequência adotada em horas, por mês ou semestre, seja diferente, os valores, bem como os coeficientes deles decorrentes (Ki e </t>
    </r>
    <r>
      <rPr>
        <b/>
        <sz val="9"/>
        <rFont val="Arial"/>
        <family val="2"/>
      </rPr>
      <t>Ke</t>
    </r>
    <r>
      <rPr>
        <sz val="9"/>
        <rFont val="Arial"/>
        <family val="2"/>
      </rPr>
      <t xml:space="preserve">) deverão ser adequados à nova situação. </t>
    </r>
    <r>
      <rPr>
        <sz val="14"/>
        <color indexed="10"/>
        <rFont val="Arial"/>
        <family val="2"/>
      </rPr>
      <t xml:space="preserve">(notas que devem ser retiradas da planilha) </t>
    </r>
  </si>
  <si>
    <t>4. VALOR MENSAL DOS SERVIÇOS</t>
  </si>
  <si>
    <t>TIPO DE ÁREA</t>
  </si>
  <si>
    <t>PREÇO MENSAL UNITÁRIO (R$/M²)</t>
  </si>
  <si>
    <t>ÁREA
(M²)</t>
  </si>
  <si>
    <t>SUBTOTAL
(R$)</t>
  </si>
  <si>
    <t xml:space="preserve">g) Áreas internas -  Banheiros </t>
  </si>
  <si>
    <t>b) Áreas externas - Varrição de passeios e arruamentos</t>
  </si>
  <si>
    <t>c) Área externa - Pátios e áreas verdes com alta frequência</t>
  </si>
  <si>
    <t>d) Áreas externas - Pátios e áreas verdes com média frequência</t>
  </si>
  <si>
    <t>e) Áreas externas - Pátios e áreas verdes com baixa frequência</t>
  </si>
  <si>
    <t>f) Áreas externas - Coleta de detritos em pátios e áreas verdes com frequência diária</t>
  </si>
  <si>
    <t>b) Áreas externas - Face externa sem exposição a situação de risco</t>
  </si>
  <si>
    <t>c) Áreas externas - Face interna</t>
  </si>
  <si>
    <t>TOTAL DA ESQUADRIA EXTERNA</t>
  </si>
  <si>
    <t>a) Fachadas envidraçadas</t>
  </si>
  <si>
    <t>TOTAL DA FACHADA ENVIDRAÇADA</t>
  </si>
  <si>
    <t>TOTAL DAS ÁREAS HOSPITALES E ASSEMELHADAS</t>
  </si>
  <si>
    <t>Valor mensal do serviço</t>
  </si>
  <si>
    <t>Número de meses do contrato</t>
  </si>
  <si>
    <r>
      <rPr>
        <b/>
        <sz val="14"/>
        <rFont val="Arial"/>
        <family val="2"/>
      </rP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</si>
  <si>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r>
      <rPr>
        <b/>
        <sz val="10"/>
        <rFont val="Arial"/>
        <family val="2"/>
      </rPr>
      <t xml:space="preserve">QUANTIDADE DE PESSOAL ALOCADO NA EXECUÇÃO CONTRATUAL (item 6.2.e do Anexo VII da IN nº 5/2017  e </t>
    </r>
    <r>
      <rPr>
        <b/>
        <sz val="10"/>
        <color indexed="10"/>
        <rFont val="Arial"/>
        <family val="2"/>
      </rPr>
      <t>item 6.5.4."e" do edital)</t>
    </r>
  </si>
  <si>
    <t>Tipo de Mão de Obra</t>
  </si>
  <si>
    <t>Quantidade de Pessoal</t>
  </si>
  <si>
    <t>Servente</t>
  </si>
  <si>
    <t>Encarregado</t>
  </si>
  <si>
    <r>
      <rPr>
        <b/>
        <sz val="10"/>
        <rFont val="Arial"/>
        <family val="2"/>
      </rPr>
      <t xml:space="preserve"> MATERIAIS, MÁQUINAS E EQUIPAMENTOS ALOCADOS NA EXECUÇÃO CONTRATUAL  (item 6.2.f do Anexo VII da IN nº 5/2017 </t>
    </r>
    <r>
      <rPr>
        <b/>
        <sz val="10"/>
        <color indexed="10"/>
        <rFont val="Arial"/>
        <family val="2"/>
      </rPr>
      <t xml:space="preserve"> e item 6.5.4.f do edital)</t>
    </r>
  </si>
  <si>
    <t>Especificação dos Materiais/Máquinas/Equipamentos</t>
  </si>
  <si>
    <t xml:space="preserve">Quantidade </t>
  </si>
  <si>
    <t>INSUMOS DIVERSOS</t>
  </si>
  <si>
    <t>Materiais de Limpeza – SANEANTES DOMISSANITÁRIOS</t>
  </si>
  <si>
    <t>Unidade</t>
  </si>
  <si>
    <t>Quantidade Mensal</t>
  </si>
  <si>
    <t>Quantidade Anual</t>
  </si>
  <si>
    <t>Valor Unitário</t>
  </si>
  <si>
    <t>Custo Anual</t>
  </si>
  <si>
    <t xml:space="preserve">Álcool, de 1ª qualidade, 70º </t>
  </si>
  <si>
    <t>litro</t>
  </si>
  <si>
    <t>Água sanitátria (2-2,5% de hipoclorito), galão de 5 lítros</t>
  </si>
  <si>
    <t>galão 5l</t>
  </si>
  <si>
    <t>Base seladora para pisos frios e porosos (incolor ou vermelha, conforme a necessidade) alto brilho, ação seladora, plastificante</t>
  </si>
  <si>
    <t>Desinfetante aroma intenso de pinho, galão de 5 litros</t>
  </si>
  <si>
    <t>Detergente de uso geral (sabão líquido), galão de 5 litros</t>
  </si>
  <si>
    <t>Detergente base ácido para desencardir pisos, paredes e vidraças, galão de 5 litros</t>
  </si>
  <si>
    <t>Sabão em barra, 400g</t>
  </si>
  <si>
    <t>unidade</t>
  </si>
  <si>
    <t>Saponáceo em pó, detergente com 300g</t>
  </si>
  <si>
    <t>CUSTO ANUAL DOS SANEANTES DOMISSANITÁRIOS</t>
  </si>
  <si>
    <t>CUSTO MENSAL DOS SANEANTES DOMISSANITÁRIOS</t>
  </si>
  <si>
    <t>UTENSÍLIOS</t>
  </si>
  <si>
    <t>Quantidade a disponibilizar</t>
  </si>
  <si>
    <t>Vida Útil   (em meses)</t>
  </si>
  <si>
    <t>Balde plástico, 10 litros</t>
  </si>
  <si>
    <t>Escova lava roupas oval madeira</t>
  </si>
  <si>
    <t>Escova lavatina de nylon bola s/suporte</t>
  </si>
  <si>
    <t>Refil mop úmido com rosca de engate sem plásico</t>
  </si>
  <si>
    <t>Esponja abrasiva, embalagem c/10 unidades</t>
  </si>
  <si>
    <t>pacote</t>
  </si>
  <si>
    <t>Esponja dupla face, embalagem c/10 unidades</t>
  </si>
  <si>
    <t>Mangueira de borracha ¾, rolo de 30m</t>
  </si>
  <si>
    <t>Pano de chão/saco alvejado, 45x70 cm</t>
  </si>
  <si>
    <t>Refil rodo limpa vidros 35 cm algodão</t>
  </si>
  <si>
    <t>undade</t>
  </si>
  <si>
    <t>Rodo base plástica e em E. V. A. Duplo,sem cabo</t>
  </si>
  <si>
    <t>Rodo passa cera base 30 cm, com espuma espessura de 5 cm (DALCIN) sem cabo</t>
  </si>
  <si>
    <t>Rodo com espuma bola 28 cm sem cabo</t>
  </si>
  <si>
    <t>Saco de lixo 100L, pacote com 10un, cor preta (suportar 30 kgs)</t>
  </si>
  <si>
    <t>Saco de lixo 50L, pacote com 10un, cor preta, (suportar 15 kgs)</t>
  </si>
  <si>
    <t>Vassoura nylon, sem cabo</t>
  </si>
  <si>
    <t xml:space="preserve">CUSTO ANUAL DOS UTENSÍLIOS </t>
  </si>
  <si>
    <t xml:space="preserve">CUSTO MENSAL DOS UTENSÍLIOS </t>
  </si>
  <si>
    <t>EQUIPAMENTOS</t>
  </si>
  <si>
    <t>Depreciação (em meses)</t>
  </si>
  <si>
    <t>Cabo extensor de alumínio, 3 metros, completo</t>
  </si>
  <si>
    <t xml:space="preserve">Engate rápido para lavadora </t>
  </si>
  <si>
    <t>Mangueira de jardim malha trançada 20 m</t>
  </si>
  <si>
    <t>Mangueira de jardim malha trançada 50 m</t>
  </si>
  <si>
    <t>Lava Jato alta pressão mínimo 2300lb</t>
  </si>
  <si>
    <t xml:space="preserve">CUSTO ANUAL DOS EQUIPAMENTOS </t>
  </si>
  <si>
    <t xml:space="preserve">CUSTO MENSAL DOS EQUIPAMENTOS </t>
  </si>
  <si>
    <t>UNIFORMES/EPI's</t>
  </si>
  <si>
    <t>Avental de PVC impermeável</t>
  </si>
  <si>
    <t>Blusa de lã</t>
  </si>
  <si>
    <t>Bota de borracha cano médio</t>
  </si>
  <si>
    <t>par</t>
  </si>
  <si>
    <t>Calça de brim operacional</t>
  </si>
  <si>
    <t>peça</t>
  </si>
  <si>
    <t>Camiseta gola redonda</t>
  </si>
  <si>
    <t xml:space="preserve">Capa de chuva </t>
  </si>
  <si>
    <t>Jaqueta forrada</t>
  </si>
  <si>
    <t>Luva de raspa de couro</t>
  </si>
  <si>
    <t>Luva látex cano longo</t>
  </si>
  <si>
    <t>Luva látex forrada com palma antiderrapante</t>
  </si>
  <si>
    <t>Máscara descartável para pó</t>
  </si>
  <si>
    <t>Meias de algodão (pacote com 3 unidades)</t>
  </si>
  <si>
    <t>Protetor solar FPS 200ml</t>
  </si>
  <si>
    <t>CUSTO ANUAL DOS UNIFORMES PARA 1 SERVENTE</t>
  </si>
  <si>
    <t>CUSTO MENSAL DOS UNIFORMES PARA 1 SERVENTE</t>
  </si>
  <si>
    <t>QUADRO RESUMO</t>
  </si>
  <si>
    <t>CUSTO ANUAL</t>
  </si>
  <si>
    <t>CUSTO MENSAL</t>
  </si>
  <si>
    <t>Custo Mensal por SERVENTE</t>
  </si>
  <si>
    <t xml:space="preserve">Materiais de Limpeza – SANEANTES DOMISSANITÁRIOS </t>
  </si>
  <si>
    <t>Materiais de Limpeza – UTENSÍLIOS</t>
  </si>
  <si>
    <t>MATERIAIS</t>
  </si>
  <si>
    <t>UNIFORMES</t>
  </si>
  <si>
    <t>TOTAIS</t>
  </si>
  <si>
    <t>Quantidade da mão de obra alocada na prestação dos serviços (informação oriunda da aba 'cálculo de serventes')</t>
  </si>
  <si>
    <t>OBS (1): os custos totais com materiais e equipamentos são fixos, qualquer que seja a produtividade adotada pois são fixados em função da área a ser limpa e conservada e não dependem do quantitativo de mão de obra utilizada.</t>
  </si>
  <si>
    <t xml:space="preserve">OBS (2): os custos totais com uniformes dependem do número de serventes, o qual varia de acordo com a produtividade adotada. </t>
  </si>
  <si>
    <t>OBS (3): a vida útil, os quantitativos e os preços dos insumos são apenas uma simulação feita para fins didáticos, sem o caráter de estudo técnico ou qualquer métrica, portanto não devem ser copiados, mas sim ajustados à realidade de cada contrato.</t>
  </si>
  <si>
    <t>MAPA COMPARATIVO - RELÓGIO PONTO</t>
  </si>
  <si>
    <t>ITEM</t>
  </si>
  <si>
    <t>POSTO</t>
  </si>
  <si>
    <t>Orçamento 1</t>
  </si>
  <si>
    <t>Orçamento 2</t>
  </si>
  <si>
    <t>Orçamento 3</t>
  </si>
  <si>
    <t>MÉDIA (A)</t>
  </si>
  <si>
    <t>Servente limpeza</t>
  </si>
  <si>
    <t>MAPA ELABORADO PELA SERVIDOR EDINETE R F CECCONELLO SIAPE 1827482</t>
  </si>
  <si>
    <t>SERTÃ/RS 10/10/2019</t>
  </si>
  <si>
    <t>MAPA DE VALORES</t>
  </si>
  <si>
    <t>Cotação 1 - Internet</t>
  </si>
  <si>
    <t>Cotação 2 - Internet</t>
  </si>
  <si>
    <t>Cotação - Média banco de preços (3 valores)</t>
  </si>
  <si>
    <t>MÉDIA FINAL</t>
  </si>
  <si>
    <t>Cotação - Média banco de preços</t>
  </si>
  <si>
    <t>Calçado fechado de segurançaa, impermeável e antiderrapante</t>
  </si>
  <si>
    <t>Máscara descartável para pó (caixa com 100 unidades)</t>
  </si>
  <si>
    <t>Sertão/RS, 10 de outubro de 2019.</t>
  </si>
  <si>
    <t>tipo de piso</t>
  </si>
  <si>
    <r>
      <rPr>
        <sz val="10"/>
        <rFont val="Arial"/>
        <family val="2"/>
      </rPr>
      <t xml:space="preserve">produtividade (m² /             serv x mês)    de 44h semanais    (8h diárias) </t>
    </r>
    <r>
      <rPr>
        <b/>
        <sz val="10"/>
        <color indexed="10"/>
        <rFont val="Arial"/>
        <family val="2"/>
      </rPr>
      <t>PREENCHER</t>
    </r>
  </si>
  <si>
    <r>
      <rPr>
        <sz val="10"/>
        <rFont val="Arial"/>
        <family val="2"/>
      </rPr>
      <t xml:space="preserve">área (m²) a ser contratada </t>
    </r>
    <r>
      <rPr>
        <b/>
        <sz val="10"/>
        <color indexed="12"/>
        <rFont val="Arial"/>
        <family val="2"/>
      </rPr>
      <t>PREENCHER</t>
    </r>
  </si>
  <si>
    <t>(1)                  número de empregados necessários para a execução da tarefa</t>
  </si>
  <si>
    <t xml:space="preserve">(2)                             exclusão dos empregados que cumprem integralmente a jornada diária  </t>
  </si>
  <si>
    <t>(3) empregado que cumprirá jornada diária menor</t>
  </si>
  <si>
    <t>(4)                   jornada diária em minutos do empregado que completará a execução da tarefa</t>
  </si>
  <si>
    <t>(5) Número de empregados que a contratada deverá alocar para a prestação dos serviços</t>
  </si>
  <si>
    <t>ÁREAS INTERNAS</t>
  </si>
  <si>
    <t>pisos acarpetados</t>
  </si>
  <si>
    <t>empregados com jornada diária de</t>
  </si>
  <si>
    <t xml:space="preserve">horas e mais </t>
  </si>
  <si>
    <t>empregado com jornada diária de</t>
  </si>
  <si>
    <t>minutos.</t>
  </si>
  <si>
    <t>pisos frios</t>
  </si>
  <si>
    <t>laboratórios</t>
  </si>
  <si>
    <t>almoxarifados/ galpões</t>
  </si>
  <si>
    <t>oficinas</t>
  </si>
  <si>
    <t>áreas com espaços livres - saguão, hall e salão</t>
  </si>
  <si>
    <t>banheiros</t>
  </si>
  <si>
    <t>ÁREAS EXTERNAS</t>
  </si>
  <si>
    <t>pisos pavimentados adjacentes/contíguos às edificações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</si>
  <si>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</si>
  <si>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</si>
  <si>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</si>
  <si>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</si>
  <si>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 diária</t>
  </si>
  <si>
    <t>ESQUADRIAS EXTERNAS</t>
  </si>
  <si>
    <r>
      <rPr>
        <sz val="10"/>
        <rFont val="Arial"/>
        <family val="2"/>
      </rPr>
      <t xml:space="preserve">face externa </t>
    </r>
    <r>
      <rPr>
        <b/>
        <sz val="10"/>
        <rFont val="Arial"/>
        <family val="2"/>
      </rPr>
      <t>com</t>
    </r>
    <r>
      <rPr>
        <sz val="10"/>
        <rFont val="Arial"/>
        <family val="2"/>
      </rPr>
      <t xml:space="preserve"> exposição a situação de risco</t>
    </r>
  </si>
  <si>
    <r>
      <rPr>
        <sz val="10"/>
        <rFont val="Arial"/>
        <family val="2"/>
      </rPr>
      <t xml:space="preserve">face externa </t>
    </r>
    <r>
      <rPr>
        <b/>
        <sz val="10"/>
        <rFont val="Arial"/>
        <family val="2"/>
      </rPr>
      <t xml:space="preserve">sem </t>
    </r>
    <r>
      <rPr>
        <sz val="10"/>
        <rFont val="Arial"/>
        <family val="2"/>
      </rPr>
      <t>exposição a situação de risco</t>
    </r>
  </si>
  <si>
    <t>face interna</t>
  </si>
  <si>
    <t>FACHADAS ENVIDRAÇADAS</t>
  </si>
  <si>
    <t>fachadas envidraçadas</t>
  </si>
  <si>
    <t>ÁREAS HOSPITALARES E ASSEMELHADAS</t>
  </si>
  <si>
    <t>áreas hospitalares e assemelhadas</t>
  </si>
  <si>
    <t>TOTAL (TODAS AS ÁREAS NO MESMO PRÉDIO)</t>
  </si>
  <si>
    <t>Aproximadamente 
2,43 horas</t>
  </si>
  <si>
    <t>JORNADA DIÁRIA (HORAS)</t>
  </si>
  <si>
    <t>horas</t>
  </si>
  <si>
    <t>NÚMERO TOTAL DE SERVENTES EM JORNADA DE 8 HORAS</t>
  </si>
  <si>
    <t>Cálculo total do nº de serventes = (preço mensal dos serviços / valor do homem-mês) = R$ ----------- / ---------- = 10,36 = -------</t>
  </si>
  <si>
    <t>Notas Explicativas:</t>
  </si>
  <si>
    <t>1) coluna (5) - número de empregados necessários para a execução da tarefa: cada número inteiro significa um empregado. Quando há fração significa que além dos empregados que cumprem integralmente a jornada diária contratada, é necessário empregado com jornada diária menor.</t>
  </si>
  <si>
    <r>
      <rPr>
        <sz val="14"/>
        <rFont val="Arial"/>
        <family val="2"/>
      </rPr>
      <t xml:space="preserve">3) A produtividade da </t>
    </r>
    <r>
      <rPr>
        <b/>
        <sz val="14"/>
        <rFont val="Arial"/>
        <family val="2"/>
      </rPr>
      <t>esquadria externa</t>
    </r>
    <r>
      <rPr>
        <sz val="14"/>
        <rFont val="Arial"/>
        <family val="2"/>
      </rPr>
      <t xml:space="preserve"> deve ser calculada considerando a metodologia de trabalho que, no Anexo VII-D da IN 5/17 que prevê incidência </t>
    </r>
    <r>
      <rPr>
        <b/>
        <sz val="14"/>
        <rFont val="Arial"/>
        <family val="2"/>
      </rPr>
      <t>quinzenal</t>
    </r>
    <r>
      <rPr>
        <sz val="14"/>
        <rFont val="Arial"/>
        <family val="2"/>
      </rPr>
      <t xml:space="preserve"> para a limpeza desse tipo de área. </t>
    </r>
  </si>
  <si>
    <r>
      <rPr>
        <sz val="14"/>
        <rFont val="Arial"/>
        <family val="2"/>
      </rPr>
      <t xml:space="preserve">4) A produtividade da </t>
    </r>
    <r>
      <rPr>
        <b/>
        <sz val="14"/>
        <rFont val="Arial"/>
        <family val="2"/>
      </rPr>
      <t>fachada envidraçada</t>
    </r>
    <r>
      <rPr>
        <sz val="14"/>
        <rFont val="Arial"/>
        <family val="2"/>
      </rPr>
      <t xml:space="preserve"> deve ser calculada considerando a metodologia de trabalho que, no Anexo VII-D da IN 5/17 que prevê incidência </t>
    </r>
    <r>
      <rPr>
        <b/>
        <sz val="14"/>
        <rFont val="Arial"/>
        <family val="2"/>
      </rPr>
      <t>semestral</t>
    </r>
    <r>
      <rPr>
        <sz val="14"/>
        <rFont val="Arial"/>
        <family val="2"/>
      </rPr>
      <t xml:space="preserve"> para a limpeza desse tipo de área. </t>
    </r>
  </si>
  <si>
    <t>Observações:</t>
  </si>
  <si>
    <t>Deve ser preenchida uma planilha para cada local de prestação de serviços (ISSQN, VT, VA, Insalubridade/periculosidade e horários poderão ser diferenciados, além da quantidade de serventes)</t>
  </si>
  <si>
    <t>Preencher somente as células das seguintes colunas: C (produtividade) e D (área)</t>
  </si>
  <si>
    <t xml:space="preserve">Se as áreas se localizarem em prédios/locais diferentes, cada linha trará o seu próprio totalizador. </t>
  </si>
  <si>
    <t xml:space="preserve"> Em destaque  o número de empregados que a contratada deve disponibilizar para a prestação dos serviços tarefa a tarefa, em cada tipo de área, com suas respectivas jornadas diárias.</t>
  </si>
  <si>
    <t xml:space="preserve">Área Interna 1ª linha - Metodologia - Coluna 5 = (2.000 / 800) = 2,5 empregados                                               Coluna 8 = 0,5 x 8 horas x 60 minutos = 240 minutos </t>
  </si>
  <si>
    <t>Esquadrias Externas 1ª linha - Metodologia - Coluna 5 = (100/130)*(16/188,76) = 0,06520286 empregados             Coluna 8 = 0,06520286 x 8 horas x 60 minutos = 31,2973739547 minutos (deveria ser semestral e não quinzenal)</t>
  </si>
  <si>
    <t xml:space="preserve">Fachadas Envidraçadas - Metodologia - Coluna 5 = (70/130)*(8/1132,6) =  0,003803366      Coluna 8 = 0,003803366  x 8 horas x 60 minutos = 1,8256156699 minutos </t>
  </si>
  <si>
    <t>Cálculo total do nº de serventes = (preço mensal dos serviços / valor do homem-mês)</t>
  </si>
  <si>
    <t xml:space="preserve">Planilha desenvolvida por Diógenes Felipe Fuques Carvalho (DRF-Santa Maria/RS) e José Hélio Justo (Superintendência da RFB da 10ª RF / Porto Alegre) </t>
  </si>
  <si>
    <t xml:space="preserve">Mapa elaborado pela servidora Edinete R F Cecconello - SIAPE 1827482 </t>
  </si>
  <si>
    <t>Calçado fechado de segurança, impermeável e antiderrapante (qualidade similiar ou superior BRACOL CA 38590)</t>
  </si>
  <si>
    <r>
      <t xml:space="preserve">produtividade (m² /             serv x mês)    de 44h semanais    (8h diárias) </t>
    </r>
    <r>
      <rPr>
        <b/>
        <sz val="9"/>
        <color indexed="10"/>
        <rFont val="Arial"/>
        <family val="2"/>
      </rPr>
      <t>PREENCHER</t>
    </r>
  </si>
  <si>
    <r>
      <t xml:space="preserve">área (m²) a ser contratada </t>
    </r>
    <r>
      <rPr>
        <b/>
        <sz val="9"/>
        <color indexed="12"/>
        <rFont val="Arial"/>
        <family val="2"/>
      </rPr>
      <t>PREENCHER</t>
    </r>
  </si>
  <si>
    <r>
      <t xml:space="preserve">face externa </t>
    </r>
    <r>
      <rPr>
        <b/>
        <sz val="9"/>
        <rFont val="Arial"/>
        <family val="2"/>
      </rPr>
      <t>com</t>
    </r>
    <r>
      <rPr>
        <sz val="9"/>
        <rFont val="Arial"/>
        <family val="2"/>
      </rPr>
      <t xml:space="preserve"> exposição a situação de risco</t>
    </r>
  </si>
  <si>
    <r>
      <t xml:space="preserve">face externa </t>
    </r>
    <r>
      <rPr>
        <b/>
        <sz val="9"/>
        <rFont val="Arial"/>
        <family val="2"/>
      </rPr>
      <t xml:space="preserve">sem </t>
    </r>
    <r>
      <rPr>
        <sz val="9"/>
        <rFont val="Arial"/>
        <family val="2"/>
      </rPr>
      <t>exposição a situação de risco</t>
    </r>
  </si>
  <si>
    <r>
      <t xml:space="preserve">3) A produtividade da </t>
    </r>
    <r>
      <rPr>
        <b/>
        <sz val="9"/>
        <rFont val="Arial"/>
        <family val="2"/>
      </rPr>
      <t>esquadria externa</t>
    </r>
    <r>
      <rPr>
        <sz val="9"/>
        <rFont val="Arial"/>
        <family val="2"/>
      </rPr>
      <t xml:space="preserve"> deve ser calculada considerando a metodologia de trabalho que, no Anexo VII-D da IN 5/17 que prevê incidência </t>
    </r>
    <r>
      <rPr>
        <b/>
        <sz val="9"/>
        <rFont val="Arial"/>
        <family val="2"/>
      </rPr>
      <t>quinzenal</t>
    </r>
    <r>
      <rPr>
        <sz val="9"/>
        <rFont val="Arial"/>
        <family val="2"/>
      </rPr>
      <t xml:space="preserve"> para a limpeza desse tipo de área. </t>
    </r>
  </si>
  <si>
    <r>
      <t xml:space="preserve">4) A produtividade da </t>
    </r>
    <r>
      <rPr>
        <b/>
        <sz val="9"/>
        <rFont val="Arial"/>
        <family val="2"/>
      </rPr>
      <t>fachada envidraçada</t>
    </r>
    <r>
      <rPr>
        <sz val="9"/>
        <rFont val="Arial"/>
        <family val="2"/>
      </rPr>
      <t xml:space="preserve"> deve ser calculada considerando a metodologia de trabalho que, no Anexo VII-D da IN 5/17 que prevê incidência </t>
    </r>
    <r>
      <rPr>
        <b/>
        <sz val="9"/>
        <rFont val="Arial"/>
        <family val="2"/>
      </rPr>
      <t>semestral</t>
    </r>
    <r>
      <rPr>
        <sz val="9"/>
        <rFont val="Arial"/>
        <family val="2"/>
      </rPr>
      <t xml:space="preserve"> para a limpeza desse tipo de área. </t>
    </r>
  </si>
  <si>
    <t>01/01/19 a 31/12/19 SEEAC/SINDASSEIO/RS 
(que engloba Sertão)</t>
  </si>
  <si>
    <r>
      <t xml:space="preserve">Dia: </t>
    </r>
    <r>
      <rPr>
        <b/>
        <sz val="10"/>
        <color indexed="10"/>
        <rFont val="Arial"/>
        <family val="2"/>
      </rPr>
      <t>//2019 às 09h30min</t>
    </r>
  </si>
  <si>
    <t>SERÃO NECESSÁRIOS APENAS 2 APARELHOS 2XR$ 3,14 = R$ 6,28/13 POSTOS =      R$ 0,48</t>
  </si>
  <si>
    <t>R$ 0,48 MENSAL</t>
  </si>
  <si>
    <r>
      <t xml:space="preserve">VIDA ÚTIL DO EQUIPAMENTO 5 ANOS </t>
    </r>
    <r>
      <rPr>
        <b/>
        <sz val="12"/>
        <rFont val="Arial"/>
        <family val="2"/>
      </rPr>
      <t xml:space="preserve">(B):                                       </t>
    </r>
  </si>
  <si>
    <r>
      <t xml:space="preserve">VALOR RESIDUAL </t>
    </r>
    <r>
      <rPr>
        <b/>
        <sz val="12"/>
        <rFont val="Arial"/>
        <family val="2"/>
      </rPr>
      <t>(C)</t>
    </r>
    <r>
      <rPr>
        <sz val="12"/>
        <rFont val="Arial"/>
        <family val="2"/>
      </rPr>
      <t xml:space="preserve"> = </t>
    </r>
    <r>
      <rPr>
        <b/>
        <sz val="12"/>
        <rFont val="Arial"/>
        <family val="2"/>
      </rPr>
      <t>A-10%</t>
    </r>
    <r>
      <rPr>
        <sz val="12"/>
        <rFont val="Arial"/>
        <family val="2"/>
      </rPr>
      <t xml:space="preserve">                    </t>
    </r>
  </si>
  <si>
    <r>
      <t xml:space="preserve">VALOR RESIDUAL/VIDA  ÚTIL </t>
    </r>
    <r>
      <rPr>
        <b/>
        <sz val="12"/>
        <rFont val="Arial"/>
        <family val="2"/>
      </rPr>
      <t xml:space="preserve">(D) = C/B                     </t>
    </r>
  </si>
  <si>
    <r>
      <t xml:space="preserve">VALOR FINAL </t>
    </r>
    <r>
      <rPr>
        <b/>
        <sz val="12"/>
        <color indexed="8"/>
        <rFont val="Arial"/>
        <family val="2"/>
      </rPr>
      <t>(E) =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D/12                    </t>
    </r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</si>
</sst>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dd/yyyy"/>
    <numFmt numFmtId="165" formatCode="_(* #,##0.00_);_(* \(#,##0.00\);_(* \-??_);_(@_)"/>
    <numFmt numFmtId="166" formatCode="[$R$-416]\ #,##0.00;[Red]\-[$R$-416]\ #,##0.00"/>
    <numFmt numFmtId="167" formatCode="0.0000"/>
    <numFmt numFmtId="168" formatCode="0.0000%"/>
    <numFmt numFmtId="169" formatCode="&quot;R$ &quot;#,##0.00"/>
    <numFmt numFmtId="170" formatCode="#,##0.00;[Red]#,##0.00"/>
    <numFmt numFmtId="171" formatCode="#,##0.0000000"/>
    <numFmt numFmtId="172" formatCode="0.0"/>
    <numFmt numFmtId="173" formatCode="_(&quot;R$ &quot;* #,##0.00_);_(&quot;R$ &quot;* \(#,##0.00\);_(&quot;R$ &quot;* \-??_);_(@_)"/>
    <numFmt numFmtId="174" formatCode="&quot;R$ &quot;#,##0.00;[Red]&quot;-R$ &quot;#,##0.00"/>
    <numFmt numFmtId="175" formatCode="0.000"/>
    <numFmt numFmtId="176" formatCode="[$-416]dddd\,\ d&quot; de &quot;mmmm&quot; de &quot;yyyy"/>
    <numFmt numFmtId="177" formatCode="&quot;R$&quot;\ #,##0.00"/>
    <numFmt numFmtId="178" formatCode="0.0000000"/>
    <numFmt numFmtId="179" formatCode="0.00000000"/>
    <numFmt numFmtId="180" formatCode="0.000000000"/>
    <numFmt numFmtId="181" formatCode="0.0000000000"/>
    <numFmt numFmtId="182" formatCode="0.000000"/>
    <numFmt numFmtId="183" formatCode="0.00000"/>
  </numFmts>
  <fonts count="9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2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9.5"/>
      <color indexed="10"/>
      <name val="Arial"/>
      <family val="2"/>
    </font>
    <font>
      <b/>
      <strike/>
      <sz val="10"/>
      <color indexed="21"/>
      <name val="Arial"/>
      <family val="2"/>
    </font>
    <font>
      <b/>
      <sz val="10"/>
      <color indexed="3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strike/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53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5"/>
      <color indexed="18"/>
      <name val="Arial"/>
      <family val="2"/>
    </font>
    <font>
      <b/>
      <sz val="12"/>
      <color indexed="18"/>
      <name val="Arial"/>
      <family val="2"/>
    </font>
    <font>
      <b/>
      <sz val="15"/>
      <color indexed="12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5"/>
      <color indexed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10" borderId="0" applyNumberFormat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34" borderId="4" applyNumberFormat="0" applyAlignment="0" applyProtection="0"/>
    <xf numFmtId="0" fontId="4" fillId="35" borderId="5" applyNumberFormat="0" applyAlignment="0" applyProtection="0"/>
    <xf numFmtId="0" fontId="78" fillId="0" borderId="6" applyNumberFormat="0" applyFill="0" applyAlignment="0" applyProtection="0"/>
    <xf numFmtId="0" fontId="5" fillId="0" borderId="7" applyNumberFormat="0" applyFill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9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80" fillId="47" borderId="4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48" borderId="0" applyNumberFormat="0" applyBorder="0" applyAlignment="0" applyProtection="0"/>
    <xf numFmtId="173" fontId="0" fillId="0" borderId="0" applyFill="0" applyBorder="0" applyAlignment="0" applyProtection="0"/>
    <xf numFmtId="42" fontId="0" fillId="0" borderId="0" applyFill="0" applyBorder="0" applyAlignment="0" applyProtection="0"/>
    <xf numFmtId="0" fontId="6" fillId="49" borderId="0" applyNumberFormat="0" applyBorder="0" applyAlignment="0" applyProtection="0"/>
    <xf numFmtId="0" fontId="84" fillId="50" borderId="0" applyNumberFormat="0" applyBorder="0" applyAlignment="0" applyProtection="0"/>
    <xf numFmtId="0" fontId="0" fillId="51" borderId="8" applyNumberFormat="0" applyFont="0" applyAlignment="0" applyProtection="0"/>
    <xf numFmtId="9" fontId="0" fillId="0" borderId="0" applyFill="0" applyBorder="0" applyAlignment="0" applyProtection="0"/>
    <xf numFmtId="0" fontId="85" fillId="34" borderId="9" applyNumberFormat="0" applyAlignment="0" applyProtection="0"/>
    <xf numFmtId="41" fontId="0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9" fillId="0" borderId="13" applyNumberFormat="0" applyFill="0" applyAlignment="0" applyProtection="0"/>
    <xf numFmtId="0" fontId="90" fillId="52" borderId="14" applyNumberFormat="0" applyAlignment="0" applyProtection="0"/>
    <xf numFmtId="165" fontId="0" fillId="0" borderId="0" applyFill="0" applyBorder="0" applyAlignment="0" applyProtection="0"/>
  </cellStyleXfs>
  <cellXfs count="407">
    <xf numFmtId="0" fontId="0" fillId="0" borderId="0" xfId="0" applyAlignment="1">
      <alignment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6" fillId="49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17" fillId="49" borderId="15" xfId="0" applyNumberFormat="1" applyFont="1" applyFill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4" fontId="17" fillId="0" borderId="15" xfId="95" applyNumberFormat="1" applyFont="1" applyFill="1" applyBorder="1" applyAlignment="1" applyProtection="1">
      <alignment horizontal="right" vertical="center"/>
      <protection/>
    </xf>
    <xf numFmtId="0" fontId="18" fillId="49" borderId="15" xfId="0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vertical="center"/>
    </xf>
    <xf numFmtId="10" fontId="16" fillId="0" borderId="15" xfId="0" applyNumberFormat="1" applyFont="1" applyFill="1" applyBorder="1" applyAlignment="1">
      <alignment vertical="center"/>
    </xf>
    <xf numFmtId="4" fontId="18" fillId="49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0" fontId="16" fillId="0" borderId="15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right" vertical="center"/>
    </xf>
    <xf numFmtId="4" fontId="16" fillId="49" borderId="15" xfId="0" applyNumberFormat="1" applyFont="1" applyFill="1" applyBorder="1" applyAlignment="1">
      <alignment horizontal="right" vertical="center"/>
    </xf>
    <xf numFmtId="0" fontId="18" fillId="49" borderId="15" xfId="0" applyFont="1" applyFill="1" applyBorder="1" applyAlignment="1">
      <alignment horizontal="center" vertical="center"/>
    </xf>
    <xf numFmtId="10" fontId="16" fillId="0" borderId="15" xfId="0" applyNumberFormat="1" applyFont="1" applyFill="1" applyBorder="1" applyAlignment="1">
      <alignment horizontal="right" vertical="center"/>
    </xf>
    <xf numFmtId="4" fontId="16" fillId="0" borderId="15" xfId="0" applyNumberFormat="1" applyFont="1" applyFill="1" applyBorder="1" applyAlignment="1">
      <alignment horizontal="right" vertical="center"/>
    </xf>
    <xf numFmtId="10" fontId="16" fillId="0" borderId="15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 wrapText="1"/>
    </xf>
    <xf numFmtId="9" fontId="16" fillId="0" borderId="15" xfId="0" applyNumberFormat="1" applyFont="1" applyBorder="1" applyAlignment="1">
      <alignment horizontal="left" vertical="center" wrapText="1"/>
    </xf>
    <xf numFmtId="167" fontId="16" fillId="0" borderId="15" xfId="0" applyNumberFormat="1" applyFont="1" applyBorder="1" applyAlignment="1">
      <alignment horizontal="left" vertical="center" wrapText="1"/>
    </xf>
    <xf numFmtId="168" fontId="16" fillId="0" borderId="15" xfId="0" applyNumberFormat="1" applyFont="1" applyBorder="1" applyAlignment="1">
      <alignment horizontal="right" vertical="center"/>
    </xf>
    <xf numFmtId="168" fontId="16" fillId="49" borderId="15" xfId="0" applyNumberFormat="1" applyFont="1" applyFill="1" applyBorder="1" applyAlignment="1">
      <alignment horizontal="right" vertical="center"/>
    </xf>
    <xf numFmtId="4" fontId="16" fillId="0" borderId="15" xfId="0" applyNumberFormat="1" applyFont="1" applyBorder="1" applyAlignment="1">
      <alignment horizontal="right" vertical="center"/>
    </xf>
    <xf numFmtId="169" fontId="17" fillId="0" borderId="15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 applyProtection="1">
      <alignment vertical="center"/>
      <protection/>
    </xf>
    <xf numFmtId="3" fontId="17" fillId="0" borderId="15" xfId="0" applyNumberFormat="1" applyFont="1" applyBorder="1" applyAlignment="1" applyProtection="1">
      <alignment vertical="center"/>
      <protection/>
    </xf>
    <xf numFmtId="10" fontId="17" fillId="0" borderId="15" xfId="0" applyNumberFormat="1" applyFont="1" applyBorder="1" applyAlignment="1" applyProtection="1">
      <alignment vertical="center"/>
      <protection/>
    </xf>
    <xf numFmtId="0" fontId="31" fillId="0" borderId="15" xfId="0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vertical="center"/>
    </xf>
    <xf numFmtId="10" fontId="17" fillId="0" borderId="15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right" vertical="center" wrapText="1"/>
    </xf>
    <xf numFmtId="170" fontId="16" fillId="49" borderId="15" xfId="0" applyNumberFormat="1" applyFont="1" applyFill="1" applyBorder="1" applyAlignment="1">
      <alignment horizontal="right" vertical="center" wrapText="1"/>
    </xf>
    <xf numFmtId="10" fontId="19" fillId="0" borderId="15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right" vertical="center" wrapText="1"/>
    </xf>
    <xf numFmtId="4" fontId="29" fillId="0" borderId="16" xfId="0" applyNumberFormat="1" applyFont="1" applyFill="1" applyBorder="1" applyAlignment="1">
      <alignment horizontal="left" vertical="center" wrapText="1"/>
    </xf>
    <xf numFmtId="0" fontId="29" fillId="53" borderId="16" xfId="0" applyFont="1" applyFill="1" applyBorder="1" applyAlignment="1">
      <alignment horizontal="right" vertical="center" wrapText="1"/>
    </xf>
    <xf numFmtId="4" fontId="29" fillId="0" borderId="16" xfId="0" applyNumberFormat="1" applyFont="1" applyFill="1" applyBorder="1" applyAlignment="1">
      <alignment horizontal="right" vertical="center" wrapText="1"/>
    </xf>
    <xf numFmtId="0" fontId="18" fillId="49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4" fontId="16" fillId="0" borderId="15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/>
    </xf>
    <xf numFmtId="4" fontId="16" fillId="49" borderId="15" xfId="0" applyNumberFormat="1" applyFont="1" applyFill="1" applyBorder="1" applyAlignment="1">
      <alignment horizontal="right"/>
    </xf>
    <xf numFmtId="4" fontId="18" fillId="49" borderId="15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4" fontId="16" fillId="49" borderId="15" xfId="0" applyNumberFormat="1" applyFont="1" applyFill="1" applyBorder="1" applyAlignment="1">
      <alignment horizontal="right" vertical="center" wrapText="1"/>
    </xf>
    <xf numFmtId="4" fontId="18" fillId="49" borderId="1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/>
    </xf>
    <xf numFmtId="10" fontId="17" fillId="0" borderId="15" xfId="0" applyNumberFormat="1" applyFont="1" applyBorder="1" applyAlignment="1">
      <alignment horizontal="center" vertical="center"/>
    </xf>
    <xf numFmtId="10" fontId="16" fillId="0" borderId="15" xfId="0" applyNumberFormat="1" applyFont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10" fontId="16" fillId="0" borderId="15" xfId="0" applyNumberFormat="1" applyFont="1" applyBorder="1" applyAlignment="1">
      <alignment horizontal="right" vertical="center" wrapText="1"/>
    </xf>
    <xf numFmtId="10" fontId="16" fillId="0" borderId="15" xfId="0" applyNumberFormat="1" applyFont="1" applyBorder="1" applyAlignment="1">
      <alignment horizontal="center" vertical="center" wrapText="1"/>
    </xf>
    <xf numFmtId="10" fontId="17" fillId="0" borderId="15" xfId="0" applyNumberFormat="1" applyFont="1" applyBorder="1" applyAlignment="1">
      <alignment horizontal="right" vertical="center"/>
    </xf>
    <xf numFmtId="4" fontId="17" fillId="0" borderId="15" xfId="0" applyNumberFormat="1" applyFont="1" applyBorder="1" applyAlignment="1">
      <alignment horizontal="right" vertical="center"/>
    </xf>
    <xf numFmtId="49" fontId="16" fillId="0" borderId="15" xfId="0" applyNumberFormat="1" applyFont="1" applyBorder="1" applyAlignment="1">
      <alignment horizontal="center" vertical="center" wrapText="1"/>
    </xf>
    <xf numFmtId="0" fontId="36" fillId="49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wrapText="1"/>
    </xf>
    <xf numFmtId="0" fontId="17" fillId="0" borderId="15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/>
    </xf>
    <xf numFmtId="0" fontId="16" fillId="49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left" wrapText="1"/>
    </xf>
    <xf numFmtId="49" fontId="34" fillId="0" borderId="15" xfId="0" applyNumberFormat="1" applyFont="1" applyBorder="1" applyAlignment="1">
      <alignment horizontal="center" vertical="center"/>
    </xf>
    <xf numFmtId="3" fontId="34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 wrapText="1"/>
    </xf>
    <xf numFmtId="171" fontId="17" fillId="0" borderId="15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17" fillId="0" borderId="15" xfId="0" applyFont="1" applyBorder="1" applyAlignment="1">
      <alignment horizontal="center"/>
    </xf>
    <xf numFmtId="4" fontId="17" fillId="49" borderId="15" xfId="0" applyNumberFormat="1" applyFont="1" applyFill="1" applyBorder="1" applyAlignment="1">
      <alignment horizontal="right" vertical="center"/>
    </xf>
    <xf numFmtId="0" fontId="0" fillId="49" borderId="15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34" fillId="0" borderId="15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170" fontId="17" fillId="0" borderId="15" xfId="0" applyNumberFormat="1" applyFont="1" applyBorder="1" applyAlignment="1">
      <alignment horizontal="center" vertical="center"/>
    </xf>
    <xf numFmtId="171" fontId="17" fillId="0" borderId="15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38" fontId="17" fillId="0" borderId="15" xfId="0" applyNumberFormat="1" applyFont="1" applyBorder="1" applyAlignment="1">
      <alignment horizontal="center"/>
    </xf>
    <xf numFmtId="170" fontId="17" fillId="0" borderId="15" xfId="0" applyNumberFormat="1" applyFont="1" applyBorder="1" applyAlignment="1">
      <alignment horizontal="center"/>
    </xf>
    <xf numFmtId="171" fontId="17" fillId="0" borderId="15" xfId="0" applyNumberFormat="1" applyFont="1" applyBorder="1" applyAlignment="1">
      <alignment/>
    </xf>
    <xf numFmtId="4" fontId="17" fillId="0" borderId="15" xfId="0" applyNumberFormat="1" applyFont="1" applyBorder="1" applyAlignment="1">
      <alignment/>
    </xf>
    <xf numFmtId="4" fontId="17" fillId="0" borderId="15" xfId="0" applyNumberFormat="1" applyFont="1" applyBorder="1" applyAlignment="1">
      <alignment horizontal="right"/>
    </xf>
    <xf numFmtId="0" fontId="17" fillId="0" borderId="15" xfId="0" applyNumberFormat="1" applyFont="1" applyBorder="1" applyAlignment="1">
      <alignment horizontal="center" wrapText="1"/>
    </xf>
    <xf numFmtId="39" fontId="16" fillId="0" borderId="15" xfId="0" applyNumberFormat="1" applyFont="1" applyBorder="1" applyAlignment="1">
      <alignment horizontal="right"/>
    </xf>
    <xf numFmtId="39" fontId="16" fillId="0" borderId="15" xfId="0" applyNumberFormat="1" applyFont="1" applyBorder="1" applyAlignment="1">
      <alignment horizontal="right" vertical="center"/>
    </xf>
    <xf numFmtId="39" fontId="17" fillId="49" borderId="15" xfId="0" applyNumberFormat="1" applyFont="1" applyFill="1" applyBorder="1" applyAlignment="1">
      <alignment horizontal="right"/>
    </xf>
    <xf numFmtId="4" fontId="16" fillId="0" borderId="15" xfId="0" applyNumberFormat="1" applyFont="1" applyBorder="1" applyAlignment="1">
      <alignment horizontal="right" wrapText="1"/>
    </xf>
    <xf numFmtId="39" fontId="17" fillId="49" borderId="15" xfId="0" applyNumberFormat="1" applyFont="1" applyFill="1" applyBorder="1" applyAlignment="1">
      <alignment horizontal="right" vertical="center"/>
    </xf>
    <xf numFmtId="39" fontId="17" fillId="0" borderId="15" xfId="0" applyNumberFormat="1" applyFont="1" applyBorder="1" applyAlignment="1">
      <alignment horizontal="right"/>
    </xf>
    <xf numFmtId="0" fontId="36" fillId="49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5" fontId="0" fillId="0" borderId="0" xfId="95" applyFont="1" applyFill="1" applyBorder="1" applyAlignment="1" applyProtection="1">
      <alignment horizontal="right" vertical="center"/>
      <protection/>
    </xf>
    <xf numFmtId="0" fontId="47" fillId="54" borderId="18" xfId="0" applyFont="1" applyFill="1" applyBorder="1" applyAlignment="1">
      <alignment horizontal="center" vertical="center" wrapText="1"/>
    </xf>
    <xf numFmtId="165" fontId="47" fillId="54" borderId="18" xfId="95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" fontId="0" fillId="0" borderId="18" xfId="95" applyNumberFormat="1" applyFont="1" applyFill="1" applyBorder="1" applyAlignment="1" applyProtection="1">
      <alignment horizontal="right" vertical="center"/>
      <protection/>
    </xf>
    <xf numFmtId="165" fontId="0" fillId="0" borderId="18" xfId="95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>
      <alignment horizontal="left" vertical="top" wrapText="1"/>
    </xf>
    <xf numFmtId="165" fontId="16" fillId="54" borderId="18" xfId="95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65" fontId="47" fillId="0" borderId="0" xfId="95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48" fillId="54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172" fontId="0" fillId="0" borderId="18" xfId="0" applyNumberFormat="1" applyFont="1" applyFill="1" applyBorder="1" applyAlignment="1">
      <alignment horizontal="center" vertical="center"/>
    </xf>
    <xf numFmtId="165" fontId="0" fillId="0" borderId="18" xfId="95" applyFont="1" applyFill="1" applyBorder="1" applyAlignment="1" applyProtection="1">
      <alignment horizontal="right" vertical="center"/>
      <protection/>
    </xf>
    <xf numFmtId="4" fontId="0" fillId="0" borderId="18" xfId="77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left" vertical="center" wrapText="1" shrinkToFit="1"/>
    </xf>
    <xf numFmtId="4" fontId="16" fillId="54" borderId="18" xfId="77" applyNumberFormat="1" applyFont="1" applyFill="1" applyBorder="1" applyAlignment="1" applyProtection="1">
      <alignment horizontal="right" vertical="center"/>
      <protection/>
    </xf>
    <xf numFmtId="4" fontId="16" fillId="54" borderId="18" xfId="95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vertical="center" wrapText="1"/>
    </xf>
    <xf numFmtId="4" fontId="16" fillId="54" borderId="18" xfId="0" applyNumberFormat="1" applyFont="1" applyFill="1" applyBorder="1" applyAlignment="1">
      <alignment vertical="center"/>
    </xf>
    <xf numFmtId="0" fontId="46" fillId="54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48" fillId="54" borderId="18" xfId="0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horizontal="right" vertical="center"/>
    </xf>
    <xf numFmtId="0" fontId="50" fillId="54" borderId="18" xfId="0" applyFont="1" applyFill="1" applyBorder="1" applyAlignment="1">
      <alignment vertical="center"/>
    </xf>
    <xf numFmtId="0" fontId="52" fillId="0" borderId="0" xfId="0" applyFont="1" applyAlignment="1">
      <alignment/>
    </xf>
    <xf numFmtId="174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169" fontId="16" fillId="0" borderId="15" xfId="0" applyNumberFormat="1" applyFont="1" applyBorder="1" applyAlignment="1">
      <alignment horizontal="center"/>
    </xf>
    <xf numFmtId="169" fontId="16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  <xf numFmtId="3" fontId="54" fillId="0" borderId="15" xfId="0" applyNumberFormat="1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55" fillId="49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49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6" fillId="53" borderId="18" xfId="0" applyFont="1" applyFill="1" applyBorder="1" applyAlignment="1">
      <alignment horizontal="center" vertical="center"/>
    </xf>
    <xf numFmtId="0" fontId="25" fillId="53" borderId="18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23" fillId="49" borderId="15" xfId="0" applyFont="1" applyFill="1" applyBorder="1" applyAlignment="1">
      <alignment horizontal="center" vertical="center" wrapText="1"/>
    </xf>
    <xf numFmtId="0" fontId="0" fillId="55" borderId="18" xfId="0" applyFont="1" applyFill="1" applyBorder="1" applyAlignment="1">
      <alignment horizontal="center" vertical="center"/>
    </xf>
    <xf numFmtId="177" fontId="0" fillId="0" borderId="0" xfId="95" applyNumberForma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4" fontId="0" fillId="55" borderId="18" xfId="95" applyNumberFormat="1" applyFont="1" applyFill="1" applyBorder="1" applyAlignment="1" applyProtection="1">
      <alignment horizontal="right" vertical="center"/>
      <protection/>
    </xf>
    <xf numFmtId="0" fontId="0" fillId="55" borderId="18" xfId="0" applyFont="1" applyFill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vertical="center"/>
    </xf>
    <xf numFmtId="3" fontId="34" fillId="0" borderId="15" xfId="0" applyNumberFormat="1" applyFont="1" applyBorder="1" applyAlignment="1">
      <alignment vertical="center"/>
    </xf>
    <xf numFmtId="3" fontId="33" fillId="0" borderId="15" xfId="0" applyNumberFormat="1" applyFont="1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1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vertical="center"/>
    </xf>
    <xf numFmtId="0" fontId="34" fillId="0" borderId="15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4" fillId="53" borderId="18" xfId="0" applyFont="1" applyFill="1" applyBorder="1" applyAlignment="1">
      <alignment horizontal="center" vertical="center"/>
    </xf>
    <xf numFmtId="0" fontId="36" fillId="53" borderId="18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16" fillId="49" borderId="17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16" fillId="0" borderId="18" xfId="0" applyFont="1" applyBorder="1" applyAlignment="1">
      <alignment horizontal="justify" wrapText="1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17" fillId="53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justify" vertical="center" wrapText="1"/>
    </xf>
    <xf numFmtId="4" fontId="45" fillId="0" borderId="15" xfId="0" applyNumberFormat="1" applyFont="1" applyBorder="1" applyAlignment="1">
      <alignment horizontal="right" vertical="center" wrapText="1"/>
    </xf>
    <xf numFmtId="0" fontId="16" fillId="49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wrapText="1"/>
    </xf>
    <xf numFmtId="4" fontId="16" fillId="0" borderId="15" xfId="0" applyNumberFormat="1" applyFont="1" applyBorder="1" applyAlignment="1">
      <alignment horizontal="right" vertical="center" wrapText="1"/>
    </xf>
    <xf numFmtId="0" fontId="43" fillId="0" borderId="15" xfId="0" applyFont="1" applyBorder="1" applyAlignment="1">
      <alignment horizontal="right" wrapText="1"/>
    </xf>
    <xf numFmtId="4" fontId="17" fillId="0" borderId="15" xfId="0" applyNumberFormat="1" applyFont="1" applyBorder="1" applyAlignment="1">
      <alignment horizontal="right" vertical="center" wrapText="1"/>
    </xf>
    <xf numFmtId="0" fontId="17" fillId="0" borderId="15" xfId="0" applyFont="1" applyBorder="1" applyAlignment="1">
      <alignment horizontal="right" wrapText="1"/>
    </xf>
    <xf numFmtId="0" fontId="16" fillId="0" borderId="15" xfId="0" applyFont="1" applyBorder="1" applyAlignment="1">
      <alignment horizontal="left"/>
    </xf>
    <xf numFmtId="4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0" fontId="17" fillId="49" borderId="15" xfId="0" applyFont="1" applyFill="1" applyBorder="1" applyAlignment="1">
      <alignment horizontal="right" wrapText="1"/>
    </xf>
    <xf numFmtId="4" fontId="17" fillId="49" borderId="15" xfId="0" applyNumberFormat="1" applyFont="1" applyFill="1" applyBorder="1" applyAlignment="1">
      <alignment horizontal="right" vertical="center" wrapText="1"/>
    </xf>
    <xf numFmtId="0" fontId="16" fillId="0" borderId="15" xfId="0" applyFont="1" applyBorder="1" applyAlignment="1">
      <alignment horizontal="justify" wrapText="1"/>
    </xf>
    <xf numFmtId="0" fontId="36" fillId="0" borderId="15" xfId="0" applyFont="1" applyBorder="1" applyAlignment="1">
      <alignment horizontal="left" wrapText="1"/>
    </xf>
    <xf numFmtId="4" fontId="16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16" fillId="49" borderId="15" xfId="0" applyFont="1" applyFill="1" applyBorder="1" applyAlignment="1">
      <alignment horizontal="center" vertical="center" wrapText="1"/>
    </xf>
    <xf numFmtId="0" fontId="16" fillId="49" borderId="15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left" vertical="center" wrapText="1"/>
    </xf>
    <xf numFmtId="2" fontId="17" fillId="0" borderId="1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right" vertical="center"/>
    </xf>
    <xf numFmtId="3" fontId="17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 wrapText="1"/>
    </xf>
    <xf numFmtId="0" fontId="23" fillId="49" borderId="15" xfId="0" applyFont="1" applyFill="1" applyBorder="1" applyAlignment="1">
      <alignment horizontal="center" vertical="center" wrapText="1"/>
    </xf>
    <xf numFmtId="0" fontId="0" fillId="49" borderId="15" xfId="0" applyFont="1" applyFill="1" applyBorder="1" applyAlignment="1">
      <alignment horizontal="center" vertical="top" wrapText="1"/>
    </xf>
    <xf numFmtId="0" fontId="34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right" vertical="center" wrapText="1"/>
    </xf>
    <xf numFmtId="3" fontId="34" fillId="0" borderId="15" xfId="0" applyNumberFormat="1" applyFont="1" applyBorder="1" applyAlignment="1">
      <alignment horizontal="center" vertical="center"/>
    </xf>
    <xf numFmtId="0" fontId="36" fillId="49" borderId="15" xfId="0" applyFont="1" applyFill="1" applyBorder="1" applyAlignment="1">
      <alignment horizontal="center" vertical="center" wrapText="1"/>
    </xf>
    <xf numFmtId="0" fontId="16" fillId="49" borderId="15" xfId="0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right" vertical="center" wrapText="1"/>
    </xf>
    <xf numFmtId="0" fontId="16" fillId="53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17" fillId="0" borderId="15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2" fontId="17" fillId="49" borderId="15" xfId="0" applyNumberFormat="1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right" vertical="center" wrapText="1"/>
    </xf>
    <xf numFmtId="2" fontId="17" fillId="0" borderId="15" xfId="0" applyNumberFormat="1" applyFont="1" applyBorder="1" applyAlignment="1">
      <alignment horizontal="right" vertical="center" wrapText="1"/>
    </xf>
    <xf numFmtId="0" fontId="36" fillId="53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49" fontId="16" fillId="49" borderId="15" xfId="0" applyNumberFormat="1" applyFont="1" applyFill="1" applyBorder="1" applyAlignment="1">
      <alignment horizontal="right" vertical="center" wrapText="1"/>
    </xf>
    <xf numFmtId="0" fontId="25" fillId="49" borderId="15" xfId="0" applyFont="1" applyFill="1" applyBorder="1" applyAlignment="1">
      <alignment horizontal="left" vertical="center"/>
    </xf>
    <xf numFmtId="49" fontId="16" fillId="0" borderId="15" xfId="0" applyNumberFormat="1" applyFont="1" applyBorder="1" applyAlignment="1">
      <alignment horizontal="left" vertical="center" wrapText="1"/>
    </xf>
    <xf numFmtId="0" fontId="16" fillId="53" borderId="15" xfId="0" applyFont="1" applyFill="1" applyBorder="1" applyAlignment="1">
      <alignment horizontal="center" vertical="center"/>
    </xf>
    <xf numFmtId="49" fontId="25" fillId="0" borderId="15" xfId="0" applyNumberFormat="1" applyFont="1" applyBorder="1" applyAlignment="1">
      <alignment horizontal="left" vertical="center" wrapText="1"/>
    </xf>
    <xf numFmtId="49" fontId="16" fillId="49" borderId="15" xfId="0" applyNumberFormat="1" applyFont="1" applyFill="1" applyBorder="1" applyAlignment="1">
      <alignment horizontal="left" vertical="center" wrapText="1"/>
    </xf>
    <xf numFmtId="0" fontId="16" fillId="49" borderId="15" xfId="0" applyFont="1" applyFill="1" applyBorder="1" applyAlignment="1">
      <alignment horizontal="right" vertical="center"/>
    </xf>
    <xf numFmtId="4" fontId="17" fillId="0" borderId="19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49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right" vertical="center"/>
    </xf>
    <xf numFmtId="0" fontId="18" fillId="49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53" borderId="15" xfId="0" applyFont="1" applyFill="1" applyBorder="1" applyAlignment="1">
      <alignment horizontal="left" vertical="center" wrapText="1"/>
    </xf>
    <xf numFmtId="0" fontId="29" fillId="53" borderId="16" xfId="0" applyFont="1" applyFill="1" applyBorder="1" applyAlignment="1">
      <alignment horizontal="justify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49" borderId="15" xfId="0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0" fillId="56" borderId="15" xfId="0" applyFont="1" applyFill="1" applyBorder="1" applyAlignment="1">
      <alignment horizontal="left" vertical="center" wrapText="1"/>
    </xf>
    <xf numFmtId="0" fontId="18" fillId="49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26" fillId="0" borderId="15" xfId="0" applyFont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166" fontId="26" fillId="0" borderId="15" xfId="0" applyNumberFormat="1" applyFont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/>
    </xf>
    <xf numFmtId="0" fontId="17" fillId="49" borderId="15" xfId="0" applyFont="1" applyFill="1" applyBorder="1" applyAlignment="1">
      <alignment horizontal="right" vertical="center"/>
    </xf>
    <xf numFmtId="0" fontId="17" fillId="49" borderId="15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right" vertical="center" wrapText="1"/>
    </xf>
    <xf numFmtId="2" fontId="16" fillId="0" borderId="15" xfId="0" applyNumberFormat="1" applyFont="1" applyBorder="1" applyAlignment="1">
      <alignment horizontal="right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6" fillId="49" borderId="15" xfId="0" applyNumberFormat="1" applyFont="1" applyFill="1" applyBorder="1" applyAlignment="1">
      <alignment horizontal="center" vertical="center" wrapText="1"/>
    </xf>
    <xf numFmtId="0" fontId="18" fillId="49" borderId="15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4" fontId="47" fillId="54" borderId="18" xfId="0" applyNumberFormat="1" applyFont="1" applyFill="1" applyBorder="1" applyAlignment="1">
      <alignment horizontal="right" vertical="center"/>
    </xf>
    <xf numFmtId="165" fontId="19" fillId="54" borderId="18" xfId="95" applyFont="1" applyFill="1" applyBorder="1" applyAlignment="1" applyProtection="1">
      <alignment horizontal="center" vertical="center"/>
      <protection/>
    </xf>
    <xf numFmtId="0" fontId="49" fillId="54" borderId="18" xfId="0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/>
    </xf>
    <xf numFmtId="165" fontId="0" fillId="0" borderId="18" xfId="95" applyFont="1" applyFill="1" applyBorder="1" applyAlignment="1" applyProtection="1">
      <alignment horizontal="center" vertical="center"/>
      <protection/>
    </xf>
    <xf numFmtId="4" fontId="16" fillId="54" borderId="18" xfId="0" applyNumberFormat="1" applyFont="1" applyFill="1" applyBorder="1" applyAlignment="1">
      <alignment horizontal="right" vertical="center"/>
    </xf>
    <xf numFmtId="165" fontId="16" fillId="54" borderId="18" xfId="95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right" vertical="center"/>
    </xf>
    <xf numFmtId="0" fontId="16" fillId="54" borderId="18" xfId="0" applyFont="1" applyFill="1" applyBorder="1" applyAlignment="1">
      <alignment horizontal="right" vertical="center"/>
    </xf>
    <xf numFmtId="0" fontId="48" fillId="54" borderId="18" xfId="0" applyFont="1" applyFill="1" applyBorder="1" applyAlignment="1">
      <alignment horizontal="center" vertical="center"/>
    </xf>
    <xf numFmtId="0" fontId="48" fillId="54" borderId="18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2" fillId="54" borderId="18" xfId="0" applyFont="1" applyFill="1" applyBorder="1" applyAlignment="1">
      <alignment horizontal="right" vertical="center" wrapText="1"/>
    </xf>
    <xf numFmtId="0" fontId="12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49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36" fillId="53" borderId="18" xfId="0" applyFont="1" applyFill="1" applyBorder="1" applyAlignment="1">
      <alignment horizontal="right" vertical="center"/>
    </xf>
    <xf numFmtId="0" fontId="36" fillId="57" borderId="18" xfId="0" applyFont="1" applyFill="1" applyBorder="1" applyAlignment="1">
      <alignment horizontal="right" vertical="center"/>
    </xf>
    <xf numFmtId="0" fontId="34" fillId="57" borderId="18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49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25" fillId="53" borderId="18" xfId="0" applyFont="1" applyFill="1" applyBorder="1" applyAlignment="1">
      <alignment horizontal="right" vertical="center"/>
    </xf>
    <xf numFmtId="0" fontId="25" fillId="57" borderId="18" xfId="0" applyFont="1" applyFill="1" applyBorder="1" applyAlignment="1">
      <alignment horizontal="right" vertical="center"/>
    </xf>
    <xf numFmtId="0" fontId="56" fillId="57" borderId="18" xfId="0" applyFont="1" applyFill="1" applyBorder="1" applyAlignment="1">
      <alignment horizontal="center" vertical="center"/>
    </xf>
    <xf numFmtId="0" fontId="25" fillId="49" borderId="21" xfId="0" applyFont="1" applyFill="1" applyBorder="1" applyAlignment="1">
      <alignment horizontal="center" vertical="center" wrapText="1"/>
    </xf>
    <xf numFmtId="0" fontId="25" fillId="49" borderId="22" xfId="0" applyFont="1" applyFill="1" applyBorder="1" applyAlignment="1">
      <alignment horizontal="center" vertical="center" wrapText="1"/>
    </xf>
    <xf numFmtId="0" fontId="25" fillId="49" borderId="21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174" fontId="55" fillId="0" borderId="24" xfId="0" applyNumberFormat="1" applyFont="1" applyBorder="1" applyAlignment="1">
      <alignment horizontal="center" vertical="center" wrapText="1"/>
    </xf>
    <xf numFmtId="174" fontId="55" fillId="0" borderId="21" xfId="0" applyNumberFormat="1" applyFont="1" applyBorder="1" applyAlignment="1">
      <alignment horizontal="center" vertical="center" wrapText="1"/>
    </xf>
    <xf numFmtId="174" fontId="55" fillId="0" borderId="25" xfId="0" applyNumberFormat="1" applyFont="1" applyBorder="1" applyAlignment="1">
      <alignment/>
    </xf>
    <xf numFmtId="0" fontId="55" fillId="0" borderId="21" xfId="0" applyFont="1" applyBorder="1" applyAlignment="1">
      <alignment horizontal="right" vertical="center" wrapText="1"/>
    </xf>
    <xf numFmtId="0" fontId="55" fillId="0" borderId="21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right" vertical="center" wrapText="1"/>
    </xf>
    <xf numFmtId="174" fontId="25" fillId="0" borderId="21" xfId="0" applyNumberFormat="1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center"/>
    </xf>
  </cellXfs>
  <cellStyles count="8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Cor1" xfId="27"/>
    <cellStyle name="40% - Cor2" xfId="28"/>
    <cellStyle name="40% - Cor3" xfId="29"/>
    <cellStyle name="40% - Cor4" xfId="30"/>
    <cellStyle name="40% - Cor5" xfId="31"/>
    <cellStyle name="40% - Cor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Cor1" xfId="39"/>
    <cellStyle name="60% - Cor2" xfId="40"/>
    <cellStyle name="60% - Cor3" xfId="41"/>
    <cellStyle name="60% - Cor4" xfId="42"/>
    <cellStyle name="60% - Cor5" xfId="43"/>
    <cellStyle name="60% - Cor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Bom" xfId="51"/>
    <cellStyle name="Cabeçalho 1" xfId="52"/>
    <cellStyle name="Cabeçalho 2" xfId="53"/>
    <cellStyle name="Cabeçalho 3" xfId="54"/>
    <cellStyle name="Cabeçalho 4" xfId="55"/>
    <cellStyle name="Cálculo" xfId="56"/>
    <cellStyle name="Célula de Verificação" xfId="57"/>
    <cellStyle name="Célula Ligada" xfId="58"/>
    <cellStyle name="Célula Vinculada" xfId="59"/>
    <cellStyle name="Cor1" xfId="60"/>
    <cellStyle name="Cor2" xfId="61"/>
    <cellStyle name="Cor3" xfId="62"/>
    <cellStyle name="Cor4" xfId="63"/>
    <cellStyle name="Cor5" xfId="64"/>
    <cellStyle name="Cor6" xfId="65"/>
    <cellStyle name="Correto" xfId="66"/>
    <cellStyle name="Ênfase1" xfId="67"/>
    <cellStyle name="Ênfase2" xfId="68"/>
    <cellStyle name="Ênfase3" xfId="69"/>
    <cellStyle name="Ênfase4" xfId="70"/>
    <cellStyle name="Ênfase5" xfId="71"/>
    <cellStyle name="Ênfase6" xfId="72"/>
    <cellStyle name="Entrada" xfId="73"/>
    <cellStyle name="Hyperlink" xfId="74"/>
    <cellStyle name="Followed Hyperlink" xfId="75"/>
    <cellStyle name="Incorreto" xfId="76"/>
    <cellStyle name="Currency" xfId="77"/>
    <cellStyle name="Currency [0]" xfId="78"/>
    <cellStyle name="Neutra" xfId="79"/>
    <cellStyle name="Neutro" xfId="80"/>
    <cellStyle name="Nota" xfId="81"/>
    <cellStyle name="Percent" xfId="82"/>
    <cellStyle name="Saída" xfId="83"/>
    <cellStyle name="Comma [0]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ítulo 5" xfId="92"/>
    <cellStyle name="Total" xfId="93"/>
    <cellStyle name="Verificar Célula" xfId="94"/>
    <cellStyle name="Comma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9900"/>
      <rgbColor rgb="00C0C0C0"/>
      <rgbColor rgb="00808080"/>
      <rgbColor rgb="00B2B2B2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view="pageBreakPreview" zoomScaleSheetLayoutView="100" zoomScalePageLayoutView="0" workbookViewId="0" topLeftCell="A208">
      <selection activeCell="M159" sqref="M159"/>
    </sheetView>
  </sheetViews>
  <sheetFormatPr defaultColWidth="11.421875" defaultRowHeight="12.75"/>
  <cols>
    <col min="1" max="1" width="12.7109375" style="0" customWidth="1"/>
    <col min="2" max="6" width="11.421875" style="0" customWidth="1"/>
    <col min="7" max="7" width="13.00390625" style="0" customWidth="1"/>
  </cols>
  <sheetData>
    <row r="1" spans="1:10" ht="24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46.5" customHeight="1">
      <c r="A2" s="343" t="s">
        <v>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4.25" customHeight="1">
      <c r="A3" s="242" t="s">
        <v>2</v>
      </c>
      <c r="B3" s="242"/>
      <c r="C3" s="242"/>
      <c r="D3" s="242"/>
      <c r="E3" s="242"/>
      <c r="F3" s="242"/>
      <c r="G3" s="242"/>
      <c r="H3" s="344" t="s">
        <v>3</v>
      </c>
      <c r="I3" s="344"/>
      <c r="J3" s="344"/>
    </row>
    <row r="4" spans="1:10" ht="28.5" customHeight="1">
      <c r="A4" s="242" t="s">
        <v>4</v>
      </c>
      <c r="B4" s="242"/>
      <c r="C4" s="242"/>
      <c r="D4" s="242"/>
      <c r="E4" s="242"/>
      <c r="F4" s="242"/>
      <c r="G4" s="242"/>
      <c r="H4" s="344" t="s">
        <v>5</v>
      </c>
      <c r="I4" s="344"/>
      <c r="J4" s="344"/>
    </row>
    <row r="5" spans="1:10" ht="14.25" customHeight="1">
      <c r="A5" s="242" t="s">
        <v>457</v>
      </c>
      <c r="B5" s="242"/>
      <c r="C5" s="242"/>
      <c r="D5" s="242"/>
      <c r="E5" s="242"/>
      <c r="F5" s="242"/>
      <c r="G5" s="242"/>
      <c r="H5" s="242"/>
      <c r="I5" s="242"/>
      <c r="J5" s="242"/>
    </row>
    <row r="6" spans="1:10" ht="15.75" customHeight="1">
      <c r="A6" s="341" t="s">
        <v>6</v>
      </c>
      <c r="B6" s="341"/>
      <c r="C6" s="341"/>
      <c r="D6" s="341"/>
      <c r="E6" s="341"/>
      <c r="F6" s="341"/>
      <c r="G6" s="341"/>
      <c r="H6" s="341"/>
      <c r="I6" s="341"/>
      <c r="J6" s="341"/>
    </row>
    <row r="7" spans="1:10" ht="14.25" customHeight="1">
      <c r="A7" s="1" t="s">
        <v>7</v>
      </c>
      <c r="B7" s="242" t="s">
        <v>8</v>
      </c>
      <c r="C7" s="242"/>
      <c r="D7" s="242"/>
      <c r="E7" s="242"/>
      <c r="F7" s="242"/>
      <c r="G7" s="242"/>
      <c r="H7" s="336" t="s">
        <v>9</v>
      </c>
      <c r="I7" s="336"/>
      <c r="J7" s="336"/>
    </row>
    <row r="8" spans="1:10" ht="14.25" customHeight="1">
      <c r="A8" s="1" t="s">
        <v>10</v>
      </c>
      <c r="B8" s="242" t="s">
        <v>11</v>
      </c>
      <c r="C8" s="242"/>
      <c r="D8" s="242"/>
      <c r="E8" s="242"/>
      <c r="F8" s="242"/>
      <c r="G8" s="242"/>
      <c r="H8" s="336" t="s">
        <v>12</v>
      </c>
      <c r="I8" s="336"/>
      <c r="J8" s="336"/>
    </row>
    <row r="9" spans="1:10" ht="39" customHeight="1">
      <c r="A9" s="1" t="s">
        <v>13</v>
      </c>
      <c r="B9" s="242" t="s">
        <v>14</v>
      </c>
      <c r="C9" s="242"/>
      <c r="D9" s="242"/>
      <c r="E9" s="242"/>
      <c r="F9" s="242"/>
      <c r="G9" s="242"/>
      <c r="H9" s="336" t="s">
        <v>456</v>
      </c>
      <c r="I9" s="336"/>
      <c r="J9" s="336"/>
    </row>
    <row r="10" spans="1:10" ht="14.25" customHeight="1">
      <c r="A10" s="2" t="s">
        <v>15</v>
      </c>
      <c r="B10" s="337" t="s">
        <v>16</v>
      </c>
      <c r="C10" s="337"/>
      <c r="D10" s="337"/>
      <c r="E10" s="337"/>
      <c r="F10" s="337"/>
      <c r="G10" s="337"/>
      <c r="H10" s="338">
        <v>12</v>
      </c>
      <c r="I10" s="338"/>
      <c r="J10" s="338"/>
    </row>
    <row r="11" spans="1:10" ht="15.75" customHeight="1">
      <c r="A11" s="339" t="s">
        <v>17</v>
      </c>
      <c r="B11" s="339"/>
      <c r="C11" s="339"/>
      <c r="D11" s="339"/>
      <c r="E11" s="339"/>
      <c r="F11" s="339"/>
      <c r="G11" s="339"/>
      <c r="H11" s="339"/>
      <c r="I11" s="339"/>
      <c r="J11" s="339"/>
    </row>
    <row r="12" spans="1:10" ht="51" customHeight="1">
      <c r="A12" s="263" t="s">
        <v>18</v>
      </c>
      <c r="B12" s="263"/>
      <c r="C12" s="263"/>
      <c r="D12" s="263"/>
      <c r="E12" s="263"/>
      <c r="F12" s="263"/>
      <c r="G12" s="263" t="s">
        <v>19</v>
      </c>
      <c r="H12" s="263"/>
      <c r="I12" s="340" t="s">
        <v>20</v>
      </c>
      <c r="J12" s="340"/>
    </row>
    <row r="13" spans="1:10" ht="14.25" customHeight="1">
      <c r="A13" s="280" t="s">
        <v>21</v>
      </c>
      <c r="B13" s="280"/>
      <c r="C13" s="280"/>
      <c r="D13" s="280"/>
      <c r="E13" s="280"/>
      <c r="F13" s="280"/>
      <c r="G13" s="331" t="s">
        <v>22</v>
      </c>
      <c r="H13" s="331"/>
      <c r="I13" s="335">
        <v>348.7</v>
      </c>
      <c r="J13" s="335"/>
    </row>
    <row r="14" spans="1:10" ht="14.25" customHeight="1">
      <c r="A14" s="280" t="s">
        <v>23</v>
      </c>
      <c r="B14" s="280"/>
      <c r="C14" s="280"/>
      <c r="D14" s="280"/>
      <c r="E14" s="280"/>
      <c r="F14" s="280"/>
      <c r="G14" s="331" t="s">
        <v>22</v>
      </c>
      <c r="H14" s="331"/>
      <c r="I14" s="335">
        <v>9105.22</v>
      </c>
      <c r="J14" s="335"/>
    </row>
    <row r="15" spans="1:10" ht="14.25" customHeight="1">
      <c r="A15" s="280" t="s">
        <v>24</v>
      </c>
      <c r="B15" s="280"/>
      <c r="C15" s="280"/>
      <c r="D15" s="280"/>
      <c r="E15" s="280"/>
      <c r="F15" s="280"/>
      <c r="G15" s="331" t="s">
        <v>22</v>
      </c>
      <c r="H15" s="331"/>
      <c r="I15" s="335">
        <v>1194.32</v>
      </c>
      <c r="J15" s="335"/>
    </row>
    <row r="16" spans="1:10" ht="14.25" customHeight="1">
      <c r="A16" s="280" t="s">
        <v>25</v>
      </c>
      <c r="B16" s="280"/>
      <c r="C16" s="280"/>
      <c r="D16" s="280"/>
      <c r="E16" s="280"/>
      <c r="F16" s="280"/>
      <c r="G16" s="331" t="s">
        <v>22</v>
      </c>
      <c r="H16" s="331"/>
      <c r="I16" s="335">
        <v>257.32</v>
      </c>
      <c r="J16" s="335"/>
    </row>
    <row r="17" spans="1:10" ht="14.25" customHeight="1">
      <c r="A17" s="280" t="s">
        <v>26</v>
      </c>
      <c r="B17" s="280"/>
      <c r="C17" s="280"/>
      <c r="D17" s="280"/>
      <c r="E17" s="280"/>
      <c r="F17" s="280"/>
      <c r="G17" s="331" t="s">
        <v>22</v>
      </c>
      <c r="H17" s="331"/>
      <c r="I17" s="335">
        <v>0</v>
      </c>
      <c r="J17" s="335"/>
    </row>
    <row r="18" spans="1:10" ht="14.25" customHeight="1">
      <c r="A18" s="280" t="s">
        <v>27</v>
      </c>
      <c r="B18" s="280"/>
      <c r="C18" s="280"/>
      <c r="D18" s="280" t="s">
        <v>28</v>
      </c>
      <c r="E18" s="280" t="s">
        <v>29</v>
      </c>
      <c r="F18" s="280" t="s">
        <v>30</v>
      </c>
      <c r="G18" s="331" t="s">
        <v>22</v>
      </c>
      <c r="H18" s="331"/>
      <c r="I18" s="335">
        <v>2093.63</v>
      </c>
      <c r="J18" s="335"/>
    </row>
    <row r="19" spans="1:10" ht="27" customHeight="1">
      <c r="A19" s="332" t="s">
        <v>31</v>
      </c>
      <c r="B19" s="332"/>
      <c r="C19" s="332"/>
      <c r="D19" s="332"/>
      <c r="E19" s="332"/>
      <c r="F19" s="332"/>
      <c r="G19" s="333" t="s">
        <v>22</v>
      </c>
      <c r="H19" s="333"/>
      <c r="I19" s="334">
        <v>761.92</v>
      </c>
      <c r="J19" s="334"/>
    </row>
    <row r="20" spans="1:10" ht="14.25" customHeight="1">
      <c r="A20" s="330" t="s">
        <v>32</v>
      </c>
      <c r="B20" s="330"/>
      <c r="C20" s="330"/>
      <c r="D20" s="330"/>
      <c r="E20" s="330"/>
      <c r="F20" s="330"/>
      <c r="G20" s="330"/>
      <c r="H20" s="330"/>
      <c r="I20" s="258">
        <f>ROUND(I13+I14+I15+I16+I17+I18+I19,2)</f>
        <v>13761.11</v>
      </c>
      <c r="J20" s="258"/>
    </row>
    <row r="21" spans="1:10" ht="12.75">
      <c r="A21" s="298"/>
      <c r="B21" s="298"/>
      <c r="C21" s="298"/>
      <c r="D21" s="298"/>
      <c r="E21" s="298"/>
      <c r="F21" s="298"/>
      <c r="G21" s="298"/>
      <c r="H21" s="298"/>
      <c r="I21" s="298"/>
      <c r="J21" s="298"/>
    </row>
    <row r="22" spans="1:10" ht="14.25" customHeight="1">
      <c r="A22" s="280" t="s">
        <v>33</v>
      </c>
      <c r="B22" s="280"/>
      <c r="C22" s="280"/>
      <c r="D22" s="280"/>
      <c r="E22" s="280"/>
      <c r="F22" s="280"/>
      <c r="G22" s="280"/>
      <c r="H22" s="331" t="s">
        <v>22</v>
      </c>
      <c r="I22" s="331"/>
      <c r="J22" s="7">
        <v>1454.81</v>
      </c>
    </row>
    <row r="23" spans="1:10" ht="14.25" customHeight="1">
      <c r="A23" s="280" t="s">
        <v>34</v>
      </c>
      <c r="B23" s="280"/>
      <c r="C23" s="280"/>
      <c r="D23" s="280"/>
      <c r="E23" s="280"/>
      <c r="F23" s="280"/>
      <c r="G23" s="280"/>
      <c r="H23" s="240" t="s">
        <v>22</v>
      </c>
      <c r="I23" s="240"/>
      <c r="J23" s="7">
        <v>0</v>
      </c>
    </row>
    <row r="24" spans="1:10" ht="14.25" customHeight="1">
      <c r="A24" s="280" t="s">
        <v>35</v>
      </c>
      <c r="B24" s="280"/>
      <c r="C24" s="280"/>
      <c r="D24" s="280"/>
      <c r="E24" s="280"/>
      <c r="F24" s="280"/>
      <c r="G24" s="280"/>
      <c r="H24" s="331" t="s">
        <v>22</v>
      </c>
      <c r="I24" s="331"/>
      <c r="J24" s="7">
        <v>0</v>
      </c>
    </row>
    <row r="25" spans="1:10" ht="14.25" customHeight="1">
      <c r="A25" s="280" t="s">
        <v>36</v>
      </c>
      <c r="B25" s="280"/>
      <c r="C25" s="280"/>
      <c r="D25" s="280"/>
      <c r="E25" s="280"/>
      <c r="F25" s="280"/>
      <c r="G25" s="280"/>
      <c r="H25" s="240" t="s">
        <v>22</v>
      </c>
      <c r="I25" s="240"/>
      <c r="J25" s="7">
        <v>0</v>
      </c>
    </row>
    <row r="26" spans="1:10" ht="14.25" customHeight="1">
      <c r="A26" s="280" t="s">
        <v>37</v>
      </c>
      <c r="B26" s="280"/>
      <c r="C26" s="280"/>
      <c r="D26" s="280"/>
      <c r="E26" s="280"/>
      <c r="F26" s="280"/>
      <c r="G26" s="280"/>
      <c r="H26" s="240" t="s">
        <v>22</v>
      </c>
      <c r="I26" s="240"/>
      <c r="J26" s="7">
        <v>0</v>
      </c>
    </row>
    <row r="27" spans="1:10" ht="14.25" customHeight="1">
      <c r="A27" s="280" t="s">
        <v>38</v>
      </c>
      <c r="B27" s="280"/>
      <c r="C27" s="280"/>
      <c r="D27" s="280"/>
      <c r="E27" s="280"/>
      <c r="F27" s="280"/>
      <c r="G27" s="280"/>
      <c r="H27" s="331" t="s">
        <v>22</v>
      </c>
      <c r="I27" s="331"/>
      <c r="J27" s="7">
        <v>0</v>
      </c>
    </row>
    <row r="28" spans="1:10" ht="14.25" customHeight="1">
      <c r="A28" s="330" t="s">
        <v>39</v>
      </c>
      <c r="B28" s="330"/>
      <c r="C28" s="330"/>
      <c r="D28" s="330"/>
      <c r="E28" s="330"/>
      <c r="F28" s="330"/>
      <c r="G28" s="330"/>
      <c r="H28" s="330"/>
      <c r="I28" s="330"/>
      <c r="J28" s="6">
        <f>ROUND(J22+J23+J24+J25+J26+J27,2)</f>
        <v>1454.81</v>
      </c>
    </row>
    <row r="29" spans="1:10" ht="12.75">
      <c r="A29" s="298"/>
      <c r="B29" s="298"/>
      <c r="C29" s="298"/>
      <c r="D29" s="298"/>
      <c r="E29" s="298"/>
      <c r="F29" s="298"/>
      <c r="G29" s="298"/>
      <c r="H29" s="298"/>
      <c r="I29" s="298"/>
      <c r="J29" s="298"/>
    </row>
    <row r="30" spans="1:10" ht="14.25" customHeight="1">
      <c r="A30" s="280" t="s">
        <v>40</v>
      </c>
      <c r="B30" s="280"/>
      <c r="C30" s="280"/>
      <c r="D30" s="280"/>
      <c r="E30" s="280"/>
      <c r="F30" s="280"/>
      <c r="G30" s="280"/>
      <c r="H30" s="331" t="s">
        <v>22</v>
      </c>
      <c r="I30" s="331"/>
      <c r="J30" s="7">
        <v>470.61</v>
      </c>
    </row>
    <row r="31" spans="1:10" ht="14.25" customHeight="1">
      <c r="A31" s="280" t="s">
        <v>41</v>
      </c>
      <c r="B31" s="280"/>
      <c r="C31" s="280"/>
      <c r="D31" s="280"/>
      <c r="E31" s="280"/>
      <c r="F31" s="280"/>
      <c r="G31" s="280"/>
      <c r="H31" s="331" t="s">
        <v>22</v>
      </c>
      <c r="I31" s="331"/>
      <c r="J31" s="7">
        <v>1519.03</v>
      </c>
    </row>
    <row r="32" spans="1:10" ht="14.25" customHeight="1">
      <c r="A32" s="280" t="s">
        <v>42</v>
      </c>
      <c r="B32" s="280"/>
      <c r="C32" s="280"/>
      <c r="D32" s="280"/>
      <c r="E32" s="280"/>
      <c r="F32" s="280"/>
      <c r="G32" s="280"/>
      <c r="H32" s="331" t="s">
        <v>22</v>
      </c>
      <c r="I32" s="331"/>
      <c r="J32" s="7">
        <v>2264.59</v>
      </c>
    </row>
    <row r="33" spans="1:10" ht="12.75">
      <c r="A33" s="329" t="s">
        <v>43</v>
      </c>
      <c r="B33" s="329"/>
      <c r="C33" s="329"/>
      <c r="D33" s="329"/>
      <c r="E33" s="329"/>
      <c r="F33" s="329"/>
      <c r="G33" s="329"/>
      <c r="H33" s="329"/>
      <c r="I33" s="329"/>
      <c r="J33" s="6">
        <f>ROUND(J30+J31+J32,2)</f>
        <v>4254.23</v>
      </c>
    </row>
    <row r="34" spans="1:10" ht="12.75">
      <c r="A34" s="298"/>
      <c r="B34" s="298"/>
      <c r="C34" s="298"/>
      <c r="D34" s="298"/>
      <c r="E34" s="298"/>
      <c r="F34" s="298"/>
      <c r="G34" s="298"/>
      <c r="H34" s="298"/>
      <c r="I34" s="298"/>
      <c r="J34" s="298"/>
    </row>
    <row r="35" spans="1:10" ht="14.25" customHeight="1">
      <c r="A35" s="239" t="s">
        <v>44</v>
      </c>
      <c r="B35" s="239"/>
      <c r="C35" s="239"/>
      <c r="D35" s="239"/>
      <c r="E35" s="239"/>
      <c r="F35" s="239"/>
      <c r="G35" s="239"/>
      <c r="H35" s="331" t="s">
        <v>22</v>
      </c>
      <c r="I35" s="331"/>
      <c r="J35" s="7">
        <v>0</v>
      </c>
    </row>
    <row r="36" spans="1:10" ht="14.25" customHeight="1">
      <c r="A36" s="330" t="s">
        <v>45</v>
      </c>
      <c r="B36" s="330"/>
      <c r="C36" s="330"/>
      <c r="D36" s="330"/>
      <c r="E36" s="330"/>
      <c r="F36" s="330"/>
      <c r="G36" s="330"/>
      <c r="H36" s="330"/>
      <c r="I36" s="330"/>
      <c r="J36" s="6">
        <f>J35</f>
        <v>0</v>
      </c>
    </row>
    <row r="37" spans="1:10" ht="12.75">
      <c r="A37" s="298"/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ht="12.75">
      <c r="A38" s="239" t="s">
        <v>46</v>
      </c>
      <c r="B38" s="239"/>
      <c r="C38" s="239"/>
      <c r="D38" s="239"/>
      <c r="E38" s="239"/>
      <c r="F38" s="239"/>
      <c r="G38" s="239"/>
      <c r="H38" s="240" t="s">
        <v>22</v>
      </c>
      <c r="I38" s="240"/>
      <c r="J38" s="9">
        <v>80.79</v>
      </c>
    </row>
    <row r="39" spans="1:10" ht="12.75">
      <c r="A39" s="245" t="s">
        <v>47</v>
      </c>
      <c r="B39" s="245"/>
      <c r="C39" s="245"/>
      <c r="D39" s="245"/>
      <c r="E39" s="245"/>
      <c r="F39" s="245"/>
      <c r="G39" s="245"/>
      <c r="H39" s="245"/>
      <c r="I39" s="245"/>
      <c r="J39" s="6">
        <v>80.79</v>
      </c>
    </row>
    <row r="40" spans="1:10" ht="12.75">
      <c r="A40" s="298"/>
      <c r="B40" s="298"/>
      <c r="C40" s="298"/>
      <c r="D40" s="298"/>
      <c r="E40" s="298"/>
      <c r="F40" s="298"/>
      <c r="G40" s="298"/>
      <c r="H40" s="298"/>
      <c r="I40" s="298"/>
      <c r="J40" s="298"/>
    </row>
    <row r="41" spans="1:10" ht="12.75">
      <c r="A41" s="328" t="s">
        <v>48</v>
      </c>
      <c r="B41" s="328"/>
      <c r="C41" s="328"/>
      <c r="D41" s="328"/>
      <c r="E41" s="328"/>
      <c r="F41" s="328"/>
      <c r="G41" s="328"/>
      <c r="H41" s="240" t="s">
        <v>22</v>
      </c>
      <c r="I41" s="240"/>
      <c r="J41" s="10">
        <v>0</v>
      </c>
    </row>
    <row r="42" spans="1:10" ht="12.75">
      <c r="A42" s="329" t="s">
        <v>49</v>
      </c>
      <c r="B42" s="329"/>
      <c r="C42" s="329"/>
      <c r="D42" s="329"/>
      <c r="E42" s="329"/>
      <c r="F42" s="329"/>
      <c r="G42" s="329"/>
      <c r="H42" s="329"/>
      <c r="I42" s="329"/>
      <c r="J42" s="6">
        <v>0</v>
      </c>
    </row>
    <row r="43" spans="1:10" ht="12.75">
      <c r="A43" s="298"/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4.25" customHeight="1">
      <c r="A44" s="285" t="s">
        <v>50</v>
      </c>
      <c r="B44" s="285"/>
      <c r="C44" s="285"/>
      <c r="D44" s="285"/>
      <c r="E44" s="285"/>
      <c r="F44" s="285"/>
      <c r="G44" s="285"/>
      <c r="H44" s="285"/>
      <c r="I44" s="285"/>
      <c r="J44" s="11">
        <f>ROUND(I20+J28+J33+J36+J39,2)</f>
        <v>19550.94</v>
      </c>
    </row>
    <row r="45" spans="1:10" ht="12.75">
      <c r="A45" s="298"/>
      <c r="B45" s="298"/>
      <c r="C45" s="298"/>
      <c r="D45" s="298"/>
      <c r="E45" s="298"/>
      <c r="F45" s="298"/>
      <c r="G45" s="298"/>
      <c r="H45" s="298"/>
      <c r="I45" s="298"/>
      <c r="J45" s="298"/>
    </row>
    <row r="46" spans="1:10" ht="48" customHeight="1">
      <c r="A46" s="265" t="s">
        <v>51</v>
      </c>
      <c r="B46" s="265"/>
      <c r="C46" s="265"/>
      <c r="D46" s="265"/>
      <c r="E46" s="265"/>
      <c r="F46" s="265"/>
      <c r="G46" s="265"/>
      <c r="H46" s="265"/>
      <c r="I46" s="265"/>
      <c r="J46" s="265"/>
    </row>
    <row r="47" spans="1:10" ht="12.75">
      <c r="A47" s="298"/>
      <c r="B47" s="298"/>
      <c r="C47" s="298"/>
      <c r="D47" s="298"/>
      <c r="E47" s="298"/>
      <c r="F47" s="298"/>
      <c r="G47" s="298"/>
      <c r="H47" s="298"/>
      <c r="I47" s="298"/>
      <c r="J47" s="298"/>
    </row>
    <row r="48" spans="1:10" ht="48.75" customHeight="1">
      <c r="A48" s="326" t="s">
        <v>52</v>
      </c>
      <c r="B48" s="326"/>
      <c r="C48" s="326"/>
      <c r="D48" s="326"/>
      <c r="E48" s="326"/>
      <c r="F48" s="326"/>
      <c r="G48" s="326"/>
      <c r="H48" s="326"/>
      <c r="I48" s="326"/>
      <c r="J48" s="326"/>
    </row>
    <row r="49" spans="1:10" ht="12.75">
      <c r="A49" s="298"/>
      <c r="B49" s="298"/>
      <c r="C49" s="298"/>
      <c r="D49" s="298"/>
      <c r="E49" s="298"/>
      <c r="F49" s="298"/>
      <c r="G49" s="298"/>
      <c r="H49" s="298"/>
      <c r="I49" s="298"/>
      <c r="J49" s="298"/>
    </row>
    <row r="50" spans="1:10" ht="15.75" customHeight="1">
      <c r="A50" s="312" t="s">
        <v>53</v>
      </c>
      <c r="B50" s="312"/>
      <c r="C50" s="312"/>
      <c r="D50" s="312"/>
      <c r="E50" s="312"/>
      <c r="F50" s="312"/>
      <c r="G50" s="312"/>
      <c r="H50" s="312"/>
      <c r="I50" s="312"/>
      <c r="J50" s="312"/>
    </row>
    <row r="51" spans="1:10" ht="15.75" customHeight="1">
      <c r="A51" s="1">
        <v>1</v>
      </c>
      <c r="B51" s="242" t="s">
        <v>54</v>
      </c>
      <c r="C51" s="242"/>
      <c r="D51" s="242"/>
      <c r="E51" s="242"/>
      <c r="F51" s="242"/>
      <c r="G51" s="242"/>
      <c r="H51" s="324" t="s">
        <v>55</v>
      </c>
      <c r="I51" s="324"/>
      <c r="J51" s="324"/>
    </row>
    <row r="52" spans="1:10" ht="15.75" customHeight="1">
      <c r="A52" s="1">
        <v>2</v>
      </c>
      <c r="B52" s="242" t="s">
        <v>56</v>
      </c>
      <c r="C52" s="242"/>
      <c r="D52" s="242"/>
      <c r="E52" s="242"/>
      <c r="F52" s="242"/>
      <c r="G52" s="242"/>
      <c r="H52" s="324">
        <v>5143</v>
      </c>
      <c r="I52" s="324"/>
      <c r="J52" s="324"/>
    </row>
    <row r="53" spans="1:10" ht="15.75" customHeight="1">
      <c r="A53" s="1">
        <v>3</v>
      </c>
      <c r="B53" s="242" t="s">
        <v>57</v>
      </c>
      <c r="C53" s="242"/>
      <c r="D53" s="242"/>
      <c r="E53" s="242"/>
      <c r="F53" s="242"/>
      <c r="G53" s="242"/>
      <c r="H53" s="327">
        <v>1083.96</v>
      </c>
      <c r="I53" s="327"/>
      <c r="J53" s="327"/>
    </row>
    <row r="54" spans="1:10" ht="15.75" customHeight="1">
      <c r="A54" s="1">
        <v>4</v>
      </c>
      <c r="B54" s="242" t="s">
        <v>58</v>
      </c>
      <c r="C54" s="242"/>
      <c r="D54" s="242"/>
      <c r="E54" s="242"/>
      <c r="F54" s="242"/>
      <c r="G54" s="242"/>
      <c r="H54" s="324" t="s">
        <v>59</v>
      </c>
      <c r="I54" s="324"/>
      <c r="J54" s="324"/>
    </row>
    <row r="55" spans="1:10" ht="15.75" customHeight="1">
      <c r="A55" s="1">
        <v>5</v>
      </c>
      <c r="B55" s="242" t="s">
        <v>60</v>
      </c>
      <c r="C55" s="242"/>
      <c r="D55" s="242"/>
      <c r="E55" s="242"/>
      <c r="F55" s="242"/>
      <c r="G55" s="242"/>
      <c r="H55" s="324" t="s">
        <v>61</v>
      </c>
      <c r="I55" s="324"/>
      <c r="J55" s="324"/>
    </row>
    <row r="56" spans="1:10" ht="12.75">
      <c r="A56" s="298"/>
      <c r="B56" s="298"/>
      <c r="C56" s="298"/>
      <c r="D56" s="298"/>
      <c r="E56" s="298"/>
      <c r="F56" s="298"/>
      <c r="G56" s="298"/>
      <c r="H56" s="298"/>
      <c r="I56" s="298"/>
      <c r="J56" s="298"/>
    </row>
    <row r="57" spans="1:10" ht="27" customHeight="1">
      <c r="A57" s="325" t="s">
        <v>62</v>
      </c>
      <c r="B57" s="325"/>
      <c r="C57" s="325"/>
      <c r="D57" s="325"/>
      <c r="E57" s="325"/>
      <c r="F57" s="325"/>
      <c r="G57" s="325"/>
      <c r="H57" s="325"/>
      <c r="I57" s="325"/>
      <c r="J57" s="325"/>
    </row>
    <row r="58" spans="1:10" ht="12.75">
      <c r="A58" s="298"/>
      <c r="B58" s="298"/>
      <c r="C58" s="298"/>
      <c r="D58" s="298"/>
      <c r="E58" s="298"/>
      <c r="F58" s="298"/>
      <c r="G58" s="298"/>
      <c r="H58" s="298"/>
      <c r="I58" s="298"/>
      <c r="J58" s="298"/>
    </row>
    <row r="59" spans="1:10" ht="20.25" customHeight="1">
      <c r="A59" s="326" t="s">
        <v>63</v>
      </c>
      <c r="B59" s="326"/>
      <c r="C59" s="326"/>
      <c r="D59" s="326"/>
      <c r="E59" s="326"/>
      <c r="F59" s="326"/>
      <c r="G59" s="326"/>
      <c r="H59" s="326"/>
      <c r="I59" s="326"/>
      <c r="J59" s="326"/>
    </row>
    <row r="60" spans="1:10" ht="30" customHeight="1">
      <c r="A60" s="12">
        <v>1</v>
      </c>
      <c r="B60" s="312" t="s">
        <v>64</v>
      </c>
      <c r="C60" s="312"/>
      <c r="D60" s="312"/>
      <c r="E60" s="312"/>
      <c r="F60" s="312"/>
      <c r="G60" s="312"/>
      <c r="H60" s="312" t="s">
        <v>65</v>
      </c>
      <c r="I60" s="312"/>
      <c r="J60" s="12" t="s">
        <v>66</v>
      </c>
    </row>
    <row r="61" spans="1:10" ht="27" customHeight="1">
      <c r="A61" s="1" t="s">
        <v>7</v>
      </c>
      <c r="B61" s="242" t="s">
        <v>67</v>
      </c>
      <c r="C61" s="242"/>
      <c r="D61" s="242"/>
      <c r="E61" s="242"/>
      <c r="F61" s="242"/>
      <c r="G61" s="242"/>
      <c r="H61" s="242"/>
      <c r="I61" s="242"/>
      <c r="J61" s="13">
        <f>H53</f>
        <v>1083.96</v>
      </c>
    </row>
    <row r="62" spans="1:10" ht="24.75" customHeight="1">
      <c r="A62" s="1" t="s">
        <v>13</v>
      </c>
      <c r="B62" s="242" t="s">
        <v>68</v>
      </c>
      <c r="C62" s="242"/>
      <c r="D62" s="242"/>
      <c r="E62" s="242"/>
      <c r="F62" s="242"/>
      <c r="G62" s="242"/>
      <c r="H62" s="242"/>
      <c r="I62" s="14">
        <v>0.4</v>
      </c>
      <c r="J62" s="13">
        <f>ROUND(I62*J61,2)</f>
        <v>433.58</v>
      </c>
    </row>
    <row r="63" spans="1:10" ht="14.25" customHeight="1">
      <c r="A63" s="1" t="s">
        <v>69</v>
      </c>
      <c r="B63" s="242" t="s">
        <v>70</v>
      </c>
      <c r="C63" s="242"/>
      <c r="D63" s="242"/>
      <c r="E63" s="242"/>
      <c r="F63" s="242"/>
      <c r="G63" s="242"/>
      <c r="H63" s="242"/>
      <c r="I63" s="242"/>
      <c r="J63" s="13"/>
    </row>
    <row r="64" spans="1:10" ht="15.75" customHeight="1">
      <c r="A64" s="264" t="s">
        <v>71</v>
      </c>
      <c r="B64" s="264"/>
      <c r="C64" s="264"/>
      <c r="D64" s="264"/>
      <c r="E64" s="264"/>
      <c r="F64" s="264"/>
      <c r="G64" s="264"/>
      <c r="H64" s="264"/>
      <c r="I64" s="264"/>
      <c r="J64" s="15">
        <f>SUM(J61:J63)</f>
        <v>1517.54</v>
      </c>
    </row>
    <row r="65" spans="1:10" ht="12.75">
      <c r="A65" s="298"/>
      <c r="B65" s="298"/>
      <c r="C65" s="298"/>
      <c r="D65" s="298"/>
      <c r="E65" s="298"/>
      <c r="F65" s="298"/>
      <c r="G65" s="298"/>
      <c r="H65" s="298"/>
      <c r="I65" s="298"/>
      <c r="J65" s="298"/>
    </row>
    <row r="66" spans="1:10" ht="18.75" customHeight="1">
      <c r="A66" s="321" t="s">
        <v>72</v>
      </c>
      <c r="B66" s="321"/>
      <c r="C66" s="321"/>
      <c r="D66" s="321"/>
      <c r="E66" s="321"/>
      <c r="F66" s="321"/>
      <c r="G66" s="321"/>
      <c r="H66" s="321"/>
      <c r="I66" s="321"/>
      <c r="J66" s="321"/>
    </row>
    <row r="67" spans="1:10" ht="12.75">
      <c r="A67" s="298"/>
      <c r="B67" s="298"/>
      <c r="C67" s="298"/>
      <c r="D67" s="298"/>
      <c r="E67" s="298"/>
      <c r="F67" s="298"/>
      <c r="G67" s="298"/>
      <c r="H67" s="298"/>
      <c r="I67" s="298"/>
      <c r="J67" s="298"/>
    </row>
    <row r="68" spans="1:10" ht="15.75" customHeight="1">
      <c r="A68" s="309" t="s">
        <v>73</v>
      </c>
      <c r="B68" s="309"/>
      <c r="C68" s="309"/>
      <c r="D68" s="309"/>
      <c r="E68" s="309"/>
      <c r="F68" s="309"/>
      <c r="G68" s="309"/>
      <c r="H68" s="309"/>
      <c r="I68" s="309"/>
      <c r="J68" s="309"/>
    </row>
    <row r="69" spans="1:10" ht="15">
      <c r="A69" s="322" t="s">
        <v>74</v>
      </c>
      <c r="B69" s="322"/>
      <c r="C69" s="322"/>
      <c r="D69" s="322"/>
      <c r="E69" s="322"/>
      <c r="F69" s="322"/>
      <c r="G69" s="322"/>
      <c r="H69" s="322"/>
      <c r="I69" s="322"/>
      <c r="J69" s="322"/>
    </row>
    <row r="70" spans="1:10" ht="15">
      <c r="A70" s="16" t="s">
        <v>75</v>
      </c>
      <c r="B70" s="323" t="s">
        <v>76</v>
      </c>
      <c r="C70" s="323"/>
      <c r="D70" s="323"/>
      <c r="E70" s="323"/>
      <c r="F70" s="323"/>
      <c r="G70" s="323"/>
      <c r="H70" s="323"/>
      <c r="I70" s="323"/>
      <c r="J70" s="3" t="s">
        <v>77</v>
      </c>
    </row>
    <row r="71" spans="1:10" ht="27" customHeight="1">
      <c r="A71" s="17" t="s">
        <v>7</v>
      </c>
      <c r="B71" s="288" t="s">
        <v>78</v>
      </c>
      <c r="C71" s="288"/>
      <c r="D71" s="288"/>
      <c r="E71" s="288"/>
      <c r="F71" s="288"/>
      <c r="G71" s="288"/>
      <c r="H71" s="288"/>
      <c r="I71" s="18">
        <v>0.0833</v>
      </c>
      <c r="J71" s="19">
        <f>ROUND($J$64*I71,2)</f>
        <v>126.41</v>
      </c>
    </row>
    <row r="72" spans="1:10" ht="28.5" customHeight="1">
      <c r="A72" s="17" t="s">
        <v>10</v>
      </c>
      <c r="B72" s="313" t="s">
        <v>79</v>
      </c>
      <c r="C72" s="313"/>
      <c r="D72" s="313"/>
      <c r="E72" s="313"/>
      <c r="F72" s="313"/>
      <c r="G72" s="313"/>
      <c r="H72" s="313"/>
      <c r="I72" s="18">
        <v>0.027800000000000002</v>
      </c>
      <c r="J72" s="19">
        <f>ROUND($J$64*I72,2)</f>
        <v>42.19</v>
      </c>
    </row>
    <row r="73" spans="1:10" ht="12.75">
      <c r="A73" s="301" t="s">
        <v>80</v>
      </c>
      <c r="B73" s="301"/>
      <c r="C73" s="301"/>
      <c r="D73" s="301"/>
      <c r="E73" s="301"/>
      <c r="F73" s="301"/>
      <c r="G73" s="301"/>
      <c r="H73" s="301"/>
      <c r="I73" s="301"/>
      <c r="J73" s="20">
        <f>J71+J72</f>
        <v>168.6</v>
      </c>
    </row>
    <row r="74" spans="1:10" ht="12.75">
      <c r="A74" s="298"/>
      <c r="B74" s="298"/>
      <c r="C74" s="298"/>
      <c r="D74" s="298"/>
      <c r="E74" s="298"/>
      <c r="F74" s="298"/>
      <c r="G74" s="298"/>
      <c r="H74" s="298"/>
      <c r="I74" s="298"/>
      <c r="J74" s="298"/>
    </row>
    <row r="75" spans="1:10" ht="78" customHeight="1">
      <c r="A75" s="265" t="s">
        <v>81</v>
      </c>
      <c r="B75" s="265"/>
      <c r="C75" s="265"/>
      <c r="D75" s="265"/>
      <c r="E75" s="265"/>
      <c r="F75" s="265"/>
      <c r="G75" s="265"/>
      <c r="H75" s="265"/>
      <c r="I75" s="265"/>
      <c r="J75" s="265"/>
    </row>
    <row r="76" spans="1:10" ht="12.75">
      <c r="A76" s="298"/>
      <c r="B76" s="298"/>
      <c r="C76" s="298"/>
      <c r="D76" s="298"/>
      <c r="E76" s="298"/>
      <c r="F76" s="298"/>
      <c r="G76" s="298"/>
      <c r="H76" s="298"/>
      <c r="I76" s="298"/>
      <c r="J76" s="298"/>
    </row>
    <row r="77" spans="1:10" ht="30" customHeight="1">
      <c r="A77" s="309" t="s">
        <v>82</v>
      </c>
      <c r="B77" s="309"/>
      <c r="C77" s="309"/>
      <c r="D77" s="309"/>
      <c r="E77" s="309"/>
      <c r="F77" s="309"/>
      <c r="G77" s="309"/>
      <c r="H77" s="309"/>
      <c r="I77" s="309"/>
      <c r="J77" s="309"/>
    </row>
    <row r="78" spans="1:10" ht="30" customHeight="1">
      <c r="A78" s="21" t="s">
        <v>83</v>
      </c>
      <c r="B78" s="310" t="s">
        <v>84</v>
      </c>
      <c r="C78" s="310"/>
      <c r="D78" s="310"/>
      <c r="E78" s="310"/>
      <c r="F78" s="310"/>
      <c r="G78" s="310"/>
      <c r="H78" s="310"/>
      <c r="I78" s="12" t="s">
        <v>85</v>
      </c>
      <c r="J78" s="12" t="s">
        <v>86</v>
      </c>
    </row>
    <row r="79" spans="1:10" ht="12.75">
      <c r="A79" s="17" t="s">
        <v>7</v>
      </c>
      <c r="B79" s="306" t="s">
        <v>87</v>
      </c>
      <c r="C79" s="306"/>
      <c r="D79" s="306"/>
      <c r="E79" s="306"/>
      <c r="F79" s="306"/>
      <c r="G79" s="306"/>
      <c r="H79" s="306"/>
      <c r="I79" s="22">
        <v>0.2</v>
      </c>
      <c r="J79" s="23">
        <f aca="true" t="shared" si="0" ref="J79:J86">ROUND(($J$64+$J$73)*I79,2)</f>
        <v>337.23</v>
      </c>
    </row>
    <row r="80" spans="1:10" ht="12.75">
      <c r="A80" s="17" t="s">
        <v>10</v>
      </c>
      <c r="B80" s="306" t="s">
        <v>88</v>
      </c>
      <c r="C80" s="306"/>
      <c r="D80" s="306"/>
      <c r="E80" s="306"/>
      <c r="F80" s="306"/>
      <c r="G80" s="306"/>
      <c r="H80" s="306"/>
      <c r="I80" s="24">
        <v>0.025</v>
      </c>
      <c r="J80" s="23">
        <f t="shared" si="0"/>
        <v>42.15</v>
      </c>
    </row>
    <row r="81" spans="1:10" ht="50.25" customHeight="1">
      <c r="A81" s="17" t="s">
        <v>13</v>
      </c>
      <c r="B81" s="288" t="s">
        <v>89</v>
      </c>
      <c r="C81" s="288"/>
      <c r="D81" s="288"/>
      <c r="E81" s="25" t="s">
        <v>90</v>
      </c>
      <c r="F81" s="26">
        <v>0.03</v>
      </c>
      <c r="G81" s="25" t="s">
        <v>91</v>
      </c>
      <c r="H81" s="27">
        <v>1</v>
      </c>
      <c r="I81" s="28">
        <f>ROUND((F81*H81),6)</f>
        <v>0.03</v>
      </c>
      <c r="J81" s="23">
        <f t="shared" si="0"/>
        <v>50.58</v>
      </c>
    </row>
    <row r="82" spans="1:10" ht="12.75">
      <c r="A82" s="17" t="s">
        <v>15</v>
      </c>
      <c r="B82" s="306" t="s">
        <v>92</v>
      </c>
      <c r="C82" s="306"/>
      <c r="D82" s="306"/>
      <c r="E82" s="306"/>
      <c r="F82" s="306"/>
      <c r="G82" s="306"/>
      <c r="H82" s="306"/>
      <c r="I82" s="22">
        <v>0.015</v>
      </c>
      <c r="J82" s="23">
        <f t="shared" si="0"/>
        <v>25.29</v>
      </c>
    </row>
    <row r="83" spans="1:10" ht="12.75">
      <c r="A83" s="17" t="s">
        <v>93</v>
      </c>
      <c r="B83" s="306" t="s">
        <v>94</v>
      </c>
      <c r="C83" s="306"/>
      <c r="D83" s="306"/>
      <c r="E83" s="306"/>
      <c r="F83" s="306"/>
      <c r="G83" s="306"/>
      <c r="H83" s="306"/>
      <c r="I83" s="22">
        <v>0.01</v>
      </c>
      <c r="J83" s="23">
        <f t="shared" si="0"/>
        <v>16.86</v>
      </c>
    </row>
    <row r="84" spans="1:10" ht="12.75">
      <c r="A84" s="17" t="s">
        <v>95</v>
      </c>
      <c r="B84" s="306" t="s">
        <v>96</v>
      </c>
      <c r="C84" s="306"/>
      <c r="D84" s="306"/>
      <c r="E84" s="306"/>
      <c r="F84" s="306"/>
      <c r="G84" s="306"/>
      <c r="H84" s="306"/>
      <c r="I84" s="24">
        <v>0.006</v>
      </c>
      <c r="J84" s="23">
        <f t="shared" si="0"/>
        <v>10.12</v>
      </c>
    </row>
    <row r="85" spans="1:10" ht="12.75">
      <c r="A85" s="17" t="s">
        <v>69</v>
      </c>
      <c r="B85" s="306" t="s">
        <v>97</v>
      </c>
      <c r="C85" s="306"/>
      <c r="D85" s="306"/>
      <c r="E85" s="306"/>
      <c r="F85" s="306"/>
      <c r="G85" s="306"/>
      <c r="H85" s="306"/>
      <c r="I85" s="22">
        <v>0.002</v>
      </c>
      <c r="J85" s="23">
        <f t="shared" si="0"/>
        <v>3.37</v>
      </c>
    </row>
    <row r="86" spans="1:10" ht="12.75">
      <c r="A86" s="17" t="s">
        <v>98</v>
      </c>
      <c r="B86" s="306" t="s">
        <v>99</v>
      </c>
      <c r="C86" s="306"/>
      <c r="D86" s="306"/>
      <c r="E86" s="306"/>
      <c r="F86" s="306"/>
      <c r="G86" s="306"/>
      <c r="H86" s="306"/>
      <c r="I86" s="24">
        <v>0.08</v>
      </c>
      <c r="J86" s="23">
        <f t="shared" si="0"/>
        <v>134.89</v>
      </c>
    </row>
    <row r="87" spans="1:10" ht="12.75">
      <c r="A87" s="301" t="s">
        <v>80</v>
      </c>
      <c r="B87" s="301"/>
      <c r="C87" s="301"/>
      <c r="D87" s="301"/>
      <c r="E87" s="301"/>
      <c r="F87" s="301"/>
      <c r="G87" s="301"/>
      <c r="H87" s="301"/>
      <c r="I87" s="29">
        <f>SUM(I79:I86)</f>
        <v>0.36800000000000005</v>
      </c>
      <c r="J87" s="20">
        <f>SUM(J79:J86)</f>
        <v>620.49</v>
      </c>
    </row>
    <row r="88" spans="1:10" ht="12.75">
      <c r="A88" s="298"/>
      <c r="B88" s="298"/>
      <c r="C88" s="298"/>
      <c r="D88" s="298"/>
      <c r="E88" s="298"/>
      <c r="F88" s="298"/>
      <c r="G88" s="298"/>
      <c r="H88" s="298"/>
      <c r="I88" s="298"/>
      <c r="J88" s="298"/>
    </row>
    <row r="89" spans="1:10" ht="36.75" customHeight="1">
      <c r="A89" s="265" t="s">
        <v>100</v>
      </c>
      <c r="B89" s="265"/>
      <c r="C89" s="265"/>
      <c r="D89" s="265"/>
      <c r="E89" s="265"/>
      <c r="F89" s="265"/>
      <c r="G89" s="265"/>
      <c r="H89" s="265"/>
      <c r="I89" s="265"/>
      <c r="J89" s="265"/>
    </row>
    <row r="90" spans="1:10" ht="12.75">
      <c r="A90" s="298"/>
      <c r="B90" s="298"/>
      <c r="C90" s="298"/>
      <c r="D90" s="298"/>
      <c r="E90" s="298"/>
      <c r="F90" s="298"/>
      <c r="G90" s="298"/>
      <c r="H90" s="298"/>
      <c r="I90" s="298"/>
      <c r="J90" s="298"/>
    </row>
    <row r="91" spans="1:10" ht="15.75" customHeight="1">
      <c r="A91" s="309" t="s">
        <v>101</v>
      </c>
      <c r="B91" s="309"/>
      <c r="C91" s="309"/>
      <c r="D91" s="309"/>
      <c r="E91" s="309"/>
      <c r="F91" s="309"/>
      <c r="G91" s="309"/>
      <c r="H91" s="309"/>
      <c r="I91" s="309"/>
      <c r="J91" s="309"/>
    </row>
    <row r="92" spans="1:10" ht="15.75" customHeight="1">
      <c r="A92" s="21" t="s">
        <v>102</v>
      </c>
      <c r="B92" s="310" t="s">
        <v>103</v>
      </c>
      <c r="C92" s="310"/>
      <c r="D92" s="310"/>
      <c r="E92" s="310"/>
      <c r="F92" s="310"/>
      <c r="G92" s="310"/>
      <c r="H92" s="310"/>
      <c r="I92" s="310"/>
      <c r="J92" s="12" t="s">
        <v>77</v>
      </c>
    </row>
    <row r="93" spans="1:10" ht="12.75">
      <c r="A93" s="17" t="s">
        <v>7</v>
      </c>
      <c r="B93" s="306" t="s">
        <v>104</v>
      </c>
      <c r="C93" s="306"/>
      <c r="D93" s="306"/>
      <c r="E93" s="306"/>
      <c r="F93" s="306"/>
      <c r="G93" s="306"/>
      <c r="H93" s="306"/>
      <c r="I93" s="306"/>
      <c r="J93" s="30">
        <f>IF(ROUND((I96*I94*I95)-(J61*I97),2)&lt;0,0,ROUND((I96*I94*I95)-(J61*I97),2))</f>
        <v>198.96</v>
      </c>
    </row>
    <row r="94" spans="1:10" ht="12.75">
      <c r="A94" s="17"/>
      <c r="B94" s="320" t="s">
        <v>105</v>
      </c>
      <c r="C94" s="320"/>
      <c r="D94" s="320"/>
      <c r="E94" s="320"/>
      <c r="F94" s="320"/>
      <c r="G94" s="320"/>
      <c r="H94" s="320"/>
      <c r="I94" s="31">
        <v>6</v>
      </c>
      <c r="J94" s="32" t="s">
        <v>106</v>
      </c>
    </row>
    <row r="95" spans="1:10" ht="12.75">
      <c r="A95" s="17"/>
      <c r="B95" s="319" t="s">
        <v>107</v>
      </c>
      <c r="C95" s="319"/>
      <c r="D95" s="319"/>
      <c r="E95" s="319"/>
      <c r="F95" s="319"/>
      <c r="G95" s="319"/>
      <c r="H95" s="319"/>
      <c r="I95" s="33">
        <v>2</v>
      </c>
      <c r="J95" s="32"/>
    </row>
    <row r="96" spans="1:10" ht="12.75">
      <c r="A96" s="17"/>
      <c r="B96" s="319" t="s">
        <v>108</v>
      </c>
      <c r="C96" s="319"/>
      <c r="D96" s="319"/>
      <c r="E96" s="319"/>
      <c r="F96" s="319"/>
      <c r="G96" s="319"/>
      <c r="H96" s="319"/>
      <c r="I96" s="34">
        <v>22</v>
      </c>
      <c r="J96" s="32"/>
    </row>
    <row r="97" spans="1:10" ht="12.75">
      <c r="A97" s="17"/>
      <c r="B97" s="319" t="s">
        <v>109</v>
      </c>
      <c r="C97" s="319"/>
      <c r="D97" s="319"/>
      <c r="E97" s="319"/>
      <c r="F97" s="319"/>
      <c r="G97" s="319"/>
      <c r="H97" s="319"/>
      <c r="I97" s="35">
        <v>0.06</v>
      </c>
      <c r="J97" s="32"/>
    </row>
    <row r="98" spans="1:10" ht="12.75">
      <c r="A98" s="17" t="s">
        <v>10</v>
      </c>
      <c r="B98" s="306" t="s">
        <v>110</v>
      </c>
      <c r="C98" s="306"/>
      <c r="D98" s="306"/>
      <c r="E98" s="306"/>
      <c r="F98" s="306"/>
      <c r="G98" s="306"/>
      <c r="H98" s="306"/>
      <c r="I98" s="306"/>
      <c r="J98" s="30">
        <f>ROUND(I100*I99*(1-I101),2)</f>
        <v>298.13</v>
      </c>
    </row>
    <row r="99" spans="1:10" ht="12.75">
      <c r="A99" s="17"/>
      <c r="B99" s="319" t="s">
        <v>111</v>
      </c>
      <c r="C99" s="319"/>
      <c r="D99" s="319"/>
      <c r="E99" s="319"/>
      <c r="F99" s="319"/>
      <c r="G99" s="319"/>
      <c r="H99" s="319"/>
      <c r="I99" s="31">
        <v>16.73</v>
      </c>
      <c r="J99" s="32" t="s">
        <v>106</v>
      </c>
    </row>
    <row r="100" spans="1:10" ht="12.75">
      <c r="A100" s="36"/>
      <c r="B100" s="319" t="s">
        <v>112</v>
      </c>
      <c r="C100" s="319"/>
      <c r="D100" s="319"/>
      <c r="E100" s="319"/>
      <c r="F100" s="319"/>
      <c r="G100" s="319"/>
      <c r="H100" s="319"/>
      <c r="I100" s="37">
        <v>22</v>
      </c>
      <c r="J100" s="32"/>
    </row>
    <row r="101" spans="1:10" ht="12.75">
      <c r="A101" s="36"/>
      <c r="B101" s="319" t="s">
        <v>113</v>
      </c>
      <c r="C101" s="319"/>
      <c r="D101" s="319"/>
      <c r="E101" s="319"/>
      <c r="F101" s="319"/>
      <c r="G101" s="319"/>
      <c r="H101" s="319"/>
      <c r="I101" s="38">
        <v>0.19</v>
      </c>
      <c r="J101" s="32"/>
    </row>
    <row r="102" spans="1:10" ht="12.75">
      <c r="A102" s="17" t="s">
        <v>13</v>
      </c>
      <c r="B102" s="306" t="s">
        <v>114</v>
      </c>
      <c r="C102" s="306"/>
      <c r="D102" s="306"/>
      <c r="E102" s="306"/>
      <c r="F102" s="306"/>
      <c r="G102" s="306"/>
      <c r="H102" s="306"/>
      <c r="I102" s="306"/>
      <c r="J102" s="30">
        <v>0</v>
      </c>
    </row>
    <row r="103" spans="1:10" ht="27" customHeight="1">
      <c r="A103" s="17" t="s">
        <v>15</v>
      </c>
      <c r="B103" s="288" t="s">
        <v>115</v>
      </c>
      <c r="C103" s="288"/>
      <c r="D103" s="288"/>
      <c r="E103" s="288"/>
      <c r="F103" s="288"/>
      <c r="G103" s="288"/>
      <c r="H103" s="288"/>
      <c r="I103" s="288"/>
      <c r="J103" s="7">
        <v>15.02</v>
      </c>
    </row>
    <row r="104" spans="1:10" ht="12.75">
      <c r="A104" s="17" t="s">
        <v>93</v>
      </c>
      <c r="B104" s="306" t="s">
        <v>116</v>
      </c>
      <c r="C104" s="306"/>
      <c r="D104" s="306"/>
      <c r="E104" s="306"/>
      <c r="F104" s="306"/>
      <c r="G104" s="306"/>
      <c r="H104" s="306"/>
      <c r="I104" s="306"/>
      <c r="J104" s="39" t="s">
        <v>106</v>
      </c>
    </row>
    <row r="105" spans="1:10" ht="12.75">
      <c r="A105" s="301" t="s">
        <v>71</v>
      </c>
      <c r="B105" s="301"/>
      <c r="C105" s="301"/>
      <c r="D105" s="301"/>
      <c r="E105" s="301"/>
      <c r="F105" s="301"/>
      <c r="G105" s="301"/>
      <c r="H105" s="301"/>
      <c r="I105" s="301"/>
      <c r="J105" s="20">
        <f>SUM(J93:J103)</f>
        <v>512.11</v>
      </c>
    </row>
    <row r="106" spans="1:10" ht="12.75">
      <c r="A106" s="298"/>
      <c r="B106" s="298"/>
      <c r="C106" s="298"/>
      <c r="D106" s="298"/>
      <c r="E106" s="298"/>
      <c r="F106" s="298"/>
      <c r="G106" s="298"/>
      <c r="H106" s="298"/>
      <c r="I106" s="298"/>
      <c r="J106" s="298"/>
    </row>
    <row r="107" spans="1:10" ht="36.75" customHeight="1">
      <c r="A107" s="265" t="s">
        <v>117</v>
      </c>
      <c r="B107" s="265"/>
      <c r="C107" s="265"/>
      <c r="D107" s="265"/>
      <c r="E107" s="265"/>
      <c r="F107" s="265"/>
      <c r="G107" s="265"/>
      <c r="H107" s="265"/>
      <c r="I107" s="265"/>
      <c r="J107" s="265"/>
    </row>
    <row r="108" spans="1:10" ht="12.75">
      <c r="A108" s="298"/>
      <c r="B108" s="298"/>
      <c r="C108" s="298"/>
      <c r="D108" s="298"/>
      <c r="E108" s="298"/>
      <c r="F108" s="298"/>
      <c r="G108" s="298"/>
      <c r="H108" s="298"/>
      <c r="I108" s="298"/>
      <c r="J108" s="298"/>
    </row>
    <row r="109" spans="1:10" ht="15.75" customHeight="1">
      <c r="A109" s="309" t="s">
        <v>118</v>
      </c>
      <c r="B109" s="309"/>
      <c r="C109" s="309"/>
      <c r="D109" s="309"/>
      <c r="E109" s="309"/>
      <c r="F109" s="309"/>
      <c r="G109" s="309"/>
      <c r="H109" s="309"/>
      <c r="I109" s="309"/>
      <c r="J109" s="309"/>
    </row>
    <row r="110" spans="1:10" ht="15.75" customHeight="1">
      <c r="A110" s="12">
        <v>2</v>
      </c>
      <c r="B110" s="312" t="s">
        <v>119</v>
      </c>
      <c r="C110" s="312"/>
      <c r="D110" s="312"/>
      <c r="E110" s="312"/>
      <c r="F110" s="312"/>
      <c r="G110" s="312"/>
      <c r="H110" s="312"/>
      <c r="I110" s="312"/>
      <c r="J110" s="12" t="s">
        <v>77</v>
      </c>
    </row>
    <row r="111" spans="1:10" ht="14.25" customHeight="1">
      <c r="A111" s="40" t="s">
        <v>75</v>
      </c>
      <c r="B111" s="40"/>
      <c r="C111" s="317" t="s">
        <v>120</v>
      </c>
      <c r="D111" s="317"/>
      <c r="E111" s="317"/>
      <c r="F111" s="317"/>
      <c r="G111" s="317"/>
      <c r="H111" s="317"/>
      <c r="I111" s="317"/>
      <c r="J111" s="41">
        <f>J73</f>
        <v>168.6</v>
      </c>
    </row>
    <row r="112" spans="1:10" ht="14.25" customHeight="1">
      <c r="A112" s="40" t="s">
        <v>83</v>
      </c>
      <c r="B112" s="40"/>
      <c r="C112" s="317" t="s">
        <v>84</v>
      </c>
      <c r="D112" s="317"/>
      <c r="E112" s="317"/>
      <c r="F112" s="317"/>
      <c r="G112" s="317"/>
      <c r="H112" s="317"/>
      <c r="I112" s="317"/>
      <c r="J112" s="41">
        <f>J87</f>
        <v>620.49</v>
      </c>
    </row>
    <row r="113" spans="1:10" ht="14.25" customHeight="1">
      <c r="A113" s="40" t="s">
        <v>102</v>
      </c>
      <c r="B113" s="40"/>
      <c r="C113" s="317" t="s">
        <v>103</v>
      </c>
      <c r="D113" s="317"/>
      <c r="E113" s="317"/>
      <c r="F113" s="317"/>
      <c r="G113" s="317"/>
      <c r="H113" s="317"/>
      <c r="I113" s="317"/>
      <c r="J113" s="41">
        <f>J105</f>
        <v>512.11</v>
      </c>
    </row>
    <row r="114" spans="1:10" ht="14.25" customHeight="1">
      <c r="A114" s="318" t="s">
        <v>80</v>
      </c>
      <c r="B114" s="318"/>
      <c r="C114" s="318"/>
      <c r="D114" s="318"/>
      <c r="E114" s="318"/>
      <c r="F114" s="318"/>
      <c r="G114" s="318"/>
      <c r="H114" s="318"/>
      <c r="I114" s="318"/>
      <c r="J114" s="42">
        <f>SUM(J111+J112+J113)</f>
        <v>1301.2</v>
      </c>
    </row>
    <row r="115" spans="1:10" ht="12.75">
      <c r="A115" s="298"/>
      <c r="B115" s="298"/>
      <c r="C115" s="298"/>
      <c r="D115" s="298"/>
      <c r="E115" s="298"/>
      <c r="F115" s="298"/>
      <c r="G115" s="298"/>
      <c r="H115" s="298"/>
      <c r="I115" s="298"/>
      <c r="J115" s="298"/>
    </row>
    <row r="116" spans="1:10" ht="15.75" customHeight="1">
      <c r="A116" s="309" t="s">
        <v>121</v>
      </c>
      <c r="B116" s="309"/>
      <c r="C116" s="309"/>
      <c r="D116" s="309"/>
      <c r="E116" s="309"/>
      <c r="F116" s="309"/>
      <c r="G116" s="309"/>
      <c r="H116" s="309"/>
      <c r="I116" s="309"/>
      <c r="J116" s="309"/>
    </row>
    <row r="117" spans="1:10" ht="15.75" customHeight="1">
      <c r="A117" s="21">
        <v>3</v>
      </c>
      <c r="B117" s="312" t="s">
        <v>122</v>
      </c>
      <c r="C117" s="312"/>
      <c r="D117" s="312"/>
      <c r="E117" s="312"/>
      <c r="F117" s="312"/>
      <c r="G117" s="312"/>
      <c r="H117" s="312"/>
      <c r="I117" s="312"/>
      <c r="J117" s="21" t="s">
        <v>123</v>
      </c>
    </row>
    <row r="118" spans="1:10" ht="46.5" customHeight="1">
      <c r="A118" s="17" t="s">
        <v>7</v>
      </c>
      <c r="B118" s="288" t="s">
        <v>124</v>
      </c>
      <c r="C118" s="288"/>
      <c r="D118" s="288"/>
      <c r="E118" s="288"/>
      <c r="F118" s="288"/>
      <c r="G118" s="288"/>
      <c r="H118" s="288"/>
      <c r="I118" s="288"/>
      <c r="J118" s="23">
        <f>ROUND((($J$64/12)+($J$71/12)+($J$64/12/12)+($J$72/12))*(30/30)*0.05,2)</f>
        <v>7.55</v>
      </c>
    </row>
    <row r="119" spans="1:10" ht="14.25" customHeight="1">
      <c r="A119" s="17" t="s">
        <v>10</v>
      </c>
      <c r="B119" s="288" t="s">
        <v>125</v>
      </c>
      <c r="C119" s="288"/>
      <c r="D119" s="288"/>
      <c r="E119" s="288"/>
      <c r="F119" s="288"/>
      <c r="G119" s="288"/>
      <c r="H119" s="288"/>
      <c r="I119" s="288"/>
      <c r="J119" s="23">
        <f>ROUND($J$118*I86,2)</f>
        <v>0.6</v>
      </c>
    </row>
    <row r="120" spans="1:10" ht="27" customHeight="1">
      <c r="A120" s="17" t="s">
        <v>13</v>
      </c>
      <c r="B120" s="288" t="s">
        <v>126</v>
      </c>
      <c r="C120" s="288"/>
      <c r="D120" s="288"/>
      <c r="E120" s="288"/>
      <c r="F120" s="288"/>
      <c r="G120" s="288"/>
      <c r="H120" s="288"/>
      <c r="I120" s="288"/>
      <c r="J120" s="23">
        <f>ROUND(((($J$64/30)*7)/$H$10)*1,2)</f>
        <v>29.51</v>
      </c>
    </row>
    <row r="121" spans="1:10" ht="14.25" customHeight="1">
      <c r="A121" s="17" t="s">
        <v>15</v>
      </c>
      <c r="B121" s="288" t="s">
        <v>127</v>
      </c>
      <c r="C121" s="288"/>
      <c r="D121" s="288"/>
      <c r="E121" s="288"/>
      <c r="F121" s="288"/>
      <c r="G121" s="288"/>
      <c r="H121" s="288"/>
      <c r="I121" s="288"/>
      <c r="J121" s="23">
        <f>ROUND($I$87*J120,2)</f>
        <v>10.86</v>
      </c>
    </row>
    <row r="122" spans="1:10" ht="36" customHeight="1">
      <c r="A122" s="17" t="s">
        <v>93</v>
      </c>
      <c r="B122" s="288" t="s">
        <v>128</v>
      </c>
      <c r="C122" s="288"/>
      <c r="D122" s="288"/>
      <c r="E122" s="288"/>
      <c r="F122" s="288"/>
      <c r="G122" s="288"/>
      <c r="H122" s="288"/>
      <c r="I122" s="43">
        <v>0.05</v>
      </c>
      <c r="J122" s="23">
        <f>ROUND($J$64*I122,2)</f>
        <v>75.88</v>
      </c>
    </row>
    <row r="123" spans="1:10" ht="12.75">
      <c r="A123" s="301" t="s">
        <v>80</v>
      </c>
      <c r="B123" s="301"/>
      <c r="C123" s="301"/>
      <c r="D123" s="301"/>
      <c r="E123" s="301"/>
      <c r="F123" s="301"/>
      <c r="G123" s="301"/>
      <c r="H123" s="301"/>
      <c r="I123" s="301"/>
      <c r="J123" s="20">
        <f>SUM(J118:J122)</f>
        <v>124.4</v>
      </c>
    </row>
    <row r="124" spans="1:10" ht="12.75">
      <c r="A124" s="298"/>
      <c r="B124" s="298"/>
      <c r="C124" s="298"/>
      <c r="D124" s="298"/>
      <c r="E124" s="298"/>
      <c r="F124" s="298"/>
      <c r="G124" s="298"/>
      <c r="H124" s="298"/>
      <c r="I124" s="298"/>
      <c r="J124" s="298"/>
    </row>
    <row r="125" spans="1:10" ht="15.75" customHeight="1">
      <c r="A125" s="309" t="s">
        <v>129</v>
      </c>
      <c r="B125" s="309"/>
      <c r="C125" s="309"/>
      <c r="D125" s="309"/>
      <c r="E125" s="309"/>
      <c r="F125" s="309"/>
      <c r="G125" s="309"/>
      <c r="H125" s="309"/>
      <c r="I125" s="309"/>
      <c r="J125" s="309"/>
    </row>
    <row r="126" spans="1:10" ht="26.25" customHeight="1">
      <c r="A126" s="265" t="s">
        <v>130</v>
      </c>
      <c r="B126" s="265"/>
      <c r="C126" s="265"/>
      <c r="D126" s="265"/>
      <c r="E126" s="265"/>
      <c r="F126" s="265"/>
      <c r="G126" s="265"/>
      <c r="H126" s="265"/>
      <c r="I126" s="265"/>
      <c r="J126" s="265"/>
    </row>
    <row r="127" spans="1:10" ht="30" customHeight="1">
      <c r="A127" s="314" t="s">
        <v>131</v>
      </c>
      <c r="B127" s="314"/>
      <c r="C127" s="314"/>
      <c r="D127" s="314"/>
      <c r="E127" s="314"/>
      <c r="F127" s="314"/>
      <c r="G127" s="314"/>
      <c r="H127" s="314"/>
      <c r="I127" s="314"/>
      <c r="J127" s="314"/>
    </row>
    <row r="128" spans="1:10" ht="12" customHeight="1">
      <c r="A128" s="315"/>
      <c r="B128" s="315"/>
      <c r="C128" s="315"/>
      <c r="D128" s="315"/>
      <c r="E128" s="315"/>
      <c r="F128" s="315"/>
      <c r="G128" s="315"/>
      <c r="H128" s="315"/>
      <c r="I128" s="315"/>
      <c r="J128" s="315"/>
    </row>
    <row r="129" spans="1:10" ht="41.25" customHeight="1">
      <c r="A129" s="44" t="s">
        <v>132</v>
      </c>
      <c r="B129" s="45">
        <f>J64</f>
        <v>1517.54</v>
      </c>
      <c r="C129" s="46"/>
      <c r="D129" s="44" t="s">
        <v>133</v>
      </c>
      <c r="E129" s="45">
        <f>J114-J93-J98</f>
        <v>804.11</v>
      </c>
      <c r="F129" s="316" t="s">
        <v>134</v>
      </c>
      <c r="G129" s="316"/>
      <c r="H129" s="47" t="s">
        <v>135</v>
      </c>
      <c r="I129" s="45">
        <f>J123</f>
        <v>124.4</v>
      </c>
      <c r="J129" s="47">
        <f>B129+E129+I129</f>
        <v>2446.05</v>
      </c>
    </row>
    <row r="130" spans="1:10" ht="12" customHeight="1">
      <c r="A130" s="313" t="s">
        <v>136</v>
      </c>
      <c r="B130" s="313"/>
      <c r="C130" s="313"/>
      <c r="D130" s="313"/>
      <c r="E130" s="313"/>
      <c r="F130" s="313"/>
      <c r="G130" s="313"/>
      <c r="H130" s="313"/>
      <c r="I130" s="313"/>
      <c r="J130" s="313"/>
    </row>
    <row r="131" spans="1:10" ht="15" customHeight="1">
      <c r="A131" s="48" t="s">
        <v>137</v>
      </c>
      <c r="B131" s="310" t="s">
        <v>138</v>
      </c>
      <c r="C131" s="310"/>
      <c r="D131" s="310"/>
      <c r="E131" s="310"/>
      <c r="F131" s="310"/>
      <c r="G131" s="310"/>
      <c r="H131" s="310"/>
      <c r="I131" s="310"/>
      <c r="J131" s="48" t="s">
        <v>77</v>
      </c>
    </row>
    <row r="132" spans="1:10" ht="23.25" customHeight="1">
      <c r="A132" s="49" t="s">
        <v>7</v>
      </c>
      <c r="B132" s="306" t="s">
        <v>139</v>
      </c>
      <c r="C132" s="306"/>
      <c r="D132" s="306"/>
      <c r="E132" s="306"/>
      <c r="F132" s="306"/>
      <c r="G132" s="306"/>
      <c r="H132" s="306"/>
      <c r="I132" s="306"/>
      <c r="J132" s="23">
        <f>ROUND(($J$129/12),2)</f>
        <v>203.84</v>
      </c>
    </row>
    <row r="133" spans="1:10" ht="12.75">
      <c r="A133" s="49" t="s">
        <v>10</v>
      </c>
      <c r="B133" s="306" t="s">
        <v>140</v>
      </c>
      <c r="C133" s="306"/>
      <c r="D133" s="306"/>
      <c r="E133" s="306"/>
      <c r="F133" s="306"/>
      <c r="G133" s="306"/>
      <c r="H133" s="306"/>
      <c r="I133" s="306"/>
      <c r="J133" s="23">
        <f>ROUND((($J$129/30)*1)/12,2)</f>
        <v>6.79</v>
      </c>
    </row>
    <row r="134" spans="1:10" ht="27" customHeight="1">
      <c r="A134" s="49" t="s">
        <v>13</v>
      </c>
      <c r="B134" s="288" t="s">
        <v>141</v>
      </c>
      <c r="C134" s="288"/>
      <c r="D134" s="288"/>
      <c r="E134" s="288"/>
      <c r="F134" s="288"/>
      <c r="G134" s="288"/>
      <c r="H134" s="288"/>
      <c r="I134" s="288"/>
      <c r="J134" s="23">
        <f>ROUND((($J$129/30)*5)/12*0.015,2)</f>
        <v>0.51</v>
      </c>
    </row>
    <row r="135" spans="1:10" ht="24.75" customHeight="1">
      <c r="A135" s="49" t="s">
        <v>15</v>
      </c>
      <c r="B135" s="288" t="s">
        <v>142</v>
      </c>
      <c r="C135" s="288"/>
      <c r="D135" s="288"/>
      <c r="E135" s="288"/>
      <c r="F135" s="288"/>
      <c r="G135" s="288"/>
      <c r="H135" s="288"/>
      <c r="I135" s="288"/>
      <c r="J135" s="23">
        <f>ROUND(((($J$129/30)*15)/12)*0.0078,2)</f>
        <v>0.79</v>
      </c>
    </row>
    <row r="136" spans="1:10" ht="23.25" customHeight="1">
      <c r="A136" s="49" t="s">
        <v>93</v>
      </c>
      <c r="B136" s="313" t="s">
        <v>143</v>
      </c>
      <c r="C136" s="313"/>
      <c r="D136" s="313"/>
      <c r="E136" s="313"/>
      <c r="F136" s="313"/>
      <c r="G136" s="313"/>
      <c r="H136" s="313"/>
      <c r="I136" s="313"/>
      <c r="J136" s="50">
        <f>ROUND(((((B129+B129/3)/12)+(J87+J105-J93-J98+I129))*(4/12))*0.02,2)</f>
        <v>6.19</v>
      </c>
    </row>
    <row r="137" spans="1:10" ht="52.5" customHeight="1">
      <c r="A137" s="51" t="s">
        <v>95</v>
      </c>
      <c r="B137" s="313" t="s">
        <v>144</v>
      </c>
      <c r="C137" s="313"/>
      <c r="D137" s="313"/>
      <c r="E137" s="313"/>
      <c r="F137" s="313"/>
      <c r="G137" s="313"/>
      <c r="H137" s="313"/>
      <c r="I137" s="313"/>
      <c r="J137" s="23">
        <f>ROUND(((($J$129/30)*5)/12),2)</f>
        <v>33.97</v>
      </c>
    </row>
    <row r="138" spans="1:10" ht="12.75">
      <c r="A138" s="301" t="s">
        <v>80</v>
      </c>
      <c r="B138" s="301"/>
      <c r="C138" s="301"/>
      <c r="D138" s="301"/>
      <c r="E138" s="301"/>
      <c r="F138" s="301"/>
      <c r="G138" s="301"/>
      <c r="H138" s="301"/>
      <c r="I138" s="301"/>
      <c r="J138" s="52">
        <f>SUM(J132:J137)</f>
        <v>252.08999999999997</v>
      </c>
    </row>
    <row r="139" spans="1:10" ht="12.75">
      <c r="A139" s="245"/>
      <c r="B139" s="245"/>
      <c r="C139" s="245"/>
      <c r="D139" s="245"/>
      <c r="E139" s="245"/>
      <c r="F139" s="245"/>
      <c r="G139" s="245"/>
      <c r="H139" s="245"/>
      <c r="I139" s="245"/>
      <c r="J139" s="245"/>
    </row>
    <row r="140" spans="1:10" ht="15.75" customHeight="1">
      <c r="A140" s="309" t="s">
        <v>145</v>
      </c>
      <c r="B140" s="309"/>
      <c r="C140" s="309"/>
      <c r="D140" s="309"/>
      <c r="E140" s="309"/>
      <c r="F140" s="309"/>
      <c r="G140" s="309"/>
      <c r="H140" s="309"/>
      <c r="I140" s="309"/>
      <c r="J140" s="309"/>
    </row>
    <row r="141" spans="1:10" ht="15" customHeight="1">
      <c r="A141" s="21" t="s">
        <v>146</v>
      </c>
      <c r="B141" s="310" t="s">
        <v>147</v>
      </c>
      <c r="C141" s="310"/>
      <c r="D141" s="310"/>
      <c r="E141" s="310"/>
      <c r="F141" s="310"/>
      <c r="G141" s="310"/>
      <c r="H141" s="310"/>
      <c r="I141" s="310"/>
      <c r="J141" s="53" t="s">
        <v>77</v>
      </c>
    </row>
    <row r="142" spans="1:10" ht="12.75">
      <c r="A142" s="17" t="s">
        <v>7</v>
      </c>
      <c r="B142" s="306" t="s">
        <v>148</v>
      </c>
      <c r="C142" s="306"/>
      <c r="D142" s="306"/>
      <c r="E142" s="306"/>
      <c r="F142" s="306"/>
      <c r="G142" s="306"/>
      <c r="H142" s="306"/>
      <c r="I142" s="306"/>
      <c r="J142" s="23">
        <v>0</v>
      </c>
    </row>
    <row r="143" spans="1:10" ht="12.75">
      <c r="A143" s="311" t="s">
        <v>80</v>
      </c>
      <c r="B143" s="311"/>
      <c r="C143" s="311"/>
      <c r="D143" s="311"/>
      <c r="E143" s="311"/>
      <c r="F143" s="311"/>
      <c r="G143" s="311"/>
      <c r="H143" s="311"/>
      <c r="I143" s="311"/>
      <c r="J143" s="23">
        <v>0</v>
      </c>
    </row>
    <row r="144" spans="1:10" ht="12.75">
      <c r="A144" s="49" t="s">
        <v>10</v>
      </c>
      <c r="B144" s="306" t="s">
        <v>149</v>
      </c>
      <c r="C144" s="306"/>
      <c r="D144" s="306"/>
      <c r="E144" s="306"/>
      <c r="F144" s="306"/>
      <c r="G144" s="306"/>
      <c r="H144" s="306"/>
      <c r="I144" s="306"/>
      <c r="J144" s="54">
        <f>ROUND(I87*J143,2)</f>
        <v>0</v>
      </c>
    </row>
    <row r="145" spans="1:10" ht="12.75">
      <c r="A145" s="301" t="s">
        <v>80</v>
      </c>
      <c r="B145" s="301"/>
      <c r="C145" s="301"/>
      <c r="D145" s="301"/>
      <c r="E145" s="301"/>
      <c r="F145" s="301"/>
      <c r="G145" s="301"/>
      <c r="H145" s="301"/>
      <c r="I145" s="301"/>
      <c r="J145" s="20">
        <f>SUM(J143:J144)</f>
        <v>0</v>
      </c>
    </row>
    <row r="146" spans="1:10" ht="12.75">
      <c r="A146" s="245"/>
      <c r="B146" s="245"/>
      <c r="C146" s="245"/>
      <c r="D146" s="245"/>
      <c r="E146" s="245"/>
      <c r="F146" s="245"/>
      <c r="G146" s="245"/>
      <c r="H146" s="245"/>
      <c r="I146" s="245"/>
      <c r="J146" s="245"/>
    </row>
    <row r="147" spans="1:10" ht="15.75" customHeight="1">
      <c r="A147" s="309" t="s">
        <v>150</v>
      </c>
      <c r="B147" s="309"/>
      <c r="C147" s="309"/>
      <c r="D147" s="309"/>
      <c r="E147" s="309"/>
      <c r="F147" s="309"/>
      <c r="G147" s="309"/>
      <c r="H147" s="309"/>
      <c r="I147" s="309"/>
      <c r="J147" s="309"/>
    </row>
    <row r="148" spans="1:10" ht="15.75" customHeight="1">
      <c r="A148" s="12">
        <v>4</v>
      </c>
      <c r="B148" s="312" t="s">
        <v>151</v>
      </c>
      <c r="C148" s="312"/>
      <c r="D148" s="312"/>
      <c r="E148" s="312"/>
      <c r="F148" s="312"/>
      <c r="G148" s="312"/>
      <c r="H148" s="312"/>
      <c r="I148" s="312"/>
      <c r="J148" s="53" t="s">
        <v>77</v>
      </c>
    </row>
    <row r="149" spans="1:10" ht="14.25" customHeight="1">
      <c r="A149" s="55" t="s">
        <v>137</v>
      </c>
      <c r="B149" s="288" t="s">
        <v>138</v>
      </c>
      <c r="C149" s="288"/>
      <c r="D149" s="288"/>
      <c r="E149" s="288"/>
      <c r="F149" s="288"/>
      <c r="G149" s="288"/>
      <c r="H149" s="288"/>
      <c r="I149" s="288"/>
      <c r="J149" s="23">
        <f>J138</f>
        <v>252.08999999999997</v>
      </c>
    </row>
    <row r="150" spans="1:10" ht="14.25" customHeight="1">
      <c r="A150" s="55" t="s">
        <v>152</v>
      </c>
      <c r="B150" s="288" t="s">
        <v>147</v>
      </c>
      <c r="C150" s="288"/>
      <c r="D150" s="288"/>
      <c r="E150" s="288"/>
      <c r="F150" s="288"/>
      <c r="G150" s="288"/>
      <c r="H150" s="288"/>
      <c r="I150" s="288"/>
      <c r="J150" s="23">
        <f>J145</f>
        <v>0</v>
      </c>
    </row>
    <row r="151" spans="1:10" ht="14.25" customHeight="1">
      <c r="A151" s="264" t="s">
        <v>80</v>
      </c>
      <c r="B151" s="264"/>
      <c r="C151" s="264"/>
      <c r="D151" s="264"/>
      <c r="E151" s="264"/>
      <c r="F151" s="264"/>
      <c r="G151" s="264"/>
      <c r="H151" s="264"/>
      <c r="I151" s="264"/>
      <c r="J151" s="20">
        <f>SUM(J149+J150)</f>
        <v>252.08999999999997</v>
      </c>
    </row>
    <row r="152" spans="1:10" ht="12.75" customHeight="1">
      <c r="A152" s="298"/>
      <c r="B152" s="298"/>
      <c r="C152" s="298"/>
      <c r="D152" s="298"/>
      <c r="E152" s="298"/>
      <c r="F152" s="298"/>
      <c r="G152" s="298"/>
      <c r="H152" s="298"/>
      <c r="I152" s="298"/>
      <c r="J152" s="298"/>
    </row>
    <row r="153" spans="1:10" ht="15.75" customHeight="1">
      <c r="A153" s="309" t="s">
        <v>153</v>
      </c>
      <c r="B153" s="309"/>
      <c r="C153" s="309"/>
      <c r="D153" s="309"/>
      <c r="E153" s="309"/>
      <c r="F153" s="309"/>
      <c r="G153" s="309"/>
      <c r="H153" s="309"/>
      <c r="I153" s="309"/>
      <c r="J153" s="309"/>
    </row>
    <row r="154" spans="1:10" ht="15.75" customHeight="1">
      <c r="A154" s="21">
        <v>5</v>
      </c>
      <c r="B154" s="310" t="s">
        <v>154</v>
      </c>
      <c r="C154" s="310"/>
      <c r="D154" s="310"/>
      <c r="E154" s="310"/>
      <c r="F154" s="310"/>
      <c r="G154" s="310"/>
      <c r="H154" s="310"/>
      <c r="I154" s="310"/>
      <c r="J154" s="21" t="s">
        <v>77</v>
      </c>
    </row>
    <row r="155" spans="1:10" ht="12.75">
      <c r="A155" s="17" t="s">
        <v>7</v>
      </c>
      <c r="B155" s="306" t="s">
        <v>155</v>
      </c>
      <c r="C155" s="306"/>
      <c r="D155" s="306"/>
      <c r="E155" s="306"/>
      <c r="F155" s="306"/>
      <c r="G155" s="306"/>
      <c r="H155" s="306"/>
      <c r="I155" s="306"/>
      <c r="J155" s="30">
        <f>INSUMOS!F72</f>
        <v>157.7825</v>
      </c>
    </row>
    <row r="156" spans="1:10" ht="12.75">
      <c r="A156" s="17" t="s">
        <v>10</v>
      </c>
      <c r="B156" s="306" t="s">
        <v>156</v>
      </c>
      <c r="C156" s="306"/>
      <c r="D156" s="306"/>
      <c r="E156" s="306"/>
      <c r="F156" s="306"/>
      <c r="G156" s="306"/>
      <c r="H156" s="306"/>
      <c r="I156" s="306"/>
      <c r="J156" s="7">
        <f>INSUMOS!F68</f>
        <v>363.6935690494491</v>
      </c>
    </row>
    <row r="157" spans="1:10" ht="12.75">
      <c r="A157" s="17" t="s">
        <v>13</v>
      </c>
      <c r="B157" s="306" t="s">
        <v>157</v>
      </c>
      <c r="C157" s="306"/>
      <c r="D157" s="306"/>
      <c r="E157" s="306"/>
      <c r="F157" s="306"/>
      <c r="G157" s="306"/>
      <c r="H157" s="306"/>
      <c r="I157" s="306"/>
      <c r="J157" s="7">
        <f>INSUMOS!F70</f>
        <v>13.65</v>
      </c>
    </row>
    <row r="158" spans="1:10" ht="12.75">
      <c r="A158" s="17" t="s">
        <v>15</v>
      </c>
      <c r="B158" s="306" t="s">
        <v>158</v>
      </c>
      <c r="C158" s="306"/>
      <c r="D158" s="306"/>
      <c r="E158" s="306"/>
      <c r="F158" s="306"/>
      <c r="G158" s="306"/>
      <c r="H158" s="306"/>
      <c r="I158" s="306"/>
      <c r="J158" s="7">
        <v>0.48</v>
      </c>
    </row>
    <row r="159" spans="1:10" ht="12.75">
      <c r="A159" s="301" t="s">
        <v>71</v>
      </c>
      <c r="B159" s="301"/>
      <c r="C159" s="301"/>
      <c r="D159" s="301"/>
      <c r="E159" s="301"/>
      <c r="F159" s="301"/>
      <c r="G159" s="301"/>
      <c r="H159" s="301"/>
      <c r="I159" s="301"/>
      <c r="J159" s="56">
        <f>SUM(J155:J158)</f>
        <v>535.606069049449</v>
      </c>
    </row>
    <row r="160" spans="1:10" ht="12.75">
      <c r="A160" s="298"/>
      <c r="B160" s="298"/>
      <c r="C160" s="298"/>
      <c r="D160" s="298"/>
      <c r="E160" s="298"/>
      <c r="F160" s="298"/>
      <c r="G160" s="298"/>
      <c r="H160" s="298"/>
      <c r="I160" s="298"/>
      <c r="J160" s="298"/>
    </row>
    <row r="161" spans="1:10" ht="14.25" customHeight="1">
      <c r="A161" s="265" t="s">
        <v>159</v>
      </c>
      <c r="B161" s="265"/>
      <c r="C161" s="265"/>
      <c r="D161" s="265"/>
      <c r="E161" s="265"/>
      <c r="F161" s="265"/>
      <c r="G161" s="265"/>
      <c r="H161" s="265"/>
      <c r="I161" s="265"/>
      <c r="J161" s="265"/>
    </row>
    <row r="162" spans="1:10" ht="12.75" customHeight="1">
      <c r="A162" s="298"/>
      <c r="B162" s="298"/>
      <c r="C162" s="298"/>
      <c r="D162" s="298"/>
      <c r="E162" s="298"/>
      <c r="F162" s="298"/>
      <c r="G162" s="298"/>
      <c r="H162" s="298"/>
      <c r="I162" s="298"/>
      <c r="J162" s="298"/>
    </row>
    <row r="163" spans="1:10" ht="15.75" customHeight="1">
      <c r="A163" s="309" t="s">
        <v>160</v>
      </c>
      <c r="B163" s="309"/>
      <c r="C163" s="309"/>
      <c r="D163" s="309"/>
      <c r="E163" s="309"/>
      <c r="F163" s="309"/>
      <c r="G163" s="309"/>
      <c r="H163" s="309"/>
      <c r="I163" s="309"/>
      <c r="J163" s="309"/>
    </row>
    <row r="164" spans="1:10" ht="30" customHeight="1">
      <c r="A164" s="21">
        <v>6</v>
      </c>
      <c r="B164" s="310" t="s">
        <v>161</v>
      </c>
      <c r="C164" s="310"/>
      <c r="D164" s="310"/>
      <c r="E164" s="310"/>
      <c r="F164" s="310"/>
      <c r="G164" s="310"/>
      <c r="H164" s="310"/>
      <c r="I164" s="12" t="s">
        <v>85</v>
      </c>
      <c r="J164" s="57" t="s">
        <v>162</v>
      </c>
    </row>
    <row r="165" spans="1:10" ht="51" customHeight="1">
      <c r="A165" s="307" t="s">
        <v>163</v>
      </c>
      <c r="B165" s="307"/>
      <c r="C165" s="307"/>
      <c r="D165" s="307"/>
      <c r="E165" s="307"/>
      <c r="F165" s="307"/>
      <c r="G165" s="307"/>
      <c r="H165" s="307"/>
      <c r="I165" s="58" t="s">
        <v>106</v>
      </c>
      <c r="J165" s="59">
        <f>SUM(J64+J114+J123+J151+J159)</f>
        <v>3730.836069049449</v>
      </c>
    </row>
    <row r="166" spans="1:10" ht="15.75" customHeight="1">
      <c r="A166" s="60" t="s">
        <v>7</v>
      </c>
      <c r="B166" s="308" t="s">
        <v>164</v>
      </c>
      <c r="C166" s="308"/>
      <c r="D166" s="308"/>
      <c r="E166" s="308"/>
      <c r="F166" s="308"/>
      <c r="G166" s="308"/>
      <c r="H166" s="308"/>
      <c r="I166" s="24">
        <v>0.03</v>
      </c>
      <c r="J166" s="23">
        <f>ROUND(I166*J165,2)</f>
        <v>111.93</v>
      </c>
    </row>
    <row r="167" spans="1:10" ht="51" customHeight="1">
      <c r="A167" s="307" t="s">
        <v>165</v>
      </c>
      <c r="B167" s="307"/>
      <c r="C167" s="307"/>
      <c r="D167" s="307"/>
      <c r="E167" s="307"/>
      <c r="F167" s="307"/>
      <c r="G167" s="307"/>
      <c r="H167" s="307"/>
      <c r="I167" s="61" t="s">
        <v>106</v>
      </c>
      <c r="J167" s="59">
        <f>SUM(J64+J114+J123+J151+J159+J166)</f>
        <v>3842.766069049449</v>
      </c>
    </row>
    <row r="168" spans="1:10" ht="15.75" customHeight="1">
      <c r="A168" s="60" t="s">
        <v>10</v>
      </c>
      <c r="B168" s="308" t="s">
        <v>166</v>
      </c>
      <c r="C168" s="308"/>
      <c r="D168" s="308"/>
      <c r="E168" s="308"/>
      <c r="F168" s="308"/>
      <c r="G168" s="308"/>
      <c r="H168" s="308"/>
      <c r="I168" s="24">
        <v>0.0679</v>
      </c>
      <c r="J168" s="23">
        <f>ROUND(I168*J167,2)</f>
        <v>260.92</v>
      </c>
    </row>
    <row r="169" spans="1:10" ht="51" customHeight="1">
      <c r="A169" s="307" t="s">
        <v>167</v>
      </c>
      <c r="B169" s="307"/>
      <c r="C169" s="307"/>
      <c r="D169" s="307"/>
      <c r="E169" s="307"/>
      <c r="F169" s="307"/>
      <c r="G169" s="307"/>
      <c r="H169" s="307"/>
      <c r="I169" s="61" t="s">
        <v>106</v>
      </c>
      <c r="J169" s="59">
        <f>SUM(J64+J114+J123+J151+J159+J166+J168)</f>
        <v>4103.686069049449</v>
      </c>
    </row>
    <row r="170" spans="1:10" ht="15.75" customHeight="1">
      <c r="A170" s="60" t="s">
        <v>13</v>
      </c>
      <c r="B170" s="308" t="s">
        <v>168</v>
      </c>
      <c r="C170" s="308"/>
      <c r="D170" s="308"/>
      <c r="E170" s="308"/>
      <c r="F170" s="308"/>
      <c r="G170" s="308"/>
      <c r="H170" s="308"/>
      <c r="I170" s="62" t="s">
        <v>106</v>
      </c>
      <c r="J170" s="63" t="s">
        <v>106</v>
      </c>
    </row>
    <row r="171" spans="1:10" ht="12.75">
      <c r="A171" s="17"/>
      <c r="B171" s="306" t="s">
        <v>169</v>
      </c>
      <c r="C171" s="306"/>
      <c r="D171" s="306"/>
      <c r="E171" s="306"/>
      <c r="F171" s="306"/>
      <c r="G171" s="306"/>
      <c r="H171" s="306"/>
      <c r="I171" s="62" t="s">
        <v>106</v>
      </c>
      <c r="J171" s="63" t="s">
        <v>106</v>
      </c>
    </row>
    <row r="172" spans="1:10" ht="12.75">
      <c r="A172" s="17"/>
      <c r="B172" s="306" t="s">
        <v>170</v>
      </c>
      <c r="C172" s="306"/>
      <c r="D172" s="306"/>
      <c r="E172" s="306"/>
      <c r="F172" s="306"/>
      <c r="G172" s="306"/>
      <c r="H172" s="306"/>
      <c r="I172" s="64">
        <v>0.076</v>
      </c>
      <c r="J172" s="23">
        <f>ROUND(($J$169/(1-$I$181))*I172,2)</f>
        <v>351.41</v>
      </c>
    </row>
    <row r="173" spans="1:10" ht="12.75">
      <c r="A173" s="17"/>
      <c r="B173" s="306" t="s">
        <v>171</v>
      </c>
      <c r="C173" s="306"/>
      <c r="D173" s="306"/>
      <c r="E173" s="306"/>
      <c r="F173" s="306"/>
      <c r="G173" s="306"/>
      <c r="H173" s="306"/>
      <c r="I173" s="64">
        <v>0.0165</v>
      </c>
      <c r="J173" s="23">
        <f>ROUND(($J$169/(1-$I$181))*I173,2)</f>
        <v>76.29</v>
      </c>
    </row>
    <row r="174" spans="1:10" ht="27" customHeight="1">
      <c r="A174" s="17"/>
      <c r="B174" s="288" t="s">
        <v>172</v>
      </c>
      <c r="C174" s="288"/>
      <c r="D174" s="288"/>
      <c r="E174" s="288"/>
      <c r="F174" s="288"/>
      <c r="G174" s="288"/>
      <c r="H174" s="288"/>
      <c r="I174" s="65" t="s">
        <v>106</v>
      </c>
      <c r="J174" s="63" t="s">
        <v>106</v>
      </c>
    </row>
    <row r="175" spans="1:10" ht="27" customHeight="1">
      <c r="A175" s="17"/>
      <c r="B175" s="288" t="s">
        <v>173</v>
      </c>
      <c r="C175" s="288"/>
      <c r="D175" s="288"/>
      <c r="E175" s="288"/>
      <c r="F175" s="288"/>
      <c r="G175" s="288"/>
      <c r="H175" s="288"/>
      <c r="I175" s="65" t="s">
        <v>106</v>
      </c>
      <c r="J175" s="63" t="s">
        <v>106</v>
      </c>
    </row>
    <row r="176" spans="1:10" ht="12.75" customHeight="1">
      <c r="A176" s="17"/>
      <c r="B176" s="306" t="s">
        <v>174</v>
      </c>
      <c r="C176" s="306"/>
      <c r="D176" s="306"/>
      <c r="E176" s="306"/>
      <c r="F176" s="306"/>
      <c r="G176" s="306"/>
      <c r="H176" s="306"/>
      <c r="I176" s="65" t="s">
        <v>106</v>
      </c>
      <c r="J176" s="63" t="s">
        <v>106</v>
      </c>
    </row>
    <row r="177" spans="1:10" ht="12.75">
      <c r="A177" s="17"/>
      <c r="B177" s="306" t="s">
        <v>175</v>
      </c>
      <c r="C177" s="306"/>
      <c r="D177" s="306"/>
      <c r="E177" s="306"/>
      <c r="F177" s="306"/>
      <c r="G177" s="306"/>
      <c r="H177" s="306"/>
      <c r="I177" s="65" t="s">
        <v>106</v>
      </c>
      <c r="J177" s="63" t="s">
        <v>106</v>
      </c>
    </row>
    <row r="178" spans="1:10" ht="12.75">
      <c r="A178" s="17"/>
      <c r="B178" s="306" t="s">
        <v>176</v>
      </c>
      <c r="C178" s="306"/>
      <c r="D178" s="306"/>
      <c r="E178" s="306"/>
      <c r="F178" s="306"/>
      <c r="G178" s="306"/>
      <c r="H178" s="306"/>
      <c r="I178" s="64">
        <v>0.02</v>
      </c>
      <c r="J178" s="23">
        <f>ROUND(($J$169/(1-$I$181))*I178,2)</f>
        <v>92.48</v>
      </c>
    </row>
    <row r="179" spans="1:10" ht="12.75">
      <c r="A179" s="301" t="s">
        <v>80</v>
      </c>
      <c r="B179" s="301"/>
      <c r="C179" s="301"/>
      <c r="D179" s="301"/>
      <c r="E179" s="301"/>
      <c r="F179" s="301"/>
      <c r="G179" s="301"/>
      <c r="H179" s="301"/>
      <c r="I179" s="301"/>
      <c r="J179" s="20">
        <f>SUM(J166+J168+J172+J173+J178)</f>
        <v>893.03</v>
      </c>
    </row>
    <row r="180" spans="1:10" ht="12.75">
      <c r="A180" s="298"/>
      <c r="B180" s="298"/>
      <c r="C180" s="298"/>
      <c r="D180" s="298"/>
      <c r="E180" s="298"/>
      <c r="F180" s="298"/>
      <c r="G180" s="298"/>
      <c r="H180" s="298"/>
      <c r="I180" s="298"/>
      <c r="J180" s="298"/>
    </row>
    <row r="181" spans="1:10" ht="14.25" customHeight="1">
      <c r="A181" s="285" t="s">
        <v>177</v>
      </c>
      <c r="B181" s="285"/>
      <c r="C181" s="285"/>
      <c r="D181" s="285"/>
      <c r="E181" s="285"/>
      <c r="F181" s="285"/>
      <c r="G181" s="285"/>
      <c r="H181" s="285"/>
      <c r="I181" s="66">
        <f>SUM(I172:I178)</f>
        <v>0.1125</v>
      </c>
      <c r="J181" s="67">
        <f>SUM(J172:J178)</f>
        <v>520.1800000000001</v>
      </c>
    </row>
    <row r="182" spans="1:10" ht="12.75" customHeight="1">
      <c r="A182" s="302" t="s">
        <v>178</v>
      </c>
      <c r="B182" s="302"/>
      <c r="C182" s="302"/>
      <c r="D182" s="303" t="s">
        <v>179</v>
      </c>
      <c r="E182" s="303"/>
      <c r="F182" s="303"/>
      <c r="G182" s="303"/>
      <c r="H182" s="303"/>
      <c r="I182" s="303"/>
      <c r="J182" s="303"/>
    </row>
    <row r="183" spans="1:10" ht="12.75">
      <c r="A183" s="302"/>
      <c r="B183" s="302"/>
      <c r="C183" s="302"/>
      <c r="D183" s="304" t="s">
        <v>180</v>
      </c>
      <c r="E183" s="304"/>
      <c r="F183" s="304"/>
      <c r="G183" s="304"/>
      <c r="H183" s="304"/>
      <c r="I183" s="304"/>
      <c r="J183" s="304"/>
    </row>
    <row r="184" spans="1:10" ht="12.75">
      <c r="A184" s="302"/>
      <c r="B184" s="302"/>
      <c r="C184" s="302"/>
      <c r="D184" s="305" t="s">
        <v>181</v>
      </c>
      <c r="E184" s="305"/>
      <c r="F184" s="305"/>
      <c r="G184" s="305"/>
      <c r="H184" s="305"/>
      <c r="I184" s="305"/>
      <c r="J184" s="305"/>
    </row>
    <row r="185" spans="1:10" ht="12.75">
      <c r="A185" s="298"/>
      <c r="B185" s="298"/>
      <c r="C185" s="298"/>
      <c r="D185" s="298"/>
      <c r="E185" s="298"/>
      <c r="F185" s="298"/>
      <c r="G185" s="298"/>
      <c r="H185" s="298"/>
      <c r="I185" s="298"/>
      <c r="J185" s="298"/>
    </row>
    <row r="186" spans="1:10" ht="27" customHeight="1">
      <c r="A186" s="280" t="s">
        <v>182</v>
      </c>
      <c r="B186" s="280"/>
      <c r="C186" s="280"/>
      <c r="D186" s="280"/>
      <c r="E186" s="280"/>
      <c r="F186" s="280"/>
      <c r="G186" s="280"/>
      <c r="H186" s="280"/>
      <c r="I186" s="280"/>
      <c r="J186" s="280"/>
    </row>
    <row r="187" spans="1:10" ht="12.75" customHeight="1">
      <c r="A187" s="298"/>
      <c r="B187" s="298"/>
      <c r="C187" s="298"/>
      <c r="D187" s="298"/>
      <c r="E187" s="298"/>
      <c r="F187" s="298"/>
      <c r="G187" s="298"/>
      <c r="H187" s="298"/>
      <c r="I187" s="298"/>
      <c r="J187" s="298"/>
    </row>
    <row r="188" spans="1:10" ht="45.75" customHeight="1">
      <c r="A188" s="299" t="s">
        <v>183</v>
      </c>
      <c r="B188" s="299"/>
      <c r="C188" s="299"/>
      <c r="D188" s="299"/>
      <c r="E188" s="299"/>
      <c r="F188" s="299"/>
      <c r="G188" s="299"/>
      <c r="H188" s="299"/>
      <c r="I188" s="299"/>
      <c r="J188" s="299"/>
    </row>
    <row r="189" spans="1:10" ht="14.25" customHeight="1">
      <c r="A189" s="300" t="s">
        <v>184</v>
      </c>
      <c r="B189" s="300"/>
      <c r="C189" s="300"/>
      <c r="D189" s="300"/>
      <c r="E189" s="300"/>
      <c r="F189" s="300"/>
      <c r="G189" s="300"/>
      <c r="H189" s="300"/>
      <c r="I189" s="300"/>
      <c r="J189" s="4" t="s">
        <v>77</v>
      </c>
    </row>
    <row r="190" spans="1:10" ht="14.25" customHeight="1">
      <c r="A190" s="68" t="s">
        <v>7</v>
      </c>
      <c r="B190" s="297" t="s">
        <v>185</v>
      </c>
      <c r="C190" s="297"/>
      <c r="D190" s="297"/>
      <c r="E190" s="297"/>
      <c r="F190" s="297"/>
      <c r="G190" s="297"/>
      <c r="H190" s="297"/>
      <c r="I190" s="297"/>
      <c r="J190" s="7">
        <f>J64</f>
        <v>1517.54</v>
      </c>
    </row>
    <row r="191" spans="1:10" ht="14.25" customHeight="1">
      <c r="A191" s="68" t="s">
        <v>10</v>
      </c>
      <c r="B191" s="297" t="s">
        <v>73</v>
      </c>
      <c r="C191" s="297"/>
      <c r="D191" s="297"/>
      <c r="E191" s="297"/>
      <c r="F191" s="297"/>
      <c r="G191" s="297"/>
      <c r="H191" s="297"/>
      <c r="I191" s="297"/>
      <c r="J191" s="7">
        <f>J114</f>
        <v>1301.2</v>
      </c>
    </row>
    <row r="192" spans="1:10" ht="14.25" customHeight="1">
      <c r="A192" s="68" t="s">
        <v>13</v>
      </c>
      <c r="B192" s="297" t="s">
        <v>186</v>
      </c>
      <c r="C192" s="297"/>
      <c r="D192" s="297"/>
      <c r="E192" s="297"/>
      <c r="F192" s="297"/>
      <c r="G192" s="297"/>
      <c r="H192" s="297"/>
      <c r="I192" s="297"/>
      <c r="J192" s="7">
        <f>J123</f>
        <v>124.4</v>
      </c>
    </row>
    <row r="193" spans="1:10" ht="14.25" customHeight="1">
      <c r="A193" s="68" t="s">
        <v>15</v>
      </c>
      <c r="B193" s="297" t="s">
        <v>187</v>
      </c>
      <c r="C193" s="297"/>
      <c r="D193" s="297"/>
      <c r="E193" s="297"/>
      <c r="F193" s="297"/>
      <c r="G193" s="297"/>
      <c r="H193" s="297"/>
      <c r="I193" s="297"/>
      <c r="J193" s="7">
        <f>J151</f>
        <v>252.08999999999997</v>
      </c>
    </row>
    <row r="194" spans="1:10" ht="14.25" customHeight="1">
      <c r="A194" s="68" t="s">
        <v>93</v>
      </c>
      <c r="B194" s="297" t="s">
        <v>188</v>
      </c>
      <c r="C194" s="297"/>
      <c r="D194" s="297"/>
      <c r="E194" s="297"/>
      <c r="F194" s="297"/>
      <c r="G194" s="297"/>
      <c r="H194" s="297"/>
      <c r="I194" s="297"/>
      <c r="J194" s="7">
        <f>J159</f>
        <v>535.606069049449</v>
      </c>
    </row>
    <row r="195" spans="1:10" ht="14.25" customHeight="1">
      <c r="A195" s="295" t="s">
        <v>189</v>
      </c>
      <c r="B195" s="295"/>
      <c r="C195" s="295"/>
      <c r="D195" s="295"/>
      <c r="E195" s="295"/>
      <c r="F195" s="295"/>
      <c r="G195" s="295"/>
      <c r="H195" s="295"/>
      <c r="I195" s="295"/>
      <c r="J195" s="56">
        <f>SUM(J190:J194)</f>
        <v>3730.836069049449</v>
      </c>
    </row>
    <row r="196" spans="1:10" ht="14.25" customHeight="1">
      <c r="A196" s="68" t="s">
        <v>95</v>
      </c>
      <c r="B196" s="297" t="s">
        <v>190</v>
      </c>
      <c r="C196" s="297"/>
      <c r="D196" s="297"/>
      <c r="E196" s="297"/>
      <c r="F196" s="297"/>
      <c r="G196" s="297"/>
      <c r="H196" s="297"/>
      <c r="I196" s="297"/>
      <c r="J196" s="7">
        <f>J179</f>
        <v>893.03</v>
      </c>
    </row>
    <row r="197" spans="1:10" ht="14.25" customHeight="1">
      <c r="A197" s="295" t="s">
        <v>191</v>
      </c>
      <c r="B197" s="295"/>
      <c r="C197" s="295"/>
      <c r="D197" s="295"/>
      <c r="E197" s="295"/>
      <c r="F197" s="295"/>
      <c r="G197" s="295"/>
      <c r="H197" s="295"/>
      <c r="I197" s="295"/>
      <c r="J197" s="56">
        <f>SUM(J195:J196)</f>
        <v>4623.866069049449</v>
      </c>
    </row>
    <row r="198" spans="1:10" ht="41.25" customHeight="1">
      <c r="A198" s="296" t="s">
        <v>192</v>
      </c>
      <c r="B198" s="296"/>
      <c r="C198" s="296"/>
      <c r="D198" s="296"/>
      <c r="E198" s="296"/>
      <c r="F198" s="296"/>
      <c r="G198" s="296"/>
      <c r="H198" s="296"/>
      <c r="I198" s="296"/>
      <c r="J198" s="296"/>
    </row>
    <row r="199" spans="1:10" ht="14.25" customHeight="1">
      <c r="A199" s="242" t="s">
        <v>193</v>
      </c>
      <c r="B199" s="242"/>
      <c r="C199" s="242"/>
      <c r="D199" s="242"/>
      <c r="E199" s="242"/>
      <c r="F199" s="242"/>
      <c r="G199" s="242"/>
      <c r="H199" s="242"/>
      <c r="I199" s="242"/>
      <c r="J199" s="242"/>
    </row>
    <row r="200" spans="1:10" ht="48" customHeight="1">
      <c r="A200" s="242"/>
      <c r="B200" s="242"/>
      <c r="C200" s="242"/>
      <c r="D200" s="242"/>
      <c r="E200" s="242"/>
      <c r="F200" s="242"/>
      <c r="G200" s="242"/>
      <c r="H200" s="242"/>
      <c r="I200" s="242"/>
      <c r="J200" s="242"/>
    </row>
    <row r="201" spans="1:10" ht="39" customHeight="1">
      <c r="A201" s="276" t="s">
        <v>194</v>
      </c>
      <c r="B201" s="276"/>
      <c r="C201" s="276"/>
      <c r="D201" s="276" t="s">
        <v>195</v>
      </c>
      <c r="E201" s="276"/>
      <c r="F201" s="276"/>
      <c r="G201" s="263" t="s">
        <v>196</v>
      </c>
      <c r="H201" s="263"/>
      <c r="I201" s="263" t="s">
        <v>197</v>
      </c>
      <c r="J201" s="263"/>
    </row>
    <row r="202" spans="1:10" ht="27" customHeight="1">
      <c r="A202" s="280" t="s">
        <v>198</v>
      </c>
      <c r="B202" s="280"/>
      <c r="C202" s="280"/>
      <c r="D202" s="70">
        <v>1</v>
      </c>
      <c r="E202" s="71">
        <v>30</v>
      </c>
      <c r="F202" s="71">
        <f>E203</f>
        <v>1200</v>
      </c>
      <c r="G202" s="281">
        <v>0</v>
      </c>
      <c r="H202" s="281"/>
      <c r="I202" s="286">
        <v>0</v>
      </c>
      <c r="J202" s="286"/>
    </row>
    <row r="203" spans="1:10" ht="14.25" customHeight="1">
      <c r="A203" s="280" t="s">
        <v>199</v>
      </c>
      <c r="B203" s="280"/>
      <c r="C203" s="280"/>
      <c r="D203" s="70">
        <v>1</v>
      </c>
      <c r="E203" s="282">
        <f>'CÁLCULO N. SERVENTES NOVA FREQ'!C2</f>
        <v>1200</v>
      </c>
      <c r="F203" s="282"/>
      <c r="G203" s="291">
        <f>J197</f>
        <v>4623.866069049449</v>
      </c>
      <c r="H203" s="291"/>
      <c r="I203" s="286">
        <f>ROUND((D203/E203)*G203,2)</f>
        <v>3.85</v>
      </c>
      <c r="J203" s="286"/>
    </row>
    <row r="204" spans="1:10" ht="14.25" customHeight="1">
      <c r="A204" s="274" t="s">
        <v>200</v>
      </c>
      <c r="B204" s="274"/>
      <c r="C204" s="274"/>
      <c r="D204" s="274"/>
      <c r="E204" s="274"/>
      <c r="F204" s="274"/>
      <c r="G204" s="274"/>
      <c r="H204" s="274"/>
      <c r="I204" s="286">
        <f>SUM(I202+I203)</f>
        <v>3.85</v>
      </c>
      <c r="J204" s="286"/>
    </row>
    <row r="205" spans="1:10" ht="14.25" customHeight="1">
      <c r="A205" s="287"/>
      <c r="B205" s="287"/>
      <c r="C205" s="287"/>
      <c r="D205" s="287"/>
      <c r="E205" s="287"/>
      <c r="F205" s="287"/>
      <c r="G205" s="287"/>
      <c r="H205" s="287"/>
      <c r="I205" s="287"/>
      <c r="J205" s="287"/>
    </row>
    <row r="206" spans="1:10" ht="14.25" customHeight="1">
      <c r="A206" s="280" t="s">
        <v>201</v>
      </c>
      <c r="B206" s="280"/>
      <c r="C206" s="280"/>
      <c r="D206" s="73">
        <v>1</v>
      </c>
      <c r="E206" s="71">
        <v>30</v>
      </c>
      <c r="F206" s="71">
        <f>E207</f>
        <v>1840</v>
      </c>
      <c r="G206" s="281">
        <v>0</v>
      </c>
      <c r="H206" s="281"/>
      <c r="I206" s="286">
        <f>ROUND((D206/E206*F206)*G206,2)</f>
        <v>0</v>
      </c>
      <c r="J206" s="286"/>
    </row>
    <row r="207" spans="1:10" ht="14.25" customHeight="1">
      <c r="A207" s="280" t="s">
        <v>202</v>
      </c>
      <c r="B207" s="280"/>
      <c r="C207" s="280"/>
      <c r="D207" s="73">
        <v>1</v>
      </c>
      <c r="E207" s="282">
        <f>'CÁLCULO N. SERVENTES NOVA FREQ'!C3</f>
        <v>1840</v>
      </c>
      <c r="F207" s="282"/>
      <c r="G207" s="281">
        <f>J197</f>
        <v>4623.866069049449</v>
      </c>
      <c r="H207" s="281"/>
      <c r="I207" s="286">
        <f>ROUND((D207/E207)*G207,2)</f>
        <v>2.51</v>
      </c>
      <c r="J207" s="286"/>
    </row>
    <row r="208" spans="1:10" ht="14.25" customHeight="1">
      <c r="A208" s="274" t="s">
        <v>200</v>
      </c>
      <c r="B208" s="274"/>
      <c r="C208" s="274"/>
      <c r="D208" s="274"/>
      <c r="E208" s="274"/>
      <c r="F208" s="274"/>
      <c r="G208" s="274"/>
      <c r="H208" s="274"/>
      <c r="I208" s="286">
        <f>SUM(I206+I207)</f>
        <v>2.51</v>
      </c>
      <c r="J208" s="286"/>
    </row>
    <row r="209" spans="1:10" ht="14.25" customHeight="1">
      <c r="A209" s="287"/>
      <c r="B209" s="287"/>
      <c r="C209" s="287"/>
      <c r="D209" s="287"/>
      <c r="E209" s="287"/>
      <c r="F209" s="287"/>
      <c r="G209" s="287"/>
      <c r="H209" s="287"/>
      <c r="I209" s="287"/>
      <c r="J209" s="287"/>
    </row>
    <row r="210" spans="1:10" ht="14.25" customHeight="1">
      <c r="A210" s="280" t="s">
        <v>203</v>
      </c>
      <c r="B210" s="280"/>
      <c r="C210" s="280"/>
      <c r="D210" s="70">
        <v>1</v>
      </c>
      <c r="E210" s="71">
        <v>30</v>
      </c>
      <c r="F210" s="71">
        <f>E211</f>
        <v>704</v>
      </c>
      <c r="G210" s="292">
        <v>0</v>
      </c>
      <c r="H210" s="292"/>
      <c r="I210" s="286">
        <f>ROUND((D210/E210*F210)*G210,2)</f>
        <v>0</v>
      </c>
      <c r="J210" s="286"/>
    </row>
    <row r="211" spans="1:10" ht="14.25" customHeight="1">
      <c r="A211" s="280" t="s">
        <v>204</v>
      </c>
      <c r="B211" s="280"/>
      <c r="C211" s="280"/>
      <c r="D211" s="70">
        <v>1</v>
      </c>
      <c r="E211" s="282">
        <f>'CÁLCULO N. SERVENTES NOVA FREQ'!C4</f>
        <v>704</v>
      </c>
      <c r="F211" s="282"/>
      <c r="G211" s="293">
        <f>J197</f>
        <v>4623.866069049449</v>
      </c>
      <c r="H211" s="293"/>
      <c r="I211" s="286">
        <f>ROUND((D211/E211)*G211,2)</f>
        <v>6.57</v>
      </c>
      <c r="J211" s="286"/>
    </row>
    <row r="212" spans="1:10" ht="14.25" customHeight="1">
      <c r="A212" s="274" t="s">
        <v>200</v>
      </c>
      <c r="B212" s="274"/>
      <c r="C212" s="274"/>
      <c r="D212" s="274"/>
      <c r="E212" s="274"/>
      <c r="F212" s="274"/>
      <c r="G212" s="274"/>
      <c r="H212" s="274"/>
      <c r="I212" s="286">
        <f>SUM(I210+I211)</f>
        <v>6.57</v>
      </c>
      <c r="J212" s="286"/>
    </row>
    <row r="213" spans="1:10" ht="14.25" customHeight="1">
      <c r="A213" s="287"/>
      <c r="B213" s="287"/>
      <c r="C213" s="287"/>
      <c r="D213" s="287"/>
      <c r="E213" s="287"/>
      <c r="F213" s="287"/>
      <c r="G213" s="287"/>
      <c r="H213" s="287"/>
      <c r="I213" s="287"/>
      <c r="J213" s="287"/>
    </row>
    <row r="214" spans="1:10" ht="25.5" customHeight="1">
      <c r="A214" s="294" t="s">
        <v>205</v>
      </c>
      <c r="B214" s="294"/>
      <c r="C214" s="294"/>
      <c r="D214" s="71">
        <v>1</v>
      </c>
      <c r="E214" s="71">
        <v>30</v>
      </c>
      <c r="F214" s="71">
        <f>E215</f>
        <v>4063</v>
      </c>
      <c r="G214" s="281">
        <v>0</v>
      </c>
      <c r="H214" s="281"/>
      <c r="I214" s="286">
        <f>ROUND((D214/E214*F214)*G214,2)</f>
        <v>0</v>
      </c>
      <c r="J214" s="286"/>
    </row>
    <row r="215" spans="1:10" ht="14.25" customHeight="1">
      <c r="A215" s="294" t="s">
        <v>206</v>
      </c>
      <c r="B215" s="294"/>
      <c r="C215" s="294"/>
      <c r="D215" s="74">
        <v>1</v>
      </c>
      <c r="E215" s="282">
        <f>'CÁLCULO N. SERVENTES NOVA FREQ'!C5</f>
        <v>4063</v>
      </c>
      <c r="F215" s="282"/>
      <c r="G215" s="291">
        <f>J197</f>
        <v>4623.866069049449</v>
      </c>
      <c r="H215" s="291"/>
      <c r="I215" s="286">
        <f>ROUND((D215/E215)*G215,2)</f>
        <v>1.14</v>
      </c>
      <c r="J215" s="286"/>
    </row>
    <row r="216" spans="1:10" ht="14.25" customHeight="1">
      <c r="A216" s="274" t="s">
        <v>200</v>
      </c>
      <c r="B216" s="274"/>
      <c r="C216" s="274"/>
      <c r="D216" s="274"/>
      <c r="E216" s="274"/>
      <c r="F216" s="274"/>
      <c r="G216" s="274"/>
      <c r="H216" s="274"/>
      <c r="I216" s="286">
        <f>SUM(I214+I215)</f>
        <v>1.14</v>
      </c>
      <c r="J216" s="286"/>
    </row>
    <row r="217" spans="1:10" ht="14.25" customHeight="1">
      <c r="A217" s="287"/>
      <c r="B217" s="287"/>
      <c r="C217" s="287"/>
      <c r="D217" s="287"/>
      <c r="E217" s="287"/>
      <c r="F217" s="287"/>
      <c r="G217" s="287"/>
      <c r="H217" s="287"/>
      <c r="I217" s="287"/>
      <c r="J217" s="287"/>
    </row>
    <row r="218" spans="1:10" ht="14.25" customHeight="1">
      <c r="A218" s="280" t="s">
        <v>207</v>
      </c>
      <c r="B218" s="280"/>
      <c r="C218" s="280"/>
      <c r="D218" s="70">
        <v>1</v>
      </c>
      <c r="E218" s="71">
        <v>30</v>
      </c>
      <c r="F218" s="71">
        <f>E219</f>
        <v>1800</v>
      </c>
      <c r="G218" s="292">
        <v>0</v>
      </c>
      <c r="H218" s="292"/>
      <c r="I218" s="286">
        <f>ROUND((D218/E218*F218)*G218,2)</f>
        <v>0</v>
      </c>
      <c r="J218" s="286"/>
    </row>
    <row r="219" spans="1:10" ht="14.25" customHeight="1">
      <c r="A219" s="280" t="s">
        <v>208</v>
      </c>
      <c r="B219" s="280"/>
      <c r="C219" s="280"/>
      <c r="D219" s="70">
        <v>1</v>
      </c>
      <c r="E219" s="282">
        <f>'CÁLCULO N. SERVENTES NOVA FREQ'!C6</f>
        <v>1800</v>
      </c>
      <c r="F219" s="282"/>
      <c r="G219" s="293">
        <f>J197</f>
        <v>4623.866069049449</v>
      </c>
      <c r="H219" s="293"/>
      <c r="I219" s="286">
        <f>ROUND((D219/E219)*G219,2)</f>
        <v>2.57</v>
      </c>
      <c r="J219" s="286"/>
    </row>
    <row r="220" spans="1:10" ht="14.25" customHeight="1">
      <c r="A220" s="274" t="s">
        <v>200</v>
      </c>
      <c r="B220" s="274"/>
      <c r="C220" s="274"/>
      <c r="D220" s="274"/>
      <c r="E220" s="274"/>
      <c r="F220" s="274"/>
      <c r="G220" s="274"/>
      <c r="H220" s="274"/>
      <c r="I220" s="286">
        <f>SUM(I218+I219)</f>
        <v>2.57</v>
      </c>
      <c r="J220" s="286"/>
    </row>
    <row r="221" spans="1:10" ht="14.25" customHeight="1">
      <c r="A221" s="287"/>
      <c r="B221" s="287"/>
      <c r="C221" s="287"/>
      <c r="D221" s="287"/>
      <c r="E221" s="287"/>
      <c r="F221" s="287"/>
      <c r="G221" s="287"/>
      <c r="H221" s="287"/>
      <c r="I221" s="287"/>
      <c r="J221" s="287"/>
    </row>
    <row r="222" spans="1:10" ht="27" customHeight="1">
      <c r="A222" s="280" t="s">
        <v>209</v>
      </c>
      <c r="B222" s="280"/>
      <c r="C222" s="280"/>
      <c r="D222" s="71">
        <v>1</v>
      </c>
      <c r="E222" s="71">
        <v>30</v>
      </c>
      <c r="F222" s="71">
        <f>E223</f>
        <v>2063</v>
      </c>
      <c r="G222" s="292">
        <v>0</v>
      </c>
      <c r="H222" s="292"/>
      <c r="I222" s="286">
        <f>ROUND((D222/E222*F222)*G222,2)</f>
        <v>0</v>
      </c>
      <c r="J222" s="286"/>
    </row>
    <row r="223" spans="1:10" ht="27" customHeight="1">
      <c r="A223" s="280" t="s">
        <v>210</v>
      </c>
      <c r="B223" s="280"/>
      <c r="C223" s="280"/>
      <c r="D223" s="71">
        <v>1</v>
      </c>
      <c r="E223" s="282">
        <f>'CÁLCULO N. SERVENTES NOVA FREQ'!C7</f>
        <v>2063</v>
      </c>
      <c r="F223" s="282"/>
      <c r="G223" s="291">
        <f>J197</f>
        <v>4623.866069049449</v>
      </c>
      <c r="H223" s="291"/>
      <c r="I223" s="286">
        <f>ROUND((D223/E223)*G223,2)</f>
        <v>2.24</v>
      </c>
      <c r="J223" s="286"/>
    </row>
    <row r="224" spans="1:10" ht="14.25" customHeight="1">
      <c r="A224" s="264" t="s">
        <v>200</v>
      </c>
      <c r="B224" s="264"/>
      <c r="C224" s="264"/>
      <c r="D224" s="264"/>
      <c r="E224" s="264"/>
      <c r="F224" s="264"/>
      <c r="G224" s="264"/>
      <c r="H224" s="264"/>
      <c r="I224" s="284">
        <f>SUM(I222+I223)</f>
        <v>2.24</v>
      </c>
      <c r="J224" s="284"/>
    </row>
    <row r="225" spans="1:10" ht="14.25" customHeight="1">
      <c r="A225" s="287"/>
      <c r="B225" s="287"/>
      <c r="C225" s="287"/>
      <c r="D225" s="287"/>
      <c r="E225" s="287"/>
      <c r="F225" s="287"/>
      <c r="G225" s="287"/>
      <c r="H225" s="287"/>
      <c r="I225" s="287"/>
      <c r="J225" s="287"/>
    </row>
    <row r="226" spans="1:10" ht="14.25" customHeight="1">
      <c r="A226" s="288" t="s">
        <v>211</v>
      </c>
      <c r="B226" s="288"/>
      <c r="C226" s="288"/>
      <c r="D226" s="75">
        <v>1</v>
      </c>
      <c r="E226" s="75">
        <v>30</v>
      </c>
      <c r="F226" s="75">
        <f>E227</f>
        <v>196</v>
      </c>
      <c r="G226" s="289">
        <v>0</v>
      </c>
      <c r="H226" s="289"/>
      <c r="I226" s="286">
        <f>ROUND((D226/E226*F226)*G226,2)</f>
        <v>0</v>
      </c>
      <c r="J226" s="286"/>
    </row>
    <row r="227" spans="1:10" ht="14.25" customHeight="1">
      <c r="A227" s="288" t="s">
        <v>212</v>
      </c>
      <c r="B227" s="288"/>
      <c r="C227" s="288"/>
      <c r="D227" s="75">
        <v>1</v>
      </c>
      <c r="E227" s="290">
        <f>'CÁLCULO N. SERVENTES NOVA FREQ'!C8</f>
        <v>196</v>
      </c>
      <c r="F227" s="290"/>
      <c r="G227" s="289">
        <f>J197</f>
        <v>4623.866069049449</v>
      </c>
      <c r="H227" s="289"/>
      <c r="I227" s="286">
        <f>ROUND((D227/E227)*G227,2)</f>
        <v>23.59</v>
      </c>
      <c r="J227" s="286"/>
    </row>
    <row r="228" spans="1:10" ht="14.25" customHeight="1">
      <c r="A228" s="285" t="s">
        <v>200</v>
      </c>
      <c r="B228" s="285"/>
      <c r="C228" s="285"/>
      <c r="D228" s="285"/>
      <c r="E228" s="285"/>
      <c r="F228" s="285"/>
      <c r="G228" s="285"/>
      <c r="H228" s="285"/>
      <c r="I228" s="286">
        <f>SUM(I226+I227)</f>
        <v>23.59</v>
      </c>
      <c r="J228" s="286"/>
    </row>
    <row r="229" spans="1:10" ht="14.25" customHeight="1">
      <c r="A229" s="287"/>
      <c r="B229" s="287"/>
      <c r="C229" s="287"/>
      <c r="D229" s="287"/>
      <c r="E229" s="287"/>
      <c r="F229" s="287"/>
      <c r="G229" s="287"/>
      <c r="H229" s="287"/>
      <c r="I229" s="287"/>
      <c r="J229" s="287"/>
    </row>
    <row r="230" spans="1:10" ht="14.25" customHeight="1">
      <c r="A230" s="265" t="s">
        <v>213</v>
      </c>
      <c r="B230" s="265"/>
      <c r="C230" s="265"/>
      <c r="D230" s="265"/>
      <c r="E230" s="265"/>
      <c r="F230" s="265"/>
      <c r="G230" s="265"/>
      <c r="H230" s="265"/>
      <c r="I230" s="265"/>
      <c r="J230" s="265"/>
    </row>
    <row r="231" spans="1:10" ht="14.25" customHeight="1">
      <c r="A231" s="279"/>
      <c r="B231" s="279"/>
      <c r="C231" s="279"/>
      <c r="D231" s="279"/>
      <c r="E231" s="279"/>
      <c r="F231" s="279"/>
      <c r="G231" s="279"/>
      <c r="H231" s="279"/>
      <c r="I231" s="279"/>
      <c r="J231" s="279"/>
    </row>
    <row r="232" spans="1:10" ht="43.5" customHeight="1">
      <c r="A232" s="242"/>
      <c r="B232" s="242"/>
      <c r="C232" s="242"/>
      <c r="D232" s="242"/>
      <c r="E232" s="242"/>
      <c r="F232" s="242"/>
      <c r="G232" s="242"/>
      <c r="H232" s="242"/>
      <c r="I232" s="242"/>
      <c r="J232" s="242"/>
    </row>
    <row r="233" spans="1:10" ht="39" customHeight="1">
      <c r="A233" s="276" t="s">
        <v>214</v>
      </c>
      <c r="B233" s="276"/>
      <c r="C233" s="276"/>
      <c r="D233" s="276" t="s">
        <v>215</v>
      </c>
      <c r="E233" s="276"/>
      <c r="F233" s="276"/>
      <c r="G233" s="263" t="s">
        <v>216</v>
      </c>
      <c r="H233" s="263"/>
      <c r="I233" s="263" t="s">
        <v>197</v>
      </c>
      <c r="J233" s="263"/>
    </row>
    <row r="234" spans="1:10" ht="39" customHeight="1">
      <c r="A234" s="280" t="s">
        <v>217</v>
      </c>
      <c r="B234" s="280"/>
      <c r="C234" s="280"/>
      <c r="D234" s="76">
        <v>1</v>
      </c>
      <c r="E234" s="76" t="s">
        <v>218</v>
      </c>
      <c r="F234" s="72">
        <f>E235</f>
        <v>4725</v>
      </c>
      <c r="G234" s="281">
        <v>0</v>
      </c>
      <c r="H234" s="281"/>
      <c r="I234" s="267">
        <v>0</v>
      </c>
      <c r="J234" s="267"/>
    </row>
    <row r="235" spans="1:10" ht="39" customHeight="1">
      <c r="A235" s="280" t="s">
        <v>219</v>
      </c>
      <c r="B235" s="280"/>
      <c r="C235" s="280"/>
      <c r="D235" s="76">
        <v>1</v>
      </c>
      <c r="E235" s="282">
        <f>'CÁLCULO N. SERVENTES NOVA FREQ'!C9</f>
        <v>4725</v>
      </c>
      <c r="F235" s="282"/>
      <c r="G235" s="281">
        <f>J197</f>
        <v>4623.866069049449</v>
      </c>
      <c r="H235" s="281"/>
      <c r="I235" s="267">
        <f>ROUND((D235/E235)*G235,2)</f>
        <v>0.98</v>
      </c>
      <c r="J235" s="267"/>
    </row>
    <row r="236" spans="1:10" ht="14.25" customHeight="1">
      <c r="A236" s="274" t="s">
        <v>200</v>
      </c>
      <c r="B236" s="274"/>
      <c r="C236" s="274"/>
      <c r="D236" s="274"/>
      <c r="E236" s="274"/>
      <c r="F236" s="274"/>
      <c r="G236" s="274"/>
      <c r="H236" s="274"/>
      <c r="I236" s="267">
        <f>SUM(I234+I235)</f>
        <v>0.98</v>
      </c>
      <c r="J236" s="267"/>
    </row>
    <row r="237" spans="1:10" ht="14.25" customHeight="1">
      <c r="A237" s="279"/>
      <c r="B237" s="279"/>
      <c r="C237" s="279"/>
      <c r="D237" s="279"/>
      <c r="E237" s="279"/>
      <c r="F237" s="279"/>
      <c r="G237" s="279"/>
      <c r="H237" s="279"/>
      <c r="I237" s="279"/>
      <c r="J237" s="279"/>
    </row>
    <row r="238" spans="1:10" ht="27" customHeight="1">
      <c r="A238" s="280" t="s">
        <v>220</v>
      </c>
      <c r="B238" s="280"/>
      <c r="C238" s="280"/>
      <c r="D238" s="76">
        <v>1</v>
      </c>
      <c r="E238" s="76" t="s">
        <v>218</v>
      </c>
      <c r="F238" s="72">
        <f>E239</f>
        <v>9000</v>
      </c>
      <c r="G238" s="281">
        <v>0</v>
      </c>
      <c r="H238" s="281"/>
      <c r="I238" s="267">
        <v>0</v>
      </c>
      <c r="J238" s="267"/>
    </row>
    <row r="239" spans="1:10" ht="27" customHeight="1">
      <c r="A239" s="280" t="s">
        <v>221</v>
      </c>
      <c r="B239" s="280"/>
      <c r="C239" s="280"/>
      <c r="D239" s="76">
        <v>1</v>
      </c>
      <c r="E239" s="282">
        <f>'CÁLCULO N. SERVENTES NOVA FREQ'!C10</f>
        <v>9000</v>
      </c>
      <c r="F239" s="282"/>
      <c r="G239" s="281">
        <f>J197</f>
        <v>4623.866069049449</v>
      </c>
      <c r="H239" s="281"/>
      <c r="I239" s="267">
        <f>ROUND((D239/E239)*G239,2)</f>
        <v>0.51</v>
      </c>
      <c r="J239" s="267"/>
    </row>
    <row r="240" spans="1:10" ht="14.25" customHeight="1">
      <c r="A240" s="274" t="s">
        <v>200</v>
      </c>
      <c r="B240" s="274"/>
      <c r="C240" s="274"/>
      <c r="D240" s="274"/>
      <c r="E240" s="274"/>
      <c r="F240" s="274"/>
      <c r="G240" s="274"/>
      <c r="H240" s="274"/>
      <c r="I240" s="267">
        <f>SUM(I238+I239)</f>
        <v>0.51</v>
      </c>
      <c r="J240" s="267"/>
    </row>
    <row r="241" spans="1:10" ht="14.25" customHeight="1">
      <c r="A241" s="279"/>
      <c r="B241" s="279"/>
      <c r="C241" s="279"/>
      <c r="D241" s="279"/>
      <c r="E241" s="279"/>
      <c r="F241" s="279"/>
      <c r="G241" s="279"/>
      <c r="H241" s="279"/>
      <c r="I241" s="279"/>
      <c r="J241" s="279"/>
    </row>
    <row r="242" spans="1:10" ht="27" customHeight="1">
      <c r="A242" s="280" t="s">
        <v>222</v>
      </c>
      <c r="B242" s="280"/>
      <c r="C242" s="280"/>
      <c r="D242" s="76">
        <v>1</v>
      </c>
      <c r="E242" s="76" t="s">
        <v>218</v>
      </c>
      <c r="F242" s="72">
        <f>E243</f>
        <v>2700</v>
      </c>
      <c r="G242" s="281">
        <v>0</v>
      </c>
      <c r="H242" s="281"/>
      <c r="I242" s="267">
        <f>ROUND((D242/E242*F242)*G242,2)</f>
        <v>0</v>
      </c>
      <c r="J242" s="267"/>
    </row>
    <row r="243" spans="1:10" ht="27" customHeight="1">
      <c r="A243" s="280" t="s">
        <v>223</v>
      </c>
      <c r="B243" s="280"/>
      <c r="C243" s="280"/>
      <c r="D243" s="76">
        <v>1</v>
      </c>
      <c r="E243" s="282">
        <f>'CÁLCULO N. SERVENTES NOVA FREQ'!C11</f>
        <v>2700</v>
      </c>
      <c r="F243" s="282"/>
      <c r="G243" s="281">
        <f>J197</f>
        <v>4623.866069049449</v>
      </c>
      <c r="H243" s="281"/>
      <c r="I243" s="267">
        <f>ROUND((D243/E243)*G243,2)</f>
        <v>1.71</v>
      </c>
      <c r="J243" s="267"/>
    </row>
    <row r="244" spans="1:10" ht="14.25" customHeight="1">
      <c r="A244" s="274" t="s">
        <v>200</v>
      </c>
      <c r="B244" s="274"/>
      <c r="C244" s="274"/>
      <c r="D244" s="274"/>
      <c r="E244" s="274"/>
      <c r="F244" s="274"/>
      <c r="G244" s="274"/>
      <c r="H244" s="274"/>
      <c r="I244" s="267">
        <f>SUM(I242+I243)</f>
        <v>1.71</v>
      </c>
      <c r="J244" s="267"/>
    </row>
    <row r="245" spans="1:10" ht="14.25" customHeight="1">
      <c r="A245" s="279"/>
      <c r="B245" s="279"/>
      <c r="C245" s="279"/>
      <c r="D245" s="279"/>
      <c r="E245" s="279"/>
      <c r="F245" s="279"/>
      <c r="G245" s="279"/>
      <c r="H245" s="279"/>
      <c r="I245" s="279"/>
      <c r="J245" s="279"/>
    </row>
    <row r="246" spans="1:10" ht="27" customHeight="1">
      <c r="A246" s="280" t="s">
        <v>224</v>
      </c>
      <c r="B246" s="280"/>
      <c r="C246" s="280"/>
      <c r="D246" s="76">
        <v>1</v>
      </c>
      <c r="E246" s="76" t="s">
        <v>218</v>
      </c>
      <c r="F246" s="72">
        <f>E247</f>
        <v>2700</v>
      </c>
      <c r="G246" s="281">
        <v>0</v>
      </c>
      <c r="H246" s="281"/>
      <c r="I246" s="251">
        <f>ROUND((D246/E246*F246)*G246,2)</f>
        <v>0</v>
      </c>
      <c r="J246" s="251"/>
    </row>
    <row r="247" spans="1:10" ht="27" customHeight="1">
      <c r="A247" s="280" t="s">
        <v>225</v>
      </c>
      <c r="B247" s="280"/>
      <c r="C247" s="280"/>
      <c r="D247" s="76">
        <v>1</v>
      </c>
      <c r="E247" s="282">
        <f>'CÁLCULO N. SERVENTES NOVA FREQ'!C12</f>
        <v>2700</v>
      </c>
      <c r="F247" s="282"/>
      <c r="G247" s="281">
        <f>J197</f>
        <v>4623.866069049449</v>
      </c>
      <c r="H247" s="281"/>
      <c r="I247" s="251">
        <f>ROUND((D247/E247)*G247,2)</f>
        <v>1.71</v>
      </c>
      <c r="J247" s="251"/>
    </row>
    <row r="248" spans="1:10" ht="14.25" customHeight="1">
      <c r="A248" s="274" t="s">
        <v>200</v>
      </c>
      <c r="B248" s="274"/>
      <c r="C248" s="274"/>
      <c r="D248" s="274"/>
      <c r="E248" s="274"/>
      <c r="F248" s="274"/>
      <c r="G248" s="274"/>
      <c r="H248" s="274"/>
      <c r="I248" s="251">
        <f>SUM(I246+I247)</f>
        <v>1.71</v>
      </c>
      <c r="J248" s="251"/>
    </row>
    <row r="249" spans="1:10" ht="14.25" customHeight="1">
      <c r="A249" s="279"/>
      <c r="B249" s="279"/>
      <c r="C249" s="279"/>
      <c r="D249" s="279"/>
      <c r="E249" s="279"/>
      <c r="F249" s="279"/>
      <c r="G249" s="279"/>
      <c r="H249" s="279"/>
      <c r="I249" s="279"/>
      <c r="J249" s="279"/>
    </row>
    <row r="250" spans="1:10" ht="27" customHeight="1">
      <c r="A250" s="280" t="s">
        <v>226</v>
      </c>
      <c r="B250" s="280"/>
      <c r="C250" s="280"/>
      <c r="D250" s="76" t="s">
        <v>227</v>
      </c>
      <c r="E250" s="76" t="s">
        <v>218</v>
      </c>
      <c r="F250" s="72">
        <f>E251</f>
        <v>2700</v>
      </c>
      <c r="G250" s="281">
        <v>0</v>
      </c>
      <c r="H250" s="281"/>
      <c r="I250" s="267">
        <f>ROUND((D250/E250*F250)*G250,2)</f>
        <v>0</v>
      </c>
      <c r="J250" s="267"/>
    </row>
    <row r="251" spans="1:10" ht="27" customHeight="1">
      <c r="A251" s="280" t="s">
        <v>228</v>
      </c>
      <c r="B251" s="280"/>
      <c r="C251" s="280"/>
      <c r="D251" s="76">
        <v>1</v>
      </c>
      <c r="E251" s="282">
        <f>'CÁLCULO N. SERVENTES NOVA FREQ'!C13</f>
        <v>2700</v>
      </c>
      <c r="F251" s="282"/>
      <c r="G251" s="283">
        <f>J197</f>
        <v>4623.866069049449</v>
      </c>
      <c r="H251" s="283"/>
      <c r="I251" s="267">
        <f>ROUND((D251/E251)*G251,2)</f>
        <v>1.71</v>
      </c>
      <c r="J251" s="267"/>
    </row>
    <row r="252" spans="1:10" ht="14.25" customHeight="1">
      <c r="A252" s="264" t="s">
        <v>200</v>
      </c>
      <c r="B252" s="264"/>
      <c r="C252" s="264"/>
      <c r="D252" s="264"/>
      <c r="E252" s="264"/>
      <c r="F252" s="264"/>
      <c r="G252" s="264"/>
      <c r="H252" s="264"/>
      <c r="I252" s="284">
        <f>SUM(I250+I251)</f>
        <v>1.71</v>
      </c>
      <c r="J252" s="284"/>
    </row>
    <row r="253" spans="1:10" ht="14.25" customHeight="1">
      <c r="A253" s="279"/>
      <c r="B253" s="279"/>
      <c r="C253" s="279"/>
      <c r="D253" s="279"/>
      <c r="E253" s="279"/>
      <c r="F253" s="279"/>
      <c r="G253" s="279"/>
      <c r="H253" s="279"/>
      <c r="I253" s="279"/>
      <c r="J253" s="279"/>
    </row>
    <row r="254" spans="1:10" ht="39" customHeight="1">
      <c r="A254" s="280" t="s">
        <v>229</v>
      </c>
      <c r="B254" s="280"/>
      <c r="C254" s="280"/>
      <c r="D254" s="76" t="s">
        <v>227</v>
      </c>
      <c r="E254" s="76" t="s">
        <v>218</v>
      </c>
      <c r="F254" s="72">
        <f>E255</f>
        <v>100000</v>
      </c>
      <c r="G254" s="281">
        <v>0</v>
      </c>
      <c r="H254" s="281"/>
      <c r="I254" s="267">
        <f>ROUND((D254/E254*F254)*G254,2)</f>
        <v>0</v>
      </c>
      <c r="J254" s="267"/>
    </row>
    <row r="255" spans="1:10" ht="39" customHeight="1">
      <c r="A255" s="280" t="s">
        <v>230</v>
      </c>
      <c r="B255" s="280"/>
      <c r="C255" s="280"/>
      <c r="D255" s="76" t="s">
        <v>227</v>
      </c>
      <c r="E255" s="282">
        <f>'CÁLCULO N. SERVENTES NOVA FREQ'!C14</f>
        <v>100000</v>
      </c>
      <c r="F255" s="282"/>
      <c r="G255" s="281">
        <f>J197</f>
        <v>4623.866069049449</v>
      </c>
      <c r="H255" s="281"/>
      <c r="I255" s="267">
        <f>ROUND((D255/E255)*G255,2)</f>
        <v>0.05</v>
      </c>
      <c r="J255" s="267"/>
    </row>
    <row r="256" spans="1:10" ht="14.25" customHeight="1">
      <c r="A256" s="274" t="s">
        <v>200</v>
      </c>
      <c r="B256" s="274"/>
      <c r="C256" s="274"/>
      <c r="D256" s="274"/>
      <c r="E256" s="274"/>
      <c r="F256" s="274"/>
      <c r="G256" s="274"/>
      <c r="H256" s="274"/>
      <c r="I256" s="267">
        <f>SUM(I254+I255)</f>
        <v>0.05</v>
      </c>
      <c r="J256" s="267"/>
    </row>
    <row r="257" spans="1:10" ht="14.25" customHeight="1">
      <c r="A257" s="279"/>
      <c r="B257" s="279"/>
      <c r="C257" s="279"/>
      <c r="D257" s="279"/>
      <c r="E257" s="279"/>
      <c r="F257" s="279"/>
      <c r="G257" s="279"/>
      <c r="H257" s="279"/>
      <c r="I257" s="279"/>
      <c r="J257" s="279"/>
    </row>
    <row r="258" spans="1:10" ht="14.25" customHeight="1">
      <c r="A258" s="265" t="s">
        <v>231</v>
      </c>
      <c r="B258" s="265"/>
      <c r="C258" s="265"/>
      <c r="D258" s="265"/>
      <c r="E258" s="265"/>
      <c r="F258" s="265"/>
      <c r="G258" s="265"/>
      <c r="H258" s="265"/>
      <c r="I258" s="265"/>
      <c r="J258" s="265"/>
    </row>
    <row r="259" spans="1:10" ht="14.25" customHeight="1">
      <c r="A259" s="279"/>
      <c r="B259" s="279"/>
      <c r="C259" s="279"/>
      <c r="D259" s="279"/>
      <c r="E259" s="279"/>
      <c r="F259" s="279"/>
      <c r="G259" s="279"/>
      <c r="H259" s="279"/>
      <c r="I259" s="279"/>
      <c r="J259" s="279"/>
    </row>
    <row r="260" spans="1:10" ht="43.5" customHeight="1">
      <c r="A260" s="242"/>
      <c r="B260" s="242"/>
      <c r="C260" s="242"/>
      <c r="D260" s="242"/>
      <c r="E260" s="242"/>
      <c r="F260" s="242"/>
      <c r="G260" s="242"/>
      <c r="H260" s="242"/>
      <c r="I260" s="242"/>
      <c r="J260" s="242"/>
    </row>
    <row r="261" spans="1:10" ht="63" customHeight="1">
      <c r="A261" s="69" t="s">
        <v>232</v>
      </c>
      <c r="B261" s="276" t="s">
        <v>233</v>
      </c>
      <c r="C261" s="276"/>
      <c r="D261" s="276"/>
      <c r="E261" s="77" t="s">
        <v>234</v>
      </c>
      <c r="F261" s="277" t="s">
        <v>235</v>
      </c>
      <c r="G261" s="277"/>
      <c r="H261" s="77" t="s">
        <v>236</v>
      </c>
      <c r="I261" s="77" t="s">
        <v>237</v>
      </c>
      <c r="J261" s="77" t="s">
        <v>238</v>
      </c>
    </row>
    <row r="262" spans="1:10" ht="76.5">
      <c r="A262" s="78" t="s">
        <v>239</v>
      </c>
      <c r="B262" s="79">
        <v>1</v>
      </c>
      <c r="C262" s="79">
        <v>30</v>
      </c>
      <c r="D262" s="80">
        <f>C263</f>
        <v>320</v>
      </c>
      <c r="E262" s="81">
        <v>16</v>
      </c>
      <c r="F262" s="82" t="s">
        <v>227</v>
      </c>
      <c r="G262" s="82" t="s">
        <v>240</v>
      </c>
      <c r="H262" s="83">
        <f>ROUND((B262/(C262*D262))*E262*(F262/G262),7)</f>
        <v>8.8E-06</v>
      </c>
      <c r="I262" s="67">
        <v>0</v>
      </c>
      <c r="J262" s="67">
        <f>ROUND(H262*I262,2)</f>
        <v>0</v>
      </c>
    </row>
    <row r="263" spans="1:10" ht="63.75" customHeight="1">
      <c r="A263" s="84" t="s">
        <v>241</v>
      </c>
      <c r="B263" s="79">
        <v>1</v>
      </c>
      <c r="C263" s="275">
        <f>'CÁLCULO N. SERVENTES NOVA FREQ'!C15</f>
        <v>320</v>
      </c>
      <c r="D263" s="275"/>
      <c r="E263" s="81">
        <v>16</v>
      </c>
      <c r="F263" s="82" t="s">
        <v>227</v>
      </c>
      <c r="G263" s="82" t="s">
        <v>240</v>
      </c>
      <c r="H263" s="83">
        <f>ROUND((B263/C263)*E263*(F263/G263),7)</f>
        <v>0.0002649</v>
      </c>
      <c r="I263" s="67">
        <f>J197</f>
        <v>4623.866069049449</v>
      </c>
      <c r="J263" s="67">
        <f>ROUND(H263*I263,2)</f>
        <v>1.22</v>
      </c>
    </row>
    <row r="264" spans="1:10" ht="14.25" customHeight="1">
      <c r="A264" s="278" t="s">
        <v>200</v>
      </c>
      <c r="B264" s="278"/>
      <c r="C264" s="278"/>
      <c r="D264" s="278"/>
      <c r="E264" s="278"/>
      <c r="F264" s="278"/>
      <c r="G264" s="278"/>
      <c r="H264" s="278"/>
      <c r="I264" s="278"/>
      <c r="J264" s="67">
        <f>SUM(J262+J263)</f>
        <v>1.22</v>
      </c>
    </row>
    <row r="265" spans="1:10" ht="14.25" customHeight="1">
      <c r="A265" s="241"/>
      <c r="B265" s="241"/>
      <c r="C265" s="241"/>
      <c r="D265" s="241"/>
      <c r="E265" s="241"/>
      <c r="F265" s="241"/>
      <c r="G265" s="241"/>
      <c r="H265" s="241"/>
      <c r="I265" s="241"/>
      <c r="J265" s="241"/>
    </row>
    <row r="266" spans="1:10" ht="76.5">
      <c r="A266" s="84" t="s">
        <v>242</v>
      </c>
      <c r="B266" s="79">
        <v>1</v>
      </c>
      <c r="C266" s="79">
        <v>30</v>
      </c>
      <c r="D266" s="80">
        <f>C267</f>
        <v>760</v>
      </c>
      <c r="E266" s="81">
        <v>16</v>
      </c>
      <c r="F266" s="82" t="s">
        <v>227</v>
      </c>
      <c r="G266" s="82" t="s">
        <v>240</v>
      </c>
      <c r="H266" s="83">
        <f>ROUND((B266/(C266*D266))*E266*(F266/G266),7)</f>
        <v>3.7E-06</v>
      </c>
      <c r="I266" s="67">
        <v>0</v>
      </c>
      <c r="J266" s="67">
        <f>ROUND(H266*I266,2)</f>
        <v>0</v>
      </c>
    </row>
    <row r="267" spans="1:10" ht="66.75" customHeight="1">
      <c r="A267" s="84" t="s">
        <v>243</v>
      </c>
      <c r="B267" s="79">
        <v>1</v>
      </c>
      <c r="C267" s="275">
        <f>'CÁLCULO N. SERVENTES NOVA FREQ'!C16</f>
        <v>760</v>
      </c>
      <c r="D267" s="275"/>
      <c r="E267" s="81">
        <v>16</v>
      </c>
      <c r="F267" s="82" t="s">
        <v>227</v>
      </c>
      <c r="G267" s="82" t="s">
        <v>240</v>
      </c>
      <c r="H267" s="83">
        <f>ROUND((B267/C267)*E267*(F267/G267),7)</f>
        <v>0.0001115</v>
      </c>
      <c r="I267" s="67">
        <f>J197</f>
        <v>4623.866069049449</v>
      </c>
      <c r="J267" s="67">
        <f>ROUND(H267*I267,2)</f>
        <v>0.52</v>
      </c>
    </row>
    <row r="268" spans="1:10" ht="14.25" customHeight="1">
      <c r="A268" s="274" t="s">
        <v>200</v>
      </c>
      <c r="B268" s="274"/>
      <c r="C268" s="274"/>
      <c r="D268" s="274"/>
      <c r="E268" s="274"/>
      <c r="F268" s="274"/>
      <c r="G268" s="274"/>
      <c r="H268" s="274"/>
      <c r="I268" s="274"/>
      <c r="J268" s="67">
        <f>SUM(J266+J267)</f>
        <v>0.52</v>
      </c>
    </row>
    <row r="269" spans="1:10" ht="12.75" customHeight="1">
      <c r="A269" s="241"/>
      <c r="B269" s="241"/>
      <c r="C269" s="241"/>
      <c r="D269" s="241"/>
      <c r="E269" s="241"/>
      <c r="F269" s="241"/>
      <c r="G269" s="241"/>
      <c r="H269" s="241"/>
      <c r="I269" s="241"/>
      <c r="J269" s="241"/>
    </row>
    <row r="270" spans="1:10" ht="51">
      <c r="A270" s="85" t="s">
        <v>244</v>
      </c>
      <c r="B270" s="79">
        <v>1</v>
      </c>
      <c r="C270" s="79">
        <v>30</v>
      </c>
      <c r="D270" s="80">
        <f>C271</f>
        <v>380</v>
      </c>
      <c r="E270" s="81">
        <v>16</v>
      </c>
      <c r="F270" s="82" t="s">
        <v>227</v>
      </c>
      <c r="G270" s="82" t="s">
        <v>240</v>
      </c>
      <c r="H270" s="83">
        <f>ROUND((B270/(C270*D270))*E270*(F270/G270),7)</f>
        <v>7.4E-06</v>
      </c>
      <c r="I270" s="67">
        <v>0</v>
      </c>
      <c r="J270" s="67">
        <f>ROUND(H270*I270,2)</f>
        <v>0</v>
      </c>
    </row>
    <row r="271" spans="1:10" ht="39" customHeight="1">
      <c r="A271" s="85" t="s">
        <v>245</v>
      </c>
      <c r="B271" s="79">
        <v>1</v>
      </c>
      <c r="C271" s="275">
        <f>'CÁLCULO N. SERVENTES NOVA FREQ'!C17</f>
        <v>380</v>
      </c>
      <c r="D271" s="275"/>
      <c r="E271" s="86">
        <v>16</v>
      </c>
      <c r="F271" s="82" t="s">
        <v>227</v>
      </c>
      <c r="G271" s="82" t="s">
        <v>240</v>
      </c>
      <c r="H271" s="83">
        <f>ROUND((B271/C271)*E271*(F271/G271),7)</f>
        <v>0.0002231</v>
      </c>
      <c r="I271" s="67">
        <f>J197</f>
        <v>4623.866069049449</v>
      </c>
      <c r="J271" s="67">
        <f>ROUND(H271*I271,2)</f>
        <v>1.03</v>
      </c>
    </row>
    <row r="272" spans="1:10" ht="14.25" customHeight="1">
      <c r="A272" s="264" t="s">
        <v>200</v>
      </c>
      <c r="B272" s="264"/>
      <c r="C272" s="264"/>
      <c r="D272" s="264"/>
      <c r="E272" s="264"/>
      <c r="F272" s="264"/>
      <c r="G272" s="264"/>
      <c r="H272" s="264"/>
      <c r="I272" s="264"/>
      <c r="J272" s="87">
        <f>SUM(J270+J271)</f>
        <v>1.03</v>
      </c>
    </row>
    <row r="273" spans="1:10" ht="12.75" customHeight="1">
      <c r="A273" s="241"/>
      <c r="B273" s="241"/>
      <c r="C273" s="241"/>
      <c r="D273" s="241"/>
      <c r="E273" s="241"/>
      <c r="F273" s="241"/>
      <c r="G273" s="241"/>
      <c r="H273" s="241"/>
      <c r="I273" s="241"/>
      <c r="J273" s="241"/>
    </row>
    <row r="274" spans="1:10" ht="14.25" customHeight="1">
      <c r="A274" s="265" t="s">
        <v>246</v>
      </c>
      <c r="B274" s="265"/>
      <c r="C274" s="265"/>
      <c r="D274" s="265"/>
      <c r="E274" s="265"/>
      <c r="F274" s="265"/>
      <c r="G274" s="265"/>
      <c r="H274" s="265"/>
      <c r="I274" s="265"/>
      <c r="J274" s="265"/>
    </row>
    <row r="275" spans="1:10" ht="14.25" customHeight="1">
      <c r="A275" s="241"/>
      <c r="B275" s="241"/>
      <c r="C275" s="241"/>
      <c r="D275" s="241"/>
      <c r="E275" s="241"/>
      <c r="F275" s="241"/>
      <c r="G275" s="241"/>
      <c r="H275" s="241"/>
      <c r="I275" s="241"/>
      <c r="J275" s="241"/>
    </row>
    <row r="276" spans="1:10" ht="14.25" customHeight="1">
      <c r="A276" s="270" t="s">
        <v>247</v>
      </c>
      <c r="B276" s="270"/>
      <c r="C276" s="270"/>
      <c r="D276" s="270"/>
      <c r="E276" s="270"/>
      <c r="F276" s="270"/>
      <c r="G276" s="270"/>
      <c r="H276" s="270"/>
      <c r="I276" s="270"/>
      <c r="J276" s="270"/>
    </row>
    <row r="277" spans="1:10" ht="92.25" customHeight="1">
      <c r="A277" s="69" t="s">
        <v>232</v>
      </c>
      <c r="B277" s="271" t="s">
        <v>248</v>
      </c>
      <c r="C277" s="271"/>
      <c r="D277" s="271"/>
      <c r="E277" s="88" t="s">
        <v>249</v>
      </c>
      <c r="F277" s="272" t="s">
        <v>250</v>
      </c>
      <c r="G277" s="272"/>
      <c r="H277" s="88" t="s">
        <v>251</v>
      </c>
      <c r="I277" s="88" t="s">
        <v>252</v>
      </c>
      <c r="J277" s="88" t="s">
        <v>253</v>
      </c>
    </row>
    <row r="278" spans="1:10" ht="25.5">
      <c r="A278" s="89" t="s">
        <v>254</v>
      </c>
      <c r="B278" s="79">
        <v>1</v>
      </c>
      <c r="C278" s="79">
        <v>4</v>
      </c>
      <c r="D278" s="90">
        <f>C279</f>
        <v>160</v>
      </c>
      <c r="E278" s="79">
        <v>8</v>
      </c>
      <c r="F278" s="91">
        <v>1</v>
      </c>
      <c r="G278" s="92">
        <v>1132.6</v>
      </c>
      <c r="H278" s="93">
        <f>ROUND((B278/(C278*D278))*E278*(F278/G278),7)</f>
        <v>1.1E-05</v>
      </c>
      <c r="I278" s="94">
        <v>0</v>
      </c>
      <c r="J278" s="67">
        <f>ROUND(H278*I278,2)</f>
        <v>0</v>
      </c>
    </row>
    <row r="279" spans="1:10" ht="29.25" customHeight="1">
      <c r="A279" s="89" t="s">
        <v>255</v>
      </c>
      <c r="B279" s="79">
        <v>1</v>
      </c>
      <c r="C279" s="273">
        <f>'CÁLCULO N. SERVENTES NOVA FREQ'!C18</f>
        <v>160</v>
      </c>
      <c r="D279" s="273"/>
      <c r="E279" s="79">
        <v>8</v>
      </c>
      <c r="F279" s="95">
        <v>1</v>
      </c>
      <c r="G279" s="96">
        <v>1132.6</v>
      </c>
      <c r="H279" s="97">
        <f>ROUND((B279/C279)*E279*(F279/G279),7)</f>
        <v>4.41E-05</v>
      </c>
      <c r="I279" s="98">
        <f>J197</f>
        <v>4623.866069049449</v>
      </c>
      <c r="J279" s="99">
        <f>ROUND(H279*I279,2)</f>
        <v>0.2</v>
      </c>
    </row>
    <row r="280" spans="1:10" ht="14.25" customHeight="1">
      <c r="A280" s="264" t="s">
        <v>200</v>
      </c>
      <c r="B280" s="264"/>
      <c r="C280" s="264"/>
      <c r="D280" s="264"/>
      <c r="E280" s="264"/>
      <c r="F280" s="264"/>
      <c r="G280" s="264"/>
      <c r="H280" s="264"/>
      <c r="I280" s="264"/>
      <c r="J280" s="87">
        <f>SUM(J278+J279)</f>
        <v>0.2</v>
      </c>
    </row>
    <row r="281" spans="1:10" ht="12.75" customHeight="1">
      <c r="A281" s="241"/>
      <c r="B281" s="241"/>
      <c r="C281" s="241"/>
      <c r="D281" s="241"/>
      <c r="E281" s="241"/>
      <c r="F281" s="241"/>
      <c r="G281" s="241"/>
      <c r="H281" s="241"/>
      <c r="I281" s="241"/>
      <c r="J281" s="241"/>
    </row>
    <row r="282" spans="1:10" ht="14.25" customHeight="1">
      <c r="A282" s="265" t="s">
        <v>256</v>
      </c>
      <c r="B282" s="265"/>
      <c r="C282" s="265"/>
      <c r="D282" s="265"/>
      <c r="E282" s="265"/>
      <c r="F282" s="265"/>
      <c r="G282" s="265"/>
      <c r="H282" s="265"/>
      <c r="I282" s="265"/>
      <c r="J282" s="265"/>
    </row>
    <row r="283" spans="1:10" ht="12.75" customHeight="1">
      <c r="A283" s="241"/>
      <c r="B283" s="241"/>
      <c r="C283" s="241"/>
      <c r="D283" s="241"/>
      <c r="E283" s="241"/>
      <c r="F283" s="241"/>
      <c r="G283" s="241"/>
      <c r="H283" s="241"/>
      <c r="I283" s="241"/>
      <c r="J283" s="241"/>
    </row>
    <row r="284" spans="1:10" ht="12.75">
      <c r="A284" s="269" t="s">
        <v>257</v>
      </c>
      <c r="B284" s="269"/>
      <c r="C284" s="269"/>
      <c r="D284" s="269"/>
      <c r="E284" s="269"/>
      <c r="F284" s="269"/>
      <c r="G284" s="269"/>
      <c r="H284" s="269"/>
      <c r="I284" s="269"/>
      <c r="J284" s="269"/>
    </row>
    <row r="285" spans="1:10" ht="12.75">
      <c r="A285" s="269"/>
      <c r="B285" s="269"/>
      <c r="C285" s="269"/>
      <c r="D285" s="269"/>
      <c r="E285" s="269"/>
      <c r="F285" s="269"/>
      <c r="G285" s="269"/>
      <c r="H285" s="269"/>
      <c r="I285" s="269"/>
      <c r="J285" s="269"/>
    </row>
    <row r="286" spans="1:10" ht="39" customHeight="1">
      <c r="A286" s="263" t="s">
        <v>258</v>
      </c>
      <c r="B286" s="263"/>
      <c r="C286" s="263"/>
      <c r="D286" s="263" t="s">
        <v>195</v>
      </c>
      <c r="E286" s="263"/>
      <c r="F286" s="263"/>
      <c r="G286" s="263" t="s">
        <v>259</v>
      </c>
      <c r="H286" s="263"/>
      <c r="I286" s="263" t="s">
        <v>197</v>
      </c>
      <c r="J286" s="263"/>
    </row>
    <row r="287" spans="1:10" ht="14.25" customHeight="1">
      <c r="A287" s="239" t="s">
        <v>260</v>
      </c>
      <c r="B287" s="239"/>
      <c r="C287" s="239"/>
      <c r="D287" s="70">
        <v>1</v>
      </c>
      <c r="E287" s="100">
        <v>30</v>
      </c>
      <c r="F287" s="100">
        <f>E288</f>
        <v>450</v>
      </c>
      <c r="G287" s="266">
        <v>0</v>
      </c>
      <c r="H287" s="266"/>
      <c r="I287" s="267">
        <v>0</v>
      </c>
      <c r="J287" s="267"/>
    </row>
    <row r="288" spans="1:10" ht="14.25" customHeight="1">
      <c r="A288" s="239" t="s">
        <v>261</v>
      </c>
      <c r="B288" s="239"/>
      <c r="C288" s="239"/>
      <c r="D288" s="70">
        <v>1</v>
      </c>
      <c r="E288" s="268">
        <f>'CÁLCULO N. SERVENTES NOVA FREQ'!C19</f>
        <v>450</v>
      </c>
      <c r="F288" s="268"/>
      <c r="G288" s="266">
        <f>J197</f>
        <v>4623.866069049449</v>
      </c>
      <c r="H288" s="266"/>
      <c r="I288" s="267">
        <f>ROUND(D288/E288*G288,2)</f>
        <v>10.28</v>
      </c>
      <c r="J288" s="267"/>
    </row>
    <row r="289" spans="1:10" ht="14.25" customHeight="1">
      <c r="A289" s="264" t="s">
        <v>200</v>
      </c>
      <c r="B289" s="264"/>
      <c r="C289" s="264"/>
      <c r="D289" s="264"/>
      <c r="E289" s="264"/>
      <c r="F289" s="264"/>
      <c r="G289" s="264"/>
      <c r="H289" s="264"/>
      <c r="I289" s="258">
        <f>SUM(I287+I288)</f>
        <v>10.28</v>
      </c>
      <c r="J289" s="258"/>
    </row>
    <row r="290" spans="1:10" ht="14.25" customHeight="1">
      <c r="A290" s="241"/>
      <c r="B290" s="241"/>
      <c r="C290" s="241"/>
      <c r="D290" s="241"/>
      <c r="E290" s="241"/>
      <c r="F290" s="241"/>
      <c r="G290" s="241"/>
      <c r="H290" s="241"/>
      <c r="I290" s="241"/>
      <c r="J290" s="241"/>
    </row>
    <row r="291" spans="1:10" ht="14.25" customHeight="1">
      <c r="A291" s="265" t="s">
        <v>262</v>
      </c>
      <c r="B291" s="265"/>
      <c r="C291" s="265"/>
      <c r="D291" s="265"/>
      <c r="E291" s="265"/>
      <c r="F291" s="265"/>
      <c r="G291" s="265"/>
      <c r="H291" s="265"/>
      <c r="I291" s="265"/>
      <c r="J291" s="265"/>
    </row>
    <row r="292" spans="1:10" ht="14.25" customHeight="1">
      <c r="A292" s="241"/>
      <c r="B292" s="241"/>
      <c r="C292" s="241"/>
      <c r="D292" s="241"/>
      <c r="E292" s="241"/>
      <c r="F292" s="241"/>
      <c r="G292" s="241"/>
      <c r="H292" s="241"/>
      <c r="I292" s="241"/>
      <c r="J292" s="241"/>
    </row>
    <row r="293" spans="1:10" ht="77.25" customHeight="1">
      <c r="A293" s="265" t="s">
        <v>263</v>
      </c>
      <c r="B293" s="265"/>
      <c r="C293" s="265"/>
      <c r="D293" s="265"/>
      <c r="E293" s="265"/>
      <c r="F293" s="265"/>
      <c r="G293" s="265"/>
      <c r="H293" s="265"/>
      <c r="I293" s="265"/>
      <c r="J293" s="265"/>
    </row>
    <row r="294" spans="1:10" ht="16.5" customHeight="1">
      <c r="A294" s="262" t="s">
        <v>264</v>
      </c>
      <c r="B294" s="262"/>
      <c r="C294" s="262"/>
      <c r="D294" s="262"/>
      <c r="E294" s="262"/>
      <c r="F294" s="262"/>
      <c r="G294" s="262"/>
      <c r="H294" s="262"/>
      <c r="I294" s="262"/>
      <c r="J294" s="262"/>
    </row>
    <row r="295" spans="1:10" ht="27" customHeight="1">
      <c r="A295" s="245" t="s">
        <v>265</v>
      </c>
      <c r="B295" s="245"/>
      <c r="C295" s="245"/>
      <c r="D295" s="245"/>
      <c r="E295" s="245"/>
      <c r="F295" s="263" t="s">
        <v>266</v>
      </c>
      <c r="G295" s="263"/>
      <c r="H295" s="4" t="s">
        <v>267</v>
      </c>
      <c r="I295" s="263" t="s">
        <v>268</v>
      </c>
      <c r="J295" s="263"/>
    </row>
    <row r="296" spans="1:10" ht="14.25" customHeight="1">
      <c r="A296" s="253" t="s">
        <v>21</v>
      </c>
      <c r="B296" s="253"/>
      <c r="C296" s="253"/>
      <c r="D296" s="253"/>
      <c r="E296" s="253"/>
      <c r="F296" s="256">
        <f>I204</f>
        <v>3.85</v>
      </c>
      <c r="G296" s="256"/>
      <c r="H296" s="101">
        <f aca="true" t="shared" si="1" ref="H296:H303">I13</f>
        <v>348.7</v>
      </c>
      <c r="I296" s="249">
        <f aca="true" t="shared" si="2" ref="I296:I302">ROUND(F296*H296,2)</f>
        <v>1342.5</v>
      </c>
      <c r="J296" s="249"/>
    </row>
    <row r="297" spans="1:10" ht="14.25" customHeight="1">
      <c r="A297" s="253" t="s">
        <v>23</v>
      </c>
      <c r="B297" s="253"/>
      <c r="C297" s="253"/>
      <c r="D297" s="253"/>
      <c r="E297" s="253"/>
      <c r="F297" s="256">
        <f>I208</f>
        <v>2.51</v>
      </c>
      <c r="G297" s="256"/>
      <c r="H297" s="101">
        <f t="shared" si="1"/>
        <v>9105.22</v>
      </c>
      <c r="I297" s="249">
        <f t="shared" si="2"/>
        <v>22854.1</v>
      </c>
      <c r="J297" s="249"/>
    </row>
    <row r="298" spans="1:10" ht="14.25" customHeight="1">
      <c r="A298" s="253" t="s">
        <v>24</v>
      </c>
      <c r="B298" s="253"/>
      <c r="C298" s="253"/>
      <c r="D298" s="253"/>
      <c r="E298" s="253"/>
      <c r="F298" s="256">
        <f>I212</f>
        <v>6.57</v>
      </c>
      <c r="G298" s="256"/>
      <c r="H298" s="101">
        <f t="shared" si="1"/>
        <v>1194.32</v>
      </c>
      <c r="I298" s="249">
        <f t="shared" si="2"/>
        <v>7846.68</v>
      </c>
      <c r="J298" s="249"/>
    </row>
    <row r="299" spans="1:10" ht="14.25" customHeight="1">
      <c r="A299" s="253" t="s">
        <v>25</v>
      </c>
      <c r="B299" s="253"/>
      <c r="C299" s="253"/>
      <c r="D299" s="253"/>
      <c r="E299" s="253"/>
      <c r="F299" s="256">
        <f>I216</f>
        <v>1.14</v>
      </c>
      <c r="G299" s="256"/>
      <c r="H299" s="101">
        <f t="shared" si="1"/>
        <v>257.32</v>
      </c>
      <c r="I299" s="249">
        <f t="shared" si="2"/>
        <v>293.34</v>
      </c>
      <c r="J299" s="249"/>
    </row>
    <row r="300" spans="1:10" ht="14.25" customHeight="1">
      <c r="A300" s="253" t="s">
        <v>26</v>
      </c>
      <c r="B300" s="253"/>
      <c r="C300" s="253"/>
      <c r="D300" s="253"/>
      <c r="E300" s="253"/>
      <c r="F300" s="256">
        <f>I220</f>
        <v>2.57</v>
      </c>
      <c r="G300" s="256"/>
      <c r="H300" s="101">
        <f t="shared" si="1"/>
        <v>0</v>
      </c>
      <c r="I300" s="249">
        <f t="shared" si="2"/>
        <v>0</v>
      </c>
      <c r="J300" s="249"/>
    </row>
    <row r="301" spans="1:10" ht="14.25" customHeight="1">
      <c r="A301" s="260" t="s">
        <v>27</v>
      </c>
      <c r="B301" s="260"/>
      <c r="C301" s="260"/>
      <c r="D301" s="260"/>
      <c r="E301" s="260"/>
      <c r="F301" s="256">
        <f>I224</f>
        <v>2.24</v>
      </c>
      <c r="G301" s="256"/>
      <c r="H301" s="101">
        <f t="shared" si="1"/>
        <v>2093.63</v>
      </c>
      <c r="I301" s="249">
        <f t="shared" si="2"/>
        <v>4689.73</v>
      </c>
      <c r="J301" s="249"/>
    </row>
    <row r="302" spans="1:10" ht="14.25" customHeight="1">
      <c r="A302" s="242" t="s">
        <v>269</v>
      </c>
      <c r="B302" s="242"/>
      <c r="C302" s="242"/>
      <c r="D302" s="242"/>
      <c r="E302" s="242"/>
      <c r="F302" s="261">
        <f>I228</f>
        <v>23.59</v>
      </c>
      <c r="G302" s="261"/>
      <c r="H302" s="102">
        <f t="shared" si="1"/>
        <v>761.92</v>
      </c>
      <c r="I302" s="249">
        <f t="shared" si="2"/>
        <v>17973.69</v>
      </c>
      <c r="J302" s="249"/>
    </row>
    <row r="303" spans="1:10" ht="14.25" customHeight="1">
      <c r="A303" s="257" t="s">
        <v>32</v>
      </c>
      <c r="B303" s="257"/>
      <c r="C303" s="257"/>
      <c r="D303" s="257"/>
      <c r="E303" s="257"/>
      <c r="F303" s="257"/>
      <c r="G303" s="257"/>
      <c r="H303" s="103">
        <f t="shared" si="1"/>
        <v>13761.11</v>
      </c>
      <c r="I303" s="258">
        <f>SUM(I296:I302)</f>
        <v>55000.03999999999</v>
      </c>
      <c r="J303" s="258"/>
    </row>
    <row r="304" spans="1:10" ht="14.25" customHeight="1">
      <c r="A304" s="241"/>
      <c r="B304" s="241"/>
      <c r="C304" s="241"/>
      <c r="D304" s="241"/>
      <c r="E304" s="241"/>
      <c r="F304" s="241"/>
      <c r="G304" s="241"/>
      <c r="H304" s="241"/>
      <c r="I304" s="241"/>
      <c r="J304" s="241"/>
    </row>
    <row r="305" spans="1:10" ht="27" customHeight="1">
      <c r="A305" s="248" t="s">
        <v>33</v>
      </c>
      <c r="B305" s="248"/>
      <c r="C305" s="248"/>
      <c r="D305" s="248"/>
      <c r="E305" s="248"/>
      <c r="F305" s="256">
        <f>I235</f>
        <v>0.98</v>
      </c>
      <c r="G305" s="256"/>
      <c r="H305" s="104">
        <f aca="true" t="shared" si="3" ref="H305:H311">J22</f>
        <v>1454.81</v>
      </c>
      <c r="I305" s="249">
        <f aca="true" t="shared" si="4" ref="I305:I310">ROUND(F305*H305,2)</f>
        <v>1425.71</v>
      </c>
      <c r="J305" s="249"/>
    </row>
    <row r="306" spans="1:10" ht="14.25" customHeight="1">
      <c r="A306" s="248" t="s">
        <v>270</v>
      </c>
      <c r="B306" s="248"/>
      <c r="C306" s="248"/>
      <c r="D306" s="248"/>
      <c r="E306" s="248"/>
      <c r="F306" s="256">
        <f>I239</f>
        <v>0.51</v>
      </c>
      <c r="G306" s="256"/>
      <c r="H306" s="104">
        <f t="shared" si="3"/>
        <v>0</v>
      </c>
      <c r="I306" s="249">
        <f t="shared" si="4"/>
        <v>0</v>
      </c>
      <c r="J306" s="249"/>
    </row>
    <row r="307" spans="1:10" ht="14.25" customHeight="1">
      <c r="A307" s="260" t="s">
        <v>271</v>
      </c>
      <c r="B307" s="260"/>
      <c r="C307" s="260"/>
      <c r="D307" s="260"/>
      <c r="E307" s="260"/>
      <c r="F307" s="256">
        <f>I243</f>
        <v>1.71</v>
      </c>
      <c r="G307" s="256"/>
      <c r="H307" s="104">
        <f t="shared" si="3"/>
        <v>0</v>
      </c>
      <c r="I307" s="249">
        <f t="shared" si="4"/>
        <v>0</v>
      </c>
      <c r="J307" s="249"/>
    </row>
    <row r="308" spans="1:10" ht="14.25" customHeight="1">
      <c r="A308" s="260" t="s">
        <v>272</v>
      </c>
      <c r="B308" s="260"/>
      <c r="C308" s="260"/>
      <c r="D308" s="260"/>
      <c r="E308" s="260"/>
      <c r="F308" s="256">
        <f>I247</f>
        <v>1.71</v>
      </c>
      <c r="G308" s="256"/>
      <c r="H308" s="104">
        <f t="shared" si="3"/>
        <v>0</v>
      </c>
      <c r="I308" s="249">
        <f t="shared" si="4"/>
        <v>0</v>
      </c>
      <c r="J308" s="249"/>
    </row>
    <row r="309" spans="1:10" ht="14.25" customHeight="1">
      <c r="A309" s="260" t="s">
        <v>273</v>
      </c>
      <c r="B309" s="260"/>
      <c r="C309" s="260"/>
      <c r="D309" s="260"/>
      <c r="E309" s="260"/>
      <c r="F309" s="256">
        <f>I251</f>
        <v>1.71</v>
      </c>
      <c r="G309" s="256"/>
      <c r="H309" s="104">
        <f t="shared" si="3"/>
        <v>0</v>
      </c>
      <c r="I309" s="249">
        <f t="shared" si="4"/>
        <v>0</v>
      </c>
      <c r="J309" s="249"/>
    </row>
    <row r="310" spans="1:10" ht="25.5" customHeight="1">
      <c r="A310" s="260" t="s">
        <v>274</v>
      </c>
      <c r="B310" s="260"/>
      <c r="C310" s="260"/>
      <c r="D310" s="260"/>
      <c r="E310" s="260"/>
      <c r="F310" s="256">
        <f>I255</f>
        <v>0.05</v>
      </c>
      <c r="G310" s="256"/>
      <c r="H310" s="104">
        <f t="shared" si="3"/>
        <v>0</v>
      </c>
      <c r="I310" s="249">
        <f t="shared" si="4"/>
        <v>0</v>
      </c>
      <c r="J310" s="249"/>
    </row>
    <row r="311" spans="1:10" ht="14.25" customHeight="1">
      <c r="A311" s="257" t="s">
        <v>39</v>
      </c>
      <c r="B311" s="257"/>
      <c r="C311" s="257"/>
      <c r="D311" s="257"/>
      <c r="E311" s="257"/>
      <c r="F311" s="257"/>
      <c r="G311" s="257"/>
      <c r="H311" s="105">
        <f t="shared" si="3"/>
        <v>1454.81</v>
      </c>
      <c r="I311" s="258">
        <f>SUM(I305:I310)</f>
        <v>1425.71</v>
      </c>
      <c r="J311" s="258"/>
    </row>
    <row r="312" spans="1:10" ht="14.25" customHeight="1">
      <c r="A312" s="241"/>
      <c r="B312" s="241"/>
      <c r="C312" s="241"/>
      <c r="D312" s="241"/>
      <c r="E312" s="241"/>
      <c r="F312" s="241"/>
      <c r="G312" s="241"/>
      <c r="H312" s="241"/>
      <c r="I312" s="241"/>
      <c r="J312" s="241"/>
    </row>
    <row r="313" spans="1:10" ht="27" customHeight="1">
      <c r="A313" s="259" t="s">
        <v>40</v>
      </c>
      <c r="B313" s="259"/>
      <c r="C313" s="259"/>
      <c r="D313" s="259"/>
      <c r="E313" s="259"/>
      <c r="F313" s="256">
        <f>J263</f>
        <v>1.22</v>
      </c>
      <c r="G313" s="256"/>
      <c r="H313" s="101">
        <f>J30</f>
        <v>470.61</v>
      </c>
      <c r="I313" s="249">
        <f>ROUND(F313*H313,2)</f>
        <v>574.14</v>
      </c>
      <c r="J313" s="249"/>
    </row>
    <row r="314" spans="1:10" ht="27" customHeight="1">
      <c r="A314" s="259" t="s">
        <v>275</v>
      </c>
      <c r="B314" s="259"/>
      <c r="C314" s="259"/>
      <c r="D314" s="259"/>
      <c r="E314" s="259"/>
      <c r="F314" s="256">
        <f>J267</f>
        <v>0.52</v>
      </c>
      <c r="G314" s="256"/>
      <c r="H314" s="101">
        <f>J31</f>
        <v>1519.03</v>
      </c>
      <c r="I314" s="249">
        <f>ROUND((F314*H314),2)</f>
        <v>789.9</v>
      </c>
      <c r="J314" s="249"/>
    </row>
    <row r="315" spans="1:10" ht="14.25" customHeight="1">
      <c r="A315" s="259" t="s">
        <v>276</v>
      </c>
      <c r="B315" s="259"/>
      <c r="C315" s="259"/>
      <c r="D315" s="259"/>
      <c r="E315" s="259"/>
      <c r="F315" s="256">
        <f>J271</f>
        <v>1.03</v>
      </c>
      <c r="G315" s="256"/>
      <c r="H315" s="101">
        <f>J32</f>
        <v>2264.59</v>
      </c>
      <c r="I315" s="249">
        <f>ROUND((F315*H315),2)</f>
        <v>2332.53</v>
      </c>
      <c r="J315" s="249"/>
    </row>
    <row r="316" spans="1:10" ht="14.25" customHeight="1">
      <c r="A316" s="257" t="s">
        <v>277</v>
      </c>
      <c r="B316" s="257"/>
      <c r="C316" s="257"/>
      <c r="D316" s="257"/>
      <c r="E316" s="257"/>
      <c r="F316" s="257"/>
      <c r="G316" s="257"/>
      <c r="H316" s="103">
        <f>J33</f>
        <v>4254.23</v>
      </c>
      <c r="I316" s="258">
        <f>SUM(I313:I315)</f>
        <v>3696.57</v>
      </c>
      <c r="J316" s="258"/>
    </row>
    <row r="317" spans="1:10" ht="14.25" customHeight="1">
      <c r="A317" s="241"/>
      <c r="B317" s="241"/>
      <c r="C317" s="241"/>
      <c r="D317" s="241"/>
      <c r="E317" s="241"/>
      <c r="F317" s="241"/>
      <c r="G317" s="241"/>
      <c r="H317" s="241"/>
      <c r="I317" s="241"/>
      <c r="J317" s="241"/>
    </row>
    <row r="318" spans="1:10" ht="14.25" customHeight="1">
      <c r="A318" s="242" t="s">
        <v>278</v>
      </c>
      <c r="B318" s="242"/>
      <c r="C318" s="242"/>
      <c r="D318" s="242"/>
      <c r="E318" s="242"/>
      <c r="F318" s="256">
        <f>J279</f>
        <v>0.2</v>
      </c>
      <c r="G318" s="256"/>
      <c r="H318" s="106">
        <f>J36</f>
        <v>0</v>
      </c>
      <c r="I318" s="251">
        <f>ROUND(F318*H318,2)</f>
        <v>0</v>
      </c>
      <c r="J318" s="251"/>
    </row>
    <row r="319" spans="1:10" ht="14.25" customHeight="1">
      <c r="A319" s="257" t="s">
        <v>279</v>
      </c>
      <c r="B319" s="257"/>
      <c r="C319" s="257"/>
      <c r="D319" s="257"/>
      <c r="E319" s="257"/>
      <c r="F319" s="257"/>
      <c r="G319" s="257"/>
      <c r="H319" s="103">
        <f>H318</f>
        <v>0</v>
      </c>
      <c r="I319" s="258">
        <f>I318</f>
        <v>0</v>
      </c>
      <c r="J319" s="258"/>
    </row>
    <row r="320" spans="1:10" ht="14.25" customHeight="1">
      <c r="A320" s="241"/>
      <c r="B320" s="241"/>
      <c r="C320" s="241"/>
      <c r="D320" s="241"/>
      <c r="E320" s="241"/>
      <c r="F320" s="241"/>
      <c r="G320" s="241"/>
      <c r="H320" s="241"/>
      <c r="I320" s="241"/>
      <c r="J320" s="241"/>
    </row>
    <row r="321" spans="1:10" ht="12.75" customHeight="1">
      <c r="A321" s="253" t="s">
        <v>46</v>
      </c>
      <c r="B321" s="253"/>
      <c r="C321" s="253"/>
      <c r="D321" s="253"/>
      <c r="E321" s="253"/>
      <c r="F321" s="254">
        <f>I289</f>
        <v>10.28</v>
      </c>
      <c r="G321" s="255"/>
      <c r="H321" s="101">
        <f>J39</f>
        <v>80.79</v>
      </c>
      <c r="I321" s="249">
        <f>H321*F321</f>
        <v>830.5212</v>
      </c>
      <c r="J321" s="249"/>
    </row>
    <row r="322" spans="1:10" ht="14.25" customHeight="1">
      <c r="A322" s="252" t="s">
        <v>280</v>
      </c>
      <c r="B322" s="252"/>
      <c r="C322" s="252"/>
      <c r="D322" s="252"/>
      <c r="E322" s="252"/>
      <c r="F322" s="252"/>
      <c r="G322" s="252"/>
      <c r="H322" s="106">
        <f>J39</f>
        <v>80.79</v>
      </c>
      <c r="I322" s="251">
        <f>I321</f>
        <v>830.5212</v>
      </c>
      <c r="J322" s="251"/>
    </row>
    <row r="323" spans="1:10" ht="12.75" customHeight="1">
      <c r="A323" s="241" t="s">
        <v>134</v>
      </c>
      <c r="B323" s="241"/>
      <c r="C323" s="241"/>
      <c r="D323" s="241"/>
      <c r="E323" s="241"/>
      <c r="F323" s="241"/>
      <c r="G323" s="241"/>
      <c r="H323" s="241"/>
      <c r="I323" s="241"/>
      <c r="J323" s="241"/>
    </row>
    <row r="324" spans="1:10" ht="14.25" customHeight="1">
      <c r="A324" s="248" t="s">
        <v>48</v>
      </c>
      <c r="B324" s="248"/>
      <c r="C324" s="248"/>
      <c r="D324" s="248"/>
      <c r="E324" s="248"/>
      <c r="F324" s="248"/>
      <c r="G324" s="248"/>
      <c r="H324" s="101"/>
      <c r="I324" s="249">
        <f>J324</f>
        <v>0</v>
      </c>
      <c r="J324" s="249"/>
    </row>
    <row r="325" spans="1:10" ht="14.25" customHeight="1">
      <c r="A325" s="250" t="s">
        <v>49</v>
      </c>
      <c r="B325" s="250"/>
      <c r="C325" s="250"/>
      <c r="D325" s="250"/>
      <c r="E325" s="250"/>
      <c r="F325" s="250"/>
      <c r="G325" s="250"/>
      <c r="H325" s="106">
        <v>0</v>
      </c>
      <c r="I325" s="251">
        <f>I324</f>
        <v>0</v>
      </c>
      <c r="J325" s="251"/>
    </row>
    <row r="326" spans="1:10" ht="14.25" customHeight="1">
      <c r="A326" s="241"/>
      <c r="B326" s="241"/>
      <c r="C326" s="241"/>
      <c r="D326" s="241"/>
      <c r="E326" s="241"/>
      <c r="F326" s="241"/>
      <c r="G326" s="241"/>
      <c r="H326" s="241"/>
      <c r="I326" s="241"/>
      <c r="J326" s="241"/>
    </row>
    <row r="327" spans="1:10" ht="14.25" customHeight="1">
      <c r="A327" s="252" t="s">
        <v>200</v>
      </c>
      <c r="B327" s="252"/>
      <c r="C327" s="252"/>
      <c r="D327" s="252"/>
      <c r="E327" s="252"/>
      <c r="F327" s="252"/>
      <c r="G327" s="252"/>
      <c r="H327" s="106">
        <f>ROUND(H303+H311+H316+H319+H322+H325,2)</f>
        <v>19550.94</v>
      </c>
      <c r="I327" s="251">
        <f>SUM(I303+I311+I316+I319+I322+I325)</f>
        <v>60952.841199999995</v>
      </c>
      <c r="J327" s="251"/>
    </row>
    <row r="328" spans="1:10" ht="12.75" customHeight="1">
      <c r="A328" s="241"/>
      <c r="B328" s="241"/>
      <c r="C328" s="241"/>
      <c r="D328" s="241"/>
      <c r="E328" s="241"/>
      <c r="F328" s="241"/>
      <c r="G328" s="241"/>
      <c r="H328" s="241"/>
      <c r="I328" s="241"/>
      <c r="J328" s="241"/>
    </row>
    <row r="329" spans="1:10" ht="19.5" customHeight="1">
      <c r="A329" s="246" t="s">
        <v>281</v>
      </c>
      <c r="B329" s="246"/>
      <c r="C329" s="246"/>
      <c r="D329" s="246"/>
      <c r="E329" s="246"/>
      <c r="F329" s="246"/>
      <c r="G329" s="246"/>
      <c r="H329" s="246"/>
      <c r="I329" s="244">
        <f>I327</f>
        <v>60952.841199999995</v>
      </c>
      <c r="J329" s="244"/>
    </row>
    <row r="330" spans="1:10" ht="12.75" customHeight="1">
      <c r="A330" s="241"/>
      <c r="B330" s="241"/>
      <c r="C330" s="241"/>
      <c r="D330" s="241"/>
      <c r="E330" s="241"/>
      <c r="F330" s="241"/>
      <c r="G330" s="241"/>
      <c r="H330" s="241"/>
      <c r="I330" s="241"/>
      <c r="J330" s="241"/>
    </row>
    <row r="331" spans="1:10" ht="19.5" customHeight="1">
      <c r="A331" s="247" t="s">
        <v>282</v>
      </c>
      <c r="B331" s="247"/>
      <c r="C331" s="247"/>
      <c r="D331" s="247"/>
      <c r="E331" s="247"/>
      <c r="F331" s="247"/>
      <c r="G331" s="247"/>
      <c r="H331" s="247"/>
      <c r="I331" s="244">
        <f>H10</f>
        <v>12</v>
      </c>
      <c r="J331" s="244"/>
    </row>
    <row r="332" spans="1:10" ht="12.75" customHeight="1">
      <c r="A332" s="241"/>
      <c r="B332" s="241"/>
      <c r="C332" s="241"/>
      <c r="D332" s="241"/>
      <c r="E332" s="241"/>
      <c r="F332" s="241"/>
      <c r="G332" s="241"/>
      <c r="H332" s="241"/>
      <c r="I332" s="241"/>
      <c r="J332" s="241"/>
    </row>
    <row r="333" spans="1:10" ht="19.5" customHeight="1">
      <c r="A333" s="243" t="s">
        <v>283</v>
      </c>
      <c r="B333" s="243"/>
      <c r="C333" s="243"/>
      <c r="D333" s="243"/>
      <c r="E333" s="243"/>
      <c r="F333" s="243"/>
      <c r="G333" s="243"/>
      <c r="H333" s="243"/>
      <c r="I333" s="244">
        <f>ROUND(I327*I331,2)</f>
        <v>731434.09</v>
      </c>
      <c r="J333" s="244"/>
    </row>
    <row r="334" spans="1:10" ht="12.75" customHeight="1">
      <c r="A334" s="241"/>
      <c r="B334" s="241"/>
      <c r="C334" s="241"/>
      <c r="D334" s="241"/>
      <c r="E334" s="241"/>
      <c r="F334" s="241"/>
      <c r="G334" s="241"/>
      <c r="H334" s="241"/>
      <c r="I334" s="241"/>
      <c r="J334" s="241"/>
    </row>
    <row r="335" spans="1:10" ht="27" customHeight="1">
      <c r="A335" s="242" t="s">
        <v>284</v>
      </c>
      <c r="B335" s="242"/>
      <c r="C335" s="242"/>
      <c r="D335" s="242"/>
      <c r="E335" s="242"/>
      <c r="F335" s="242"/>
      <c r="G335" s="242"/>
      <c r="H335" s="242"/>
      <c r="I335" s="242"/>
      <c r="J335" s="242"/>
    </row>
    <row r="336" spans="1:10" ht="12.75">
      <c r="A336" s="245" t="s">
        <v>285</v>
      </c>
      <c r="B336" s="245"/>
      <c r="C336" s="245"/>
      <c r="D336" s="245"/>
      <c r="E336" s="245"/>
      <c r="F336" s="245"/>
      <c r="G336" s="245" t="s">
        <v>286</v>
      </c>
      <c r="H336" s="245"/>
      <c r="I336" s="245"/>
      <c r="J336" s="245"/>
    </row>
    <row r="337" spans="1:10" ht="12.75">
      <c r="A337" s="239" t="s">
        <v>287</v>
      </c>
      <c r="B337" s="239"/>
      <c r="C337" s="239"/>
      <c r="D337" s="239"/>
      <c r="E337" s="239"/>
      <c r="F337" s="239"/>
      <c r="G337" s="240"/>
      <c r="H337" s="240"/>
      <c r="I337" s="240"/>
      <c r="J337" s="240"/>
    </row>
    <row r="338" spans="1:10" ht="12.75">
      <c r="A338" s="239" t="s">
        <v>288</v>
      </c>
      <c r="B338" s="239"/>
      <c r="C338" s="239"/>
      <c r="D338" s="239"/>
      <c r="E338" s="239"/>
      <c r="F338" s="239"/>
      <c r="G338" s="240"/>
      <c r="H338" s="240"/>
      <c r="I338" s="240"/>
      <c r="J338" s="240"/>
    </row>
    <row r="339" spans="1:10" ht="12.75" customHeight="1">
      <c r="A339" s="241"/>
      <c r="B339" s="241"/>
      <c r="C339" s="241"/>
      <c r="D339" s="241"/>
      <c r="E339" s="241"/>
      <c r="F339" s="241"/>
      <c r="G339" s="241"/>
      <c r="H339" s="241"/>
      <c r="I339" s="241"/>
      <c r="J339" s="241"/>
    </row>
    <row r="340" spans="1:10" ht="27" customHeight="1">
      <c r="A340" s="242" t="s">
        <v>289</v>
      </c>
      <c r="B340" s="242"/>
      <c r="C340" s="242"/>
      <c r="D340" s="242"/>
      <c r="E340" s="242"/>
      <c r="F340" s="242"/>
      <c r="G340" s="242"/>
      <c r="H340" s="242"/>
      <c r="I340" s="242"/>
      <c r="J340" s="242"/>
    </row>
    <row r="341" spans="1:10" ht="14.25" customHeight="1">
      <c r="A341" s="235" t="s">
        <v>290</v>
      </c>
      <c r="B341" s="235"/>
      <c r="C341" s="235"/>
      <c r="D341" s="235"/>
      <c r="E341" s="235"/>
      <c r="F341" s="235"/>
      <c r="G341" s="235"/>
      <c r="H341" s="235"/>
      <c r="I341" s="235"/>
      <c r="J341" s="107" t="s">
        <v>291</v>
      </c>
    </row>
    <row r="342" spans="1:10" ht="15">
      <c r="A342" s="236"/>
      <c r="B342" s="236"/>
      <c r="C342" s="236"/>
      <c r="D342" s="236"/>
      <c r="E342" s="236"/>
      <c r="F342" s="236"/>
      <c r="G342" s="236"/>
      <c r="H342" s="236"/>
      <c r="I342" s="236"/>
      <c r="J342" s="108"/>
    </row>
    <row r="343" spans="1:10" ht="12.75">
      <c r="A343" s="237"/>
      <c r="B343" s="237"/>
      <c r="C343" s="237"/>
      <c r="D343" s="237"/>
      <c r="E343" s="237"/>
      <c r="F343" s="237"/>
      <c r="G343" s="237"/>
      <c r="H343" s="237"/>
      <c r="I343" s="237"/>
      <c r="J343" s="108"/>
    </row>
    <row r="344" spans="1:10" ht="12.75" customHeight="1">
      <c r="A344" s="238"/>
      <c r="B344" s="238"/>
      <c r="C344" s="238"/>
      <c r="D344" s="238"/>
      <c r="E344" s="238"/>
      <c r="F344" s="238"/>
      <c r="G344" s="238"/>
      <c r="H344" s="238"/>
      <c r="I344" s="238"/>
      <c r="J344" s="108"/>
    </row>
  </sheetData>
  <sheetProtection selectLockedCells="1" selectUnlockedCells="1"/>
  <mergeCells count="528">
    <mergeCell ref="A1:J1"/>
    <mergeCell ref="A2:J2"/>
    <mergeCell ref="A3:G3"/>
    <mergeCell ref="H3:J3"/>
    <mergeCell ref="A4:G4"/>
    <mergeCell ref="H4:J4"/>
    <mergeCell ref="A5:J5"/>
    <mergeCell ref="A6:J6"/>
    <mergeCell ref="B7:G7"/>
    <mergeCell ref="H7:J7"/>
    <mergeCell ref="B8:G8"/>
    <mergeCell ref="H8:J8"/>
    <mergeCell ref="B9:G9"/>
    <mergeCell ref="H9:J9"/>
    <mergeCell ref="B10:G10"/>
    <mergeCell ref="H10:J10"/>
    <mergeCell ref="A11:J11"/>
    <mergeCell ref="A12:F12"/>
    <mergeCell ref="G12:H12"/>
    <mergeCell ref="I12:J12"/>
    <mergeCell ref="A13:F13"/>
    <mergeCell ref="G13:H13"/>
    <mergeCell ref="I13:J13"/>
    <mergeCell ref="A14:F14"/>
    <mergeCell ref="G14:H14"/>
    <mergeCell ref="I14:J14"/>
    <mergeCell ref="A15:F15"/>
    <mergeCell ref="G15:H15"/>
    <mergeCell ref="I15:J15"/>
    <mergeCell ref="A16:F16"/>
    <mergeCell ref="G16:H16"/>
    <mergeCell ref="I16:J16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0:H20"/>
    <mergeCell ref="I20:J20"/>
    <mergeCell ref="A21:J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I28"/>
    <mergeCell ref="A29:J29"/>
    <mergeCell ref="A30:G30"/>
    <mergeCell ref="H30:I30"/>
    <mergeCell ref="A31:G31"/>
    <mergeCell ref="H31:I31"/>
    <mergeCell ref="A32:G32"/>
    <mergeCell ref="H32:I32"/>
    <mergeCell ref="A33:I33"/>
    <mergeCell ref="A34:J34"/>
    <mergeCell ref="A35:G35"/>
    <mergeCell ref="H35:I35"/>
    <mergeCell ref="A36:I36"/>
    <mergeCell ref="A37:J37"/>
    <mergeCell ref="A38:G38"/>
    <mergeCell ref="H38:I38"/>
    <mergeCell ref="A39:I39"/>
    <mergeCell ref="A40:J40"/>
    <mergeCell ref="A41:G41"/>
    <mergeCell ref="H41:I41"/>
    <mergeCell ref="A42:I42"/>
    <mergeCell ref="A43:J43"/>
    <mergeCell ref="A44:I44"/>
    <mergeCell ref="A45:J45"/>
    <mergeCell ref="A46:J46"/>
    <mergeCell ref="A47:J47"/>
    <mergeCell ref="A48:J48"/>
    <mergeCell ref="A49:J49"/>
    <mergeCell ref="A50:J50"/>
    <mergeCell ref="B51:G51"/>
    <mergeCell ref="H51:J51"/>
    <mergeCell ref="B52:G52"/>
    <mergeCell ref="H52:J52"/>
    <mergeCell ref="B53:G53"/>
    <mergeCell ref="H53:J53"/>
    <mergeCell ref="B54:G54"/>
    <mergeCell ref="H54:J54"/>
    <mergeCell ref="B55:G55"/>
    <mergeCell ref="H55:J55"/>
    <mergeCell ref="A56:J56"/>
    <mergeCell ref="A57:J57"/>
    <mergeCell ref="A58:J58"/>
    <mergeCell ref="A59:J59"/>
    <mergeCell ref="B60:G60"/>
    <mergeCell ref="H60:I60"/>
    <mergeCell ref="B61:I61"/>
    <mergeCell ref="B62:H62"/>
    <mergeCell ref="B63:I63"/>
    <mergeCell ref="A64:I64"/>
    <mergeCell ref="A65:J65"/>
    <mergeCell ref="A66:J66"/>
    <mergeCell ref="A67:J67"/>
    <mergeCell ref="A68:J68"/>
    <mergeCell ref="A69:J69"/>
    <mergeCell ref="B70:I70"/>
    <mergeCell ref="B71:H71"/>
    <mergeCell ref="B72:H72"/>
    <mergeCell ref="A73:I73"/>
    <mergeCell ref="A74:J74"/>
    <mergeCell ref="A75:J75"/>
    <mergeCell ref="A76:J76"/>
    <mergeCell ref="A77:J77"/>
    <mergeCell ref="B78:H78"/>
    <mergeCell ref="B79:H79"/>
    <mergeCell ref="B80:H80"/>
    <mergeCell ref="B81:D81"/>
    <mergeCell ref="B82:H82"/>
    <mergeCell ref="B83:H83"/>
    <mergeCell ref="B84:H84"/>
    <mergeCell ref="B85:H85"/>
    <mergeCell ref="B86:H86"/>
    <mergeCell ref="A87:H87"/>
    <mergeCell ref="A88:J88"/>
    <mergeCell ref="A89:J89"/>
    <mergeCell ref="A90:J90"/>
    <mergeCell ref="A91:J91"/>
    <mergeCell ref="B92:I92"/>
    <mergeCell ref="B93:I93"/>
    <mergeCell ref="B94:H94"/>
    <mergeCell ref="B95:H95"/>
    <mergeCell ref="B96:H96"/>
    <mergeCell ref="B97:H97"/>
    <mergeCell ref="B98:I98"/>
    <mergeCell ref="B99:H99"/>
    <mergeCell ref="B100:H100"/>
    <mergeCell ref="B101:H101"/>
    <mergeCell ref="B102:I102"/>
    <mergeCell ref="B103:I103"/>
    <mergeCell ref="B104:I104"/>
    <mergeCell ref="A105:I105"/>
    <mergeCell ref="A106:J106"/>
    <mergeCell ref="A107:J107"/>
    <mergeCell ref="A108:J108"/>
    <mergeCell ref="A109:J109"/>
    <mergeCell ref="B110:I110"/>
    <mergeCell ref="C111:I111"/>
    <mergeCell ref="C112:I112"/>
    <mergeCell ref="C113:I113"/>
    <mergeCell ref="A114:I114"/>
    <mergeCell ref="A115:J115"/>
    <mergeCell ref="A116:J116"/>
    <mergeCell ref="B117:I117"/>
    <mergeCell ref="B118:I118"/>
    <mergeCell ref="B119:I119"/>
    <mergeCell ref="B120:I120"/>
    <mergeCell ref="B121:I121"/>
    <mergeCell ref="B122:H122"/>
    <mergeCell ref="A123:I123"/>
    <mergeCell ref="A124:J124"/>
    <mergeCell ref="A125:J125"/>
    <mergeCell ref="A126:J126"/>
    <mergeCell ref="A127:J127"/>
    <mergeCell ref="A128:J128"/>
    <mergeCell ref="F129:G129"/>
    <mergeCell ref="A130:J130"/>
    <mergeCell ref="B131:I131"/>
    <mergeCell ref="B132:I132"/>
    <mergeCell ref="B133:I133"/>
    <mergeCell ref="B134:I134"/>
    <mergeCell ref="B135:I135"/>
    <mergeCell ref="B136:I136"/>
    <mergeCell ref="B137:I137"/>
    <mergeCell ref="A138:I138"/>
    <mergeCell ref="A139:J139"/>
    <mergeCell ref="A140:J140"/>
    <mergeCell ref="B141:I141"/>
    <mergeCell ref="B142:I142"/>
    <mergeCell ref="A143:I143"/>
    <mergeCell ref="B144:I144"/>
    <mergeCell ref="A145:I145"/>
    <mergeCell ref="A146:J146"/>
    <mergeCell ref="A147:J147"/>
    <mergeCell ref="B148:I148"/>
    <mergeCell ref="B149:I149"/>
    <mergeCell ref="B150:I150"/>
    <mergeCell ref="A151:I151"/>
    <mergeCell ref="A152:J152"/>
    <mergeCell ref="A153:J153"/>
    <mergeCell ref="B154:I154"/>
    <mergeCell ref="B155:I155"/>
    <mergeCell ref="B156:I156"/>
    <mergeCell ref="B157:I157"/>
    <mergeCell ref="B158:I158"/>
    <mergeCell ref="A159:I159"/>
    <mergeCell ref="A160:J160"/>
    <mergeCell ref="A161:J161"/>
    <mergeCell ref="A162:J162"/>
    <mergeCell ref="A163:J163"/>
    <mergeCell ref="B164:H164"/>
    <mergeCell ref="A165:H165"/>
    <mergeCell ref="B166:H166"/>
    <mergeCell ref="A167:H167"/>
    <mergeCell ref="B168:H168"/>
    <mergeCell ref="A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A179:I179"/>
    <mergeCell ref="A180:J180"/>
    <mergeCell ref="A181:H181"/>
    <mergeCell ref="A182:C184"/>
    <mergeCell ref="D182:J182"/>
    <mergeCell ref="D183:J183"/>
    <mergeCell ref="D184:J184"/>
    <mergeCell ref="A185:J185"/>
    <mergeCell ref="A186:J186"/>
    <mergeCell ref="A187:J187"/>
    <mergeCell ref="A188:J188"/>
    <mergeCell ref="A189:I189"/>
    <mergeCell ref="B190:I190"/>
    <mergeCell ref="B191:I191"/>
    <mergeCell ref="B192:I192"/>
    <mergeCell ref="B193:I193"/>
    <mergeCell ref="B194:I194"/>
    <mergeCell ref="A195:I195"/>
    <mergeCell ref="B196:I196"/>
    <mergeCell ref="A197:I197"/>
    <mergeCell ref="A198:J198"/>
    <mergeCell ref="A199:J199"/>
    <mergeCell ref="A200:J200"/>
    <mergeCell ref="A201:C201"/>
    <mergeCell ref="D201:F201"/>
    <mergeCell ref="G201:H201"/>
    <mergeCell ref="I201:J201"/>
    <mergeCell ref="A202:C202"/>
    <mergeCell ref="G202:H202"/>
    <mergeCell ref="I202:J202"/>
    <mergeCell ref="A203:C203"/>
    <mergeCell ref="E203:F203"/>
    <mergeCell ref="G203:H203"/>
    <mergeCell ref="I203:J203"/>
    <mergeCell ref="A204:H204"/>
    <mergeCell ref="I204:J204"/>
    <mergeCell ref="A205:J205"/>
    <mergeCell ref="A206:C206"/>
    <mergeCell ref="G206:H206"/>
    <mergeCell ref="I206:J206"/>
    <mergeCell ref="A207:C207"/>
    <mergeCell ref="E207:F207"/>
    <mergeCell ref="G207:H207"/>
    <mergeCell ref="I207:J207"/>
    <mergeCell ref="A208:H208"/>
    <mergeCell ref="I208:J208"/>
    <mergeCell ref="A209:J209"/>
    <mergeCell ref="A210:C210"/>
    <mergeCell ref="G210:H210"/>
    <mergeCell ref="I210:J210"/>
    <mergeCell ref="A211:C211"/>
    <mergeCell ref="E211:F211"/>
    <mergeCell ref="G211:H211"/>
    <mergeCell ref="I211:J211"/>
    <mergeCell ref="A212:H212"/>
    <mergeCell ref="I212:J212"/>
    <mergeCell ref="A213:J213"/>
    <mergeCell ref="A214:C214"/>
    <mergeCell ref="G214:H214"/>
    <mergeCell ref="I214:J214"/>
    <mergeCell ref="A215:C215"/>
    <mergeCell ref="E215:F215"/>
    <mergeCell ref="G215:H215"/>
    <mergeCell ref="I215:J215"/>
    <mergeCell ref="A216:H216"/>
    <mergeCell ref="I216:J216"/>
    <mergeCell ref="A217:J217"/>
    <mergeCell ref="A218:C218"/>
    <mergeCell ref="G218:H218"/>
    <mergeCell ref="I218:J218"/>
    <mergeCell ref="A219:C219"/>
    <mergeCell ref="E219:F219"/>
    <mergeCell ref="G219:H219"/>
    <mergeCell ref="I219:J219"/>
    <mergeCell ref="A220:H220"/>
    <mergeCell ref="I220:J220"/>
    <mergeCell ref="A221:J221"/>
    <mergeCell ref="A222:C222"/>
    <mergeCell ref="G222:H222"/>
    <mergeCell ref="I222:J222"/>
    <mergeCell ref="A223:C223"/>
    <mergeCell ref="E223:F223"/>
    <mergeCell ref="G223:H223"/>
    <mergeCell ref="I223:J223"/>
    <mergeCell ref="A224:H224"/>
    <mergeCell ref="I224:J224"/>
    <mergeCell ref="A225:J225"/>
    <mergeCell ref="A226:C226"/>
    <mergeCell ref="G226:H226"/>
    <mergeCell ref="I226:J226"/>
    <mergeCell ref="A227:C227"/>
    <mergeCell ref="E227:F227"/>
    <mergeCell ref="G227:H227"/>
    <mergeCell ref="I227:J227"/>
    <mergeCell ref="A228:H228"/>
    <mergeCell ref="I228:J228"/>
    <mergeCell ref="A229:J229"/>
    <mergeCell ref="A230:J230"/>
    <mergeCell ref="A231:J231"/>
    <mergeCell ref="A232:J232"/>
    <mergeCell ref="A233:C233"/>
    <mergeCell ref="D233:F233"/>
    <mergeCell ref="G233:H233"/>
    <mergeCell ref="I233:J233"/>
    <mergeCell ref="A234:C234"/>
    <mergeCell ref="G234:H234"/>
    <mergeCell ref="I234:J234"/>
    <mergeCell ref="A235:C235"/>
    <mergeCell ref="E235:F235"/>
    <mergeCell ref="G235:H235"/>
    <mergeCell ref="I235:J235"/>
    <mergeCell ref="A236:H236"/>
    <mergeCell ref="I236:J236"/>
    <mergeCell ref="A237:J237"/>
    <mergeCell ref="A238:C238"/>
    <mergeCell ref="G238:H238"/>
    <mergeCell ref="I238:J238"/>
    <mergeCell ref="A239:C239"/>
    <mergeCell ref="E239:F239"/>
    <mergeCell ref="G239:H239"/>
    <mergeCell ref="I239:J239"/>
    <mergeCell ref="A240:H240"/>
    <mergeCell ref="I240:J240"/>
    <mergeCell ref="A241:J241"/>
    <mergeCell ref="A242:C242"/>
    <mergeCell ref="G242:H242"/>
    <mergeCell ref="I242:J242"/>
    <mergeCell ref="A243:C243"/>
    <mergeCell ref="E243:F243"/>
    <mergeCell ref="G243:H243"/>
    <mergeCell ref="I243:J243"/>
    <mergeCell ref="A244:H244"/>
    <mergeCell ref="I244:J244"/>
    <mergeCell ref="A245:J245"/>
    <mergeCell ref="A246:C246"/>
    <mergeCell ref="G246:H246"/>
    <mergeCell ref="I246:J246"/>
    <mergeCell ref="A247:C247"/>
    <mergeCell ref="E247:F247"/>
    <mergeCell ref="G247:H247"/>
    <mergeCell ref="I247:J247"/>
    <mergeCell ref="A248:H248"/>
    <mergeCell ref="I248:J248"/>
    <mergeCell ref="A249:J249"/>
    <mergeCell ref="A250:C250"/>
    <mergeCell ref="G250:H250"/>
    <mergeCell ref="I250:J250"/>
    <mergeCell ref="A251:C251"/>
    <mergeCell ref="E251:F251"/>
    <mergeCell ref="G251:H251"/>
    <mergeCell ref="I251:J251"/>
    <mergeCell ref="A252:H252"/>
    <mergeCell ref="I252:J252"/>
    <mergeCell ref="A253:J253"/>
    <mergeCell ref="A254:C254"/>
    <mergeCell ref="G254:H254"/>
    <mergeCell ref="I254:J254"/>
    <mergeCell ref="A255:C255"/>
    <mergeCell ref="E255:F255"/>
    <mergeCell ref="G255:H255"/>
    <mergeCell ref="I255:J255"/>
    <mergeCell ref="A256:H256"/>
    <mergeCell ref="I256:J256"/>
    <mergeCell ref="A257:J257"/>
    <mergeCell ref="A258:J258"/>
    <mergeCell ref="A259:J259"/>
    <mergeCell ref="A260:J260"/>
    <mergeCell ref="B261:D261"/>
    <mergeCell ref="F261:G261"/>
    <mergeCell ref="C263:D263"/>
    <mergeCell ref="A264:I264"/>
    <mergeCell ref="A265:J265"/>
    <mergeCell ref="C267:D267"/>
    <mergeCell ref="A268:I268"/>
    <mergeCell ref="A269:J269"/>
    <mergeCell ref="C271:D271"/>
    <mergeCell ref="A272:I272"/>
    <mergeCell ref="A273:J273"/>
    <mergeCell ref="A274:J274"/>
    <mergeCell ref="A275:J275"/>
    <mergeCell ref="A276:J276"/>
    <mergeCell ref="B277:D277"/>
    <mergeCell ref="F277:G277"/>
    <mergeCell ref="C279:D279"/>
    <mergeCell ref="A280:I280"/>
    <mergeCell ref="A281:J281"/>
    <mergeCell ref="A282:J282"/>
    <mergeCell ref="A283:J283"/>
    <mergeCell ref="A284:J285"/>
    <mergeCell ref="A286:C286"/>
    <mergeCell ref="D286:F286"/>
    <mergeCell ref="G286:H286"/>
    <mergeCell ref="I286:J286"/>
    <mergeCell ref="A287:C287"/>
    <mergeCell ref="G287:H287"/>
    <mergeCell ref="I287:J287"/>
    <mergeCell ref="A288:C288"/>
    <mergeCell ref="E288:F288"/>
    <mergeCell ref="G288:H288"/>
    <mergeCell ref="I288:J288"/>
    <mergeCell ref="A289:H289"/>
    <mergeCell ref="I289:J289"/>
    <mergeCell ref="A290:J290"/>
    <mergeCell ref="A291:J291"/>
    <mergeCell ref="A292:J292"/>
    <mergeCell ref="A293:J293"/>
    <mergeCell ref="A294:J294"/>
    <mergeCell ref="A295:E295"/>
    <mergeCell ref="F295:G295"/>
    <mergeCell ref="I295:J295"/>
    <mergeCell ref="A296:E296"/>
    <mergeCell ref="F296:G296"/>
    <mergeCell ref="I296:J296"/>
    <mergeCell ref="A297:E297"/>
    <mergeCell ref="F297:G297"/>
    <mergeCell ref="I297:J297"/>
    <mergeCell ref="A298:E298"/>
    <mergeCell ref="F298:G298"/>
    <mergeCell ref="I298:J298"/>
    <mergeCell ref="A299:E299"/>
    <mergeCell ref="F299:G299"/>
    <mergeCell ref="I299:J299"/>
    <mergeCell ref="A300:E300"/>
    <mergeCell ref="F300:G300"/>
    <mergeCell ref="I300:J300"/>
    <mergeCell ref="A301:E301"/>
    <mergeCell ref="F301:G301"/>
    <mergeCell ref="I301:J301"/>
    <mergeCell ref="A302:E302"/>
    <mergeCell ref="F302:G302"/>
    <mergeCell ref="I302:J302"/>
    <mergeCell ref="A303:G303"/>
    <mergeCell ref="I303:J303"/>
    <mergeCell ref="A304:J304"/>
    <mergeCell ref="A305:E305"/>
    <mergeCell ref="F305:G305"/>
    <mergeCell ref="I305:J305"/>
    <mergeCell ref="A306:E306"/>
    <mergeCell ref="F306:G306"/>
    <mergeCell ref="I306:J306"/>
    <mergeCell ref="A307:E307"/>
    <mergeCell ref="F307:G307"/>
    <mergeCell ref="I307:J307"/>
    <mergeCell ref="A308:E308"/>
    <mergeCell ref="F308:G308"/>
    <mergeCell ref="I308:J308"/>
    <mergeCell ref="A309:E309"/>
    <mergeCell ref="F309:G309"/>
    <mergeCell ref="I309:J309"/>
    <mergeCell ref="A310:E310"/>
    <mergeCell ref="F310:G310"/>
    <mergeCell ref="I310:J310"/>
    <mergeCell ref="A311:G311"/>
    <mergeCell ref="I311:J311"/>
    <mergeCell ref="A312:J312"/>
    <mergeCell ref="A313:E313"/>
    <mergeCell ref="F313:G313"/>
    <mergeCell ref="I313:J313"/>
    <mergeCell ref="A314:E314"/>
    <mergeCell ref="F314:G314"/>
    <mergeCell ref="I314:J314"/>
    <mergeCell ref="A315:E315"/>
    <mergeCell ref="F315:G315"/>
    <mergeCell ref="I315:J315"/>
    <mergeCell ref="A316:G316"/>
    <mergeCell ref="I316:J316"/>
    <mergeCell ref="A317:J317"/>
    <mergeCell ref="A318:E318"/>
    <mergeCell ref="F318:G318"/>
    <mergeCell ref="I318:J318"/>
    <mergeCell ref="A319:G319"/>
    <mergeCell ref="I319:J319"/>
    <mergeCell ref="A320:J320"/>
    <mergeCell ref="A321:E321"/>
    <mergeCell ref="F321:G321"/>
    <mergeCell ref="I321:J321"/>
    <mergeCell ref="A322:G322"/>
    <mergeCell ref="I322:J322"/>
    <mergeCell ref="A323:J323"/>
    <mergeCell ref="A324:G324"/>
    <mergeCell ref="I324:J324"/>
    <mergeCell ref="A325:G325"/>
    <mergeCell ref="I325:J325"/>
    <mergeCell ref="A326:J326"/>
    <mergeCell ref="A327:G327"/>
    <mergeCell ref="I327:J327"/>
    <mergeCell ref="A328:J328"/>
    <mergeCell ref="A329:H329"/>
    <mergeCell ref="I329:J329"/>
    <mergeCell ref="A330:J330"/>
    <mergeCell ref="A331:H331"/>
    <mergeCell ref="I331:J331"/>
    <mergeCell ref="A332:J332"/>
    <mergeCell ref="A333:H333"/>
    <mergeCell ref="I333:J333"/>
    <mergeCell ref="A334:J334"/>
    <mergeCell ref="A335:J335"/>
    <mergeCell ref="A336:F336"/>
    <mergeCell ref="G336:J336"/>
    <mergeCell ref="A341:I341"/>
    <mergeCell ref="A342:I342"/>
    <mergeCell ref="A343:I343"/>
    <mergeCell ref="A344:I344"/>
    <mergeCell ref="A337:F337"/>
    <mergeCell ref="G337:J337"/>
    <mergeCell ref="A338:F338"/>
    <mergeCell ref="G338:J338"/>
    <mergeCell ref="A339:J339"/>
    <mergeCell ref="A340:J340"/>
  </mergeCells>
  <printOptions/>
  <pageMargins left="0.7875" right="0.7875" top="1.0527777777777778" bottom="1.0527777777777778" header="0.7875" footer="0.7875"/>
  <pageSetup horizontalDpi="600" verticalDpi="600" orientation="portrait" paperSize="9" scale="74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view="pageBreakPreview" zoomScaleSheetLayoutView="100" zoomScalePageLayoutView="0" workbookViewId="0" topLeftCell="A56">
      <selection activeCell="K73" sqref="K73"/>
    </sheetView>
  </sheetViews>
  <sheetFormatPr defaultColWidth="9.00390625" defaultRowHeight="12.75"/>
  <cols>
    <col min="1" max="1" width="49.421875" style="109" customWidth="1"/>
    <col min="2" max="2" width="10.140625" style="110" customWidth="1"/>
    <col min="3" max="3" width="13.57421875" style="110" customWidth="1"/>
    <col min="4" max="4" width="12.421875" style="110" customWidth="1"/>
    <col min="5" max="5" width="11.421875" style="111" customWidth="1"/>
    <col min="6" max="6" width="10.8515625" style="111" customWidth="1"/>
    <col min="7" max="7" width="21.140625" style="109" customWidth="1"/>
    <col min="8" max="8" width="15.28125" style="109" customWidth="1"/>
    <col min="9" max="16384" width="9.00390625" style="109" customWidth="1"/>
  </cols>
  <sheetData>
    <row r="1" spans="1:6" ht="18.75" customHeight="1">
      <c r="A1" s="358" t="s">
        <v>292</v>
      </c>
      <c r="B1" s="358"/>
      <c r="C1" s="358"/>
      <c r="D1" s="358"/>
      <c r="E1" s="358"/>
      <c r="F1" s="358"/>
    </row>
    <row r="2" spans="1:6" ht="14.25" customHeight="1">
      <c r="A2" s="359"/>
      <c r="B2" s="359"/>
      <c r="C2" s="359"/>
      <c r="D2" s="359"/>
      <c r="E2" s="359"/>
      <c r="F2" s="359"/>
    </row>
    <row r="3" spans="1:6" ht="14.25" customHeight="1">
      <c r="A3"/>
      <c r="B3"/>
      <c r="C3"/>
      <c r="D3"/>
      <c r="E3"/>
      <c r="F3"/>
    </row>
    <row r="4" spans="1:6" ht="14.25" customHeight="1">
      <c r="A4" s="359"/>
      <c r="B4" s="359"/>
      <c r="C4" s="359"/>
      <c r="D4" s="359"/>
      <c r="E4" s="359"/>
      <c r="F4" s="359"/>
    </row>
    <row r="5" spans="1:6" ht="25.5">
      <c r="A5" s="112" t="s">
        <v>293</v>
      </c>
      <c r="B5" s="112" t="s">
        <v>294</v>
      </c>
      <c r="C5" s="112" t="s">
        <v>295</v>
      </c>
      <c r="D5" s="112" t="s">
        <v>296</v>
      </c>
      <c r="E5" s="113" t="s">
        <v>297</v>
      </c>
      <c r="F5" s="113" t="s">
        <v>298</v>
      </c>
    </row>
    <row r="6" spans="1:6" ht="12.75">
      <c r="A6" s="114" t="s">
        <v>299</v>
      </c>
      <c r="B6" s="115" t="s">
        <v>300</v>
      </c>
      <c r="C6" s="116">
        <v>36</v>
      </c>
      <c r="D6" s="117">
        <f aca="true" t="shared" si="0" ref="D6:D13">C6*12</f>
        <v>432</v>
      </c>
      <c r="E6" s="118">
        <v>6.68</v>
      </c>
      <c r="F6" s="119">
        <f aca="true" t="shared" si="1" ref="F6:F13">D6*E6</f>
        <v>2885.7599999999998</v>
      </c>
    </row>
    <row r="7" spans="1:6" ht="12.75">
      <c r="A7" s="114" t="s">
        <v>301</v>
      </c>
      <c r="B7" s="115" t="s">
        <v>302</v>
      </c>
      <c r="C7" s="116">
        <v>6</v>
      </c>
      <c r="D7" s="117">
        <f t="shared" si="0"/>
        <v>72</v>
      </c>
      <c r="E7" s="118">
        <v>7.34</v>
      </c>
      <c r="F7" s="119">
        <f t="shared" si="1"/>
        <v>528.48</v>
      </c>
    </row>
    <row r="8" spans="1:6" ht="38.25">
      <c r="A8" s="120" t="s">
        <v>303</v>
      </c>
      <c r="B8" s="115" t="s">
        <v>302</v>
      </c>
      <c r="C8" s="116">
        <v>5</v>
      </c>
      <c r="D8" s="117">
        <f t="shared" si="0"/>
        <v>60</v>
      </c>
      <c r="E8" s="205">
        <v>60.93</v>
      </c>
      <c r="F8" s="119">
        <f t="shared" si="1"/>
        <v>3655.8</v>
      </c>
    </row>
    <row r="9" spans="1:6" ht="12.75">
      <c r="A9" s="114" t="s">
        <v>304</v>
      </c>
      <c r="B9" s="115" t="s">
        <v>302</v>
      </c>
      <c r="C9" s="201">
        <v>100</v>
      </c>
      <c r="D9" s="117">
        <f t="shared" si="0"/>
        <v>1200</v>
      </c>
      <c r="E9" s="118">
        <v>15.19</v>
      </c>
      <c r="F9" s="119">
        <f t="shared" si="1"/>
        <v>18228</v>
      </c>
    </row>
    <row r="10" spans="1:6" ht="12.75">
      <c r="A10" s="121" t="s">
        <v>305</v>
      </c>
      <c r="B10" s="117" t="s">
        <v>302</v>
      </c>
      <c r="C10" s="122">
        <v>6</v>
      </c>
      <c r="D10" s="117">
        <f t="shared" si="0"/>
        <v>72</v>
      </c>
      <c r="E10" s="123">
        <v>15.67</v>
      </c>
      <c r="F10" s="119">
        <f t="shared" si="1"/>
        <v>1128.24</v>
      </c>
    </row>
    <row r="11" spans="1:6" ht="25.5">
      <c r="A11" s="124" t="s">
        <v>306</v>
      </c>
      <c r="B11" s="117" t="s">
        <v>302</v>
      </c>
      <c r="C11" s="122">
        <v>4</v>
      </c>
      <c r="D11" s="117">
        <f t="shared" si="0"/>
        <v>48</v>
      </c>
      <c r="E11" s="123">
        <v>36.74</v>
      </c>
      <c r="F11" s="119">
        <f t="shared" si="1"/>
        <v>1763.52</v>
      </c>
    </row>
    <row r="12" spans="1:6" ht="12.75">
      <c r="A12" s="121" t="s">
        <v>307</v>
      </c>
      <c r="B12" s="117" t="s">
        <v>308</v>
      </c>
      <c r="C12" s="122">
        <v>12</v>
      </c>
      <c r="D12" s="117">
        <f t="shared" si="0"/>
        <v>144</v>
      </c>
      <c r="E12" s="123">
        <v>1.5</v>
      </c>
      <c r="F12" s="119">
        <f t="shared" si="1"/>
        <v>216</v>
      </c>
    </row>
    <row r="13" spans="1:6" ht="12.75">
      <c r="A13" s="120" t="s">
        <v>309</v>
      </c>
      <c r="B13" s="117" t="s">
        <v>308</v>
      </c>
      <c r="C13" s="122">
        <v>24</v>
      </c>
      <c r="D13" s="117">
        <f t="shared" si="0"/>
        <v>288</v>
      </c>
      <c r="E13" s="123">
        <v>2.04</v>
      </c>
      <c r="F13" s="119">
        <f t="shared" si="1"/>
        <v>587.52</v>
      </c>
    </row>
    <row r="14" spans="1:7" ht="14.25" customHeight="1">
      <c r="A14" s="360" t="s">
        <v>310</v>
      </c>
      <c r="B14" s="360"/>
      <c r="C14" s="360"/>
      <c r="D14" s="360"/>
      <c r="E14" s="360"/>
      <c r="F14" s="125">
        <f>SUM(F6:F13)</f>
        <v>28993.320000000003</v>
      </c>
      <c r="G14" s="204"/>
    </row>
    <row r="15" spans="1:7" ht="14.25" customHeight="1">
      <c r="A15" s="360" t="s">
        <v>311</v>
      </c>
      <c r="B15" s="360"/>
      <c r="C15" s="360"/>
      <c r="D15" s="360"/>
      <c r="E15" s="360"/>
      <c r="F15" s="125">
        <f>F14/12</f>
        <v>2416.11</v>
      </c>
      <c r="G15" s="203"/>
    </row>
    <row r="16" spans="1:5" s="129" customFormat="1" ht="12.75">
      <c r="A16" s="126"/>
      <c r="B16" s="127"/>
      <c r="C16" s="127"/>
      <c r="D16" s="127"/>
      <c r="E16" s="128"/>
    </row>
    <row r="18" spans="1:7" ht="27" customHeight="1">
      <c r="A18" s="130" t="s">
        <v>312</v>
      </c>
      <c r="B18" s="112" t="s">
        <v>294</v>
      </c>
      <c r="C18" s="112" t="s">
        <v>313</v>
      </c>
      <c r="D18" s="112" t="s">
        <v>314</v>
      </c>
      <c r="E18" s="112" t="s">
        <v>296</v>
      </c>
      <c r="F18" s="113" t="s">
        <v>297</v>
      </c>
      <c r="G18" s="113" t="s">
        <v>298</v>
      </c>
    </row>
    <row r="19" spans="1:7" ht="12.75">
      <c r="A19" s="131" t="s">
        <v>315</v>
      </c>
      <c r="B19" s="115" t="s">
        <v>308</v>
      </c>
      <c r="C19" s="115">
        <v>4</v>
      </c>
      <c r="D19" s="116">
        <v>4</v>
      </c>
      <c r="E19" s="132">
        <f aca="true" t="shared" si="2" ref="E19:E33">12/D19*C19</f>
        <v>12</v>
      </c>
      <c r="F19" s="133">
        <v>9</v>
      </c>
      <c r="G19" s="134">
        <f aca="true" t="shared" si="3" ref="G19:G33">E19*F19</f>
        <v>108</v>
      </c>
    </row>
    <row r="20" spans="1:7" ht="12.75">
      <c r="A20" s="114" t="s">
        <v>316</v>
      </c>
      <c r="B20" s="115" t="s">
        <v>308</v>
      </c>
      <c r="C20" s="115">
        <v>3</v>
      </c>
      <c r="D20" s="116">
        <v>1</v>
      </c>
      <c r="E20" s="132">
        <f t="shared" si="2"/>
        <v>36</v>
      </c>
      <c r="F20" s="133">
        <v>2.15</v>
      </c>
      <c r="G20" s="134">
        <f t="shared" si="3"/>
        <v>77.39999999999999</v>
      </c>
    </row>
    <row r="21" spans="1:7" ht="12.75">
      <c r="A21" s="131" t="s">
        <v>317</v>
      </c>
      <c r="B21" s="115" t="s">
        <v>308</v>
      </c>
      <c r="C21" s="115">
        <v>3</v>
      </c>
      <c r="D21" s="116">
        <v>1</v>
      </c>
      <c r="E21" s="132">
        <f t="shared" si="2"/>
        <v>36</v>
      </c>
      <c r="F21" s="133">
        <v>4.98</v>
      </c>
      <c r="G21" s="134">
        <f t="shared" si="3"/>
        <v>179.28000000000003</v>
      </c>
    </row>
    <row r="22" spans="1:7" ht="12.75">
      <c r="A22" s="120" t="s">
        <v>318</v>
      </c>
      <c r="B22" s="117" t="s">
        <v>308</v>
      </c>
      <c r="C22" s="117">
        <v>6</v>
      </c>
      <c r="D22" s="122">
        <v>2</v>
      </c>
      <c r="E22" s="132">
        <f t="shared" si="2"/>
        <v>36</v>
      </c>
      <c r="F22" s="133">
        <v>11.73</v>
      </c>
      <c r="G22" s="134">
        <f t="shared" si="3"/>
        <v>422.28000000000003</v>
      </c>
    </row>
    <row r="23" spans="1:7" ht="12.75">
      <c r="A23" s="121" t="s">
        <v>319</v>
      </c>
      <c r="B23" s="117" t="s">
        <v>320</v>
      </c>
      <c r="C23" s="117">
        <v>3</v>
      </c>
      <c r="D23" s="122">
        <v>1</v>
      </c>
      <c r="E23" s="132">
        <f t="shared" si="2"/>
        <v>36</v>
      </c>
      <c r="F23" s="133">
        <v>8.52</v>
      </c>
      <c r="G23" s="134">
        <f t="shared" si="3"/>
        <v>306.71999999999997</v>
      </c>
    </row>
    <row r="24" spans="1:7" ht="12.75">
      <c r="A24" s="121" t="s">
        <v>321</v>
      </c>
      <c r="B24" s="117" t="s">
        <v>320</v>
      </c>
      <c r="C24" s="117">
        <v>2</v>
      </c>
      <c r="D24" s="122">
        <v>1</v>
      </c>
      <c r="E24" s="132">
        <f t="shared" si="2"/>
        <v>24</v>
      </c>
      <c r="F24" s="133">
        <v>6.68</v>
      </c>
      <c r="G24" s="134">
        <f t="shared" si="3"/>
        <v>160.32</v>
      </c>
    </row>
    <row r="25" spans="1:7" ht="12.75">
      <c r="A25" s="131" t="s">
        <v>322</v>
      </c>
      <c r="B25" s="115" t="s">
        <v>308</v>
      </c>
      <c r="C25" s="115">
        <v>2</v>
      </c>
      <c r="D25" s="116">
        <v>6</v>
      </c>
      <c r="E25" s="132">
        <f t="shared" si="2"/>
        <v>4</v>
      </c>
      <c r="F25" s="133">
        <v>63.61</v>
      </c>
      <c r="G25" s="134">
        <f t="shared" si="3"/>
        <v>254.44</v>
      </c>
    </row>
    <row r="26" spans="1:7" ht="12.75">
      <c r="A26" s="121" t="s">
        <v>323</v>
      </c>
      <c r="B26" s="117" t="s">
        <v>308</v>
      </c>
      <c r="C26" s="117">
        <v>120</v>
      </c>
      <c r="D26" s="122">
        <v>1</v>
      </c>
      <c r="E26" s="132">
        <f t="shared" si="2"/>
        <v>1440</v>
      </c>
      <c r="F26" s="133">
        <v>3.21</v>
      </c>
      <c r="G26" s="134">
        <f t="shared" si="3"/>
        <v>4622.4</v>
      </c>
    </row>
    <row r="27" spans="1:7" ht="12.75">
      <c r="A27" s="121" t="s">
        <v>324</v>
      </c>
      <c r="B27" s="117" t="s">
        <v>325</v>
      </c>
      <c r="C27" s="117">
        <v>12</v>
      </c>
      <c r="D27" s="122">
        <v>1</v>
      </c>
      <c r="E27" s="132">
        <f t="shared" si="2"/>
        <v>144</v>
      </c>
      <c r="F27" s="133">
        <v>24.66</v>
      </c>
      <c r="G27" s="134">
        <f t="shared" si="3"/>
        <v>3551.04</v>
      </c>
    </row>
    <row r="28" spans="1:7" ht="12.75">
      <c r="A28" s="120" t="s">
        <v>326</v>
      </c>
      <c r="B28" s="117" t="s">
        <v>308</v>
      </c>
      <c r="C28" s="117">
        <v>12</v>
      </c>
      <c r="D28" s="122">
        <v>1</v>
      </c>
      <c r="E28" s="132">
        <f t="shared" si="2"/>
        <v>144</v>
      </c>
      <c r="F28" s="133">
        <v>5.2</v>
      </c>
      <c r="G28" s="134">
        <f t="shared" si="3"/>
        <v>748.8000000000001</v>
      </c>
    </row>
    <row r="29" spans="1:7" ht="25.5">
      <c r="A29" s="120" t="s">
        <v>327</v>
      </c>
      <c r="B29" s="117" t="s">
        <v>308</v>
      </c>
      <c r="C29" s="117">
        <v>24</v>
      </c>
      <c r="D29" s="122">
        <v>1</v>
      </c>
      <c r="E29" s="132">
        <f t="shared" si="2"/>
        <v>288</v>
      </c>
      <c r="F29" s="133">
        <v>19.32</v>
      </c>
      <c r="G29" s="134">
        <f t="shared" si="3"/>
        <v>5564.16</v>
      </c>
    </row>
    <row r="30" spans="1:7" ht="12.75">
      <c r="A30" s="120" t="s">
        <v>328</v>
      </c>
      <c r="B30" s="117" t="s">
        <v>308</v>
      </c>
      <c r="C30" s="117">
        <v>12</v>
      </c>
      <c r="D30" s="122">
        <v>1</v>
      </c>
      <c r="E30" s="132">
        <f t="shared" si="2"/>
        <v>144</v>
      </c>
      <c r="F30" s="133">
        <v>12.57</v>
      </c>
      <c r="G30" s="134">
        <f t="shared" si="3"/>
        <v>1810.08</v>
      </c>
    </row>
    <row r="31" spans="1:7" ht="25.5">
      <c r="A31" s="135" t="s">
        <v>329</v>
      </c>
      <c r="B31" s="117" t="s">
        <v>320</v>
      </c>
      <c r="C31" s="117">
        <v>100</v>
      </c>
      <c r="D31" s="122">
        <v>1</v>
      </c>
      <c r="E31" s="132">
        <f t="shared" si="2"/>
        <v>1200</v>
      </c>
      <c r="F31" s="133">
        <v>2.9</v>
      </c>
      <c r="G31" s="134">
        <f t="shared" si="3"/>
        <v>3480</v>
      </c>
    </row>
    <row r="32" spans="1:7" ht="25.5">
      <c r="A32" s="135" t="s">
        <v>330</v>
      </c>
      <c r="B32" s="117" t="s">
        <v>320</v>
      </c>
      <c r="C32" s="117">
        <v>200</v>
      </c>
      <c r="D32" s="122">
        <v>1</v>
      </c>
      <c r="E32" s="132">
        <f t="shared" si="2"/>
        <v>2400</v>
      </c>
      <c r="F32" s="133">
        <v>2.34</v>
      </c>
      <c r="G32" s="134">
        <f t="shared" si="3"/>
        <v>5616</v>
      </c>
    </row>
    <row r="33" spans="1:7" ht="12.75">
      <c r="A33" s="131" t="s">
        <v>331</v>
      </c>
      <c r="B33" s="115" t="s">
        <v>308</v>
      </c>
      <c r="C33" s="115">
        <v>12</v>
      </c>
      <c r="D33" s="116">
        <v>1</v>
      </c>
      <c r="E33" s="132">
        <f t="shared" si="2"/>
        <v>144</v>
      </c>
      <c r="F33" s="133">
        <v>6.15</v>
      </c>
      <c r="G33" s="134">
        <f t="shared" si="3"/>
        <v>885.6</v>
      </c>
    </row>
    <row r="34" spans="1:8" ht="14.25" customHeight="1">
      <c r="A34" s="355" t="s">
        <v>332</v>
      </c>
      <c r="B34" s="355"/>
      <c r="C34" s="355"/>
      <c r="D34" s="355"/>
      <c r="E34" s="355"/>
      <c r="F34" s="355"/>
      <c r="G34" s="136">
        <f>SUM(G19:G33)</f>
        <v>27786.519999999997</v>
      </c>
      <c r="H34" s="204"/>
    </row>
    <row r="35" spans="1:8" ht="14.25" customHeight="1">
      <c r="A35" s="355" t="s">
        <v>333</v>
      </c>
      <c r="B35" s="355"/>
      <c r="C35" s="355"/>
      <c r="D35" s="355"/>
      <c r="E35" s="355"/>
      <c r="F35" s="355"/>
      <c r="G35" s="137">
        <f>G34/12</f>
        <v>2315.543333333333</v>
      </c>
      <c r="H35" s="202"/>
    </row>
    <row r="37" spans="1:7" ht="36" customHeight="1">
      <c r="A37" s="130" t="s">
        <v>334</v>
      </c>
      <c r="B37" s="112" t="s">
        <v>294</v>
      </c>
      <c r="C37" s="112" t="s">
        <v>313</v>
      </c>
      <c r="D37" s="112" t="s">
        <v>335</v>
      </c>
      <c r="E37" s="112" t="s">
        <v>296</v>
      </c>
      <c r="F37" s="113" t="s">
        <v>297</v>
      </c>
      <c r="G37" s="113" t="s">
        <v>298</v>
      </c>
    </row>
    <row r="38" spans="1:7" ht="12.75">
      <c r="A38" s="138" t="s">
        <v>336</v>
      </c>
      <c r="B38" s="116" t="s">
        <v>308</v>
      </c>
      <c r="C38" s="116">
        <v>3</v>
      </c>
      <c r="D38" s="116">
        <v>60</v>
      </c>
      <c r="E38" s="132">
        <f>12/D38*C38</f>
        <v>0.6000000000000001</v>
      </c>
      <c r="F38" s="133">
        <v>53.88</v>
      </c>
      <c r="G38" s="133">
        <f>E38*F38</f>
        <v>32.328</v>
      </c>
    </row>
    <row r="39" spans="1:7" ht="12.75">
      <c r="A39" s="138" t="s">
        <v>337</v>
      </c>
      <c r="B39" s="116" t="s">
        <v>308</v>
      </c>
      <c r="C39" s="116">
        <v>3</v>
      </c>
      <c r="D39" s="116">
        <v>24</v>
      </c>
      <c r="E39" s="132">
        <f>12/D39*C39</f>
        <v>1.5</v>
      </c>
      <c r="F39" s="133">
        <v>19.3</v>
      </c>
      <c r="G39" s="133">
        <f>E39*F39</f>
        <v>28.950000000000003</v>
      </c>
    </row>
    <row r="40" spans="1:7" ht="12.75">
      <c r="A40" s="138" t="s">
        <v>338</v>
      </c>
      <c r="B40" s="116" t="s">
        <v>308</v>
      </c>
      <c r="C40" s="116">
        <v>2</v>
      </c>
      <c r="D40" s="116">
        <v>24</v>
      </c>
      <c r="E40" s="132">
        <f>12/D40*C40</f>
        <v>1</v>
      </c>
      <c r="F40" s="133">
        <v>69.77</v>
      </c>
      <c r="G40" s="133">
        <f>E40*F40</f>
        <v>69.77</v>
      </c>
    </row>
    <row r="41" spans="1:7" ht="12.75">
      <c r="A41" s="138" t="s">
        <v>339</v>
      </c>
      <c r="B41" s="116" t="s">
        <v>308</v>
      </c>
      <c r="C41" s="116">
        <v>2</v>
      </c>
      <c r="D41" s="116">
        <v>24</v>
      </c>
      <c r="E41" s="132">
        <f>12/D41*C41</f>
        <v>1</v>
      </c>
      <c r="F41" s="133">
        <v>98.4</v>
      </c>
      <c r="G41" s="133">
        <f>E41*F41</f>
        <v>98.4</v>
      </c>
    </row>
    <row r="42" spans="1:7" ht="12.75">
      <c r="A42" s="138" t="s">
        <v>340</v>
      </c>
      <c r="B42" s="116" t="s">
        <v>308</v>
      </c>
      <c r="C42" s="116">
        <v>3</v>
      </c>
      <c r="D42" s="116">
        <v>12</v>
      </c>
      <c r="E42" s="132">
        <f>12/D42*C42</f>
        <v>3</v>
      </c>
      <c r="F42" s="133">
        <v>634.12</v>
      </c>
      <c r="G42" s="133">
        <f>E42*F42</f>
        <v>1902.3600000000001</v>
      </c>
    </row>
    <row r="43" spans="1:7" ht="12.75">
      <c r="A43" s="355" t="s">
        <v>341</v>
      </c>
      <c r="B43" s="355"/>
      <c r="C43" s="355"/>
      <c r="D43" s="355"/>
      <c r="E43" s="355"/>
      <c r="F43" s="355"/>
      <c r="G43" s="139">
        <f>SUM(G38:G42)</f>
        <v>2131.808</v>
      </c>
    </row>
    <row r="44" spans="1:8" ht="12.75" customHeight="1">
      <c r="A44" s="355" t="s">
        <v>342</v>
      </c>
      <c r="B44" s="355"/>
      <c r="C44" s="355"/>
      <c r="D44" s="355"/>
      <c r="E44" s="355"/>
      <c r="F44" s="355"/>
      <c r="G44" s="139">
        <f>G43/12</f>
        <v>177.65066666666667</v>
      </c>
      <c r="H44" s="203"/>
    </row>
    <row r="46" spans="1:6" ht="25.5">
      <c r="A46" s="140" t="s">
        <v>343</v>
      </c>
      <c r="B46" s="112" t="s">
        <v>294</v>
      </c>
      <c r="C46" s="112" t="s">
        <v>296</v>
      </c>
      <c r="D46" s="113" t="s">
        <v>297</v>
      </c>
      <c r="E46" s="113" t="s">
        <v>298</v>
      </c>
      <c r="F46" s="109"/>
    </row>
    <row r="47" spans="1:6" ht="12.75">
      <c r="A47" s="109" t="s">
        <v>344</v>
      </c>
      <c r="B47" s="109" t="s">
        <v>308</v>
      </c>
      <c r="C47" s="110">
        <v>1</v>
      </c>
      <c r="D47" s="109">
        <v>8.55</v>
      </c>
      <c r="E47" s="141">
        <f>D47*C47</f>
        <v>8.55</v>
      </c>
      <c r="F47" s="109"/>
    </row>
    <row r="48" spans="1:6" ht="12.75">
      <c r="A48" s="109" t="s">
        <v>345</v>
      </c>
      <c r="B48" s="109" t="s">
        <v>308</v>
      </c>
      <c r="C48" s="110">
        <v>1</v>
      </c>
      <c r="D48" s="109">
        <v>65.19</v>
      </c>
      <c r="E48" s="141">
        <f aca="true" t="shared" si="4" ref="E48:E61">D48*C48</f>
        <v>65.19</v>
      </c>
      <c r="F48" s="109"/>
    </row>
    <row r="49" spans="1:6" ht="12.75">
      <c r="A49" s="138" t="s">
        <v>346</v>
      </c>
      <c r="B49" s="116" t="s">
        <v>347</v>
      </c>
      <c r="C49" s="142">
        <v>1</v>
      </c>
      <c r="D49" s="133">
        <v>43.71</v>
      </c>
      <c r="E49" s="141">
        <f t="shared" si="4"/>
        <v>43.71</v>
      </c>
      <c r="F49" s="109"/>
    </row>
    <row r="50" spans="1:6" ht="12.75">
      <c r="A50" s="138" t="s">
        <v>348</v>
      </c>
      <c r="B50" s="116" t="s">
        <v>349</v>
      </c>
      <c r="C50" s="142">
        <v>2</v>
      </c>
      <c r="D50" s="133">
        <v>38.58</v>
      </c>
      <c r="E50" s="141">
        <f t="shared" si="4"/>
        <v>77.16</v>
      </c>
      <c r="F50" s="109"/>
    </row>
    <row r="51" spans="1:6" ht="38.25">
      <c r="A51" s="206" t="s">
        <v>449</v>
      </c>
      <c r="B51" s="116" t="s">
        <v>347</v>
      </c>
      <c r="C51" s="142">
        <v>3</v>
      </c>
      <c r="D51" s="133">
        <v>51.51</v>
      </c>
      <c r="E51" s="141">
        <f t="shared" si="4"/>
        <v>154.53</v>
      </c>
      <c r="F51" s="109"/>
    </row>
    <row r="52" spans="1:6" ht="12.75">
      <c r="A52" s="138" t="s">
        <v>350</v>
      </c>
      <c r="B52" s="116" t="s">
        <v>349</v>
      </c>
      <c r="C52" s="142">
        <v>2</v>
      </c>
      <c r="D52" s="133">
        <v>24.13</v>
      </c>
      <c r="E52" s="141">
        <f t="shared" si="4"/>
        <v>48.26</v>
      </c>
      <c r="F52" s="109"/>
    </row>
    <row r="53" spans="1:6" ht="12.75">
      <c r="A53" s="121" t="s">
        <v>351</v>
      </c>
      <c r="B53" s="116" t="s">
        <v>308</v>
      </c>
      <c r="C53" s="142">
        <v>1</v>
      </c>
      <c r="D53" s="133">
        <v>16.2</v>
      </c>
      <c r="E53" s="141">
        <f t="shared" si="4"/>
        <v>16.2</v>
      </c>
      <c r="F53" s="109"/>
    </row>
    <row r="54" spans="1:6" ht="12.75">
      <c r="A54" s="121" t="s">
        <v>352</v>
      </c>
      <c r="B54" s="116" t="s">
        <v>349</v>
      </c>
      <c r="C54" s="142">
        <v>1</v>
      </c>
      <c r="D54" s="133">
        <v>136.27</v>
      </c>
      <c r="E54" s="141">
        <f t="shared" si="4"/>
        <v>136.27</v>
      </c>
      <c r="F54" s="109"/>
    </row>
    <row r="55" spans="1:6" ht="12.75">
      <c r="A55" s="131" t="s">
        <v>353</v>
      </c>
      <c r="B55" s="115" t="s">
        <v>347</v>
      </c>
      <c r="C55" s="143">
        <v>12</v>
      </c>
      <c r="D55" s="133">
        <v>39.53</v>
      </c>
      <c r="E55" s="141">
        <f t="shared" si="4"/>
        <v>474.36</v>
      </c>
      <c r="F55" s="109"/>
    </row>
    <row r="56" spans="1:6" ht="12.75">
      <c r="A56" s="121" t="s">
        <v>354</v>
      </c>
      <c r="B56" s="117" t="s">
        <v>347</v>
      </c>
      <c r="C56" s="144">
        <v>60</v>
      </c>
      <c r="D56" s="133">
        <v>6.97</v>
      </c>
      <c r="E56" s="141">
        <f t="shared" si="4"/>
        <v>418.2</v>
      </c>
      <c r="F56" s="109"/>
    </row>
    <row r="57" spans="1:6" ht="12.75">
      <c r="A57" s="121" t="s">
        <v>355</v>
      </c>
      <c r="B57" s="117" t="s">
        <v>347</v>
      </c>
      <c r="C57" s="144">
        <v>12</v>
      </c>
      <c r="D57" s="133">
        <v>11.11</v>
      </c>
      <c r="E57" s="141">
        <f t="shared" si="4"/>
        <v>133.32</v>
      </c>
      <c r="F57" s="109"/>
    </row>
    <row r="58" spans="1:6" ht="12.75">
      <c r="A58" s="121" t="s">
        <v>356</v>
      </c>
      <c r="B58" s="117" t="s">
        <v>325</v>
      </c>
      <c r="C58" s="144">
        <v>12</v>
      </c>
      <c r="D58" s="133">
        <v>19.35</v>
      </c>
      <c r="E58" s="141">
        <f t="shared" si="4"/>
        <v>232.20000000000002</v>
      </c>
      <c r="F58" s="109"/>
    </row>
    <row r="59" spans="1:6" ht="12.75">
      <c r="A59" s="121" t="s">
        <v>357</v>
      </c>
      <c r="B59" s="116" t="s">
        <v>320</v>
      </c>
      <c r="C59" s="142">
        <v>3</v>
      </c>
      <c r="D59" s="133">
        <v>30.18</v>
      </c>
      <c r="E59" s="141">
        <f t="shared" si="4"/>
        <v>90.53999999999999</v>
      </c>
      <c r="F59" s="109"/>
    </row>
    <row r="60" spans="1:6" ht="12.75">
      <c r="A60" s="121" t="s">
        <v>358</v>
      </c>
      <c r="B60" s="116" t="s">
        <v>308</v>
      </c>
      <c r="C60" s="142">
        <v>3</v>
      </c>
      <c r="D60" s="133">
        <v>22.88</v>
      </c>
      <c r="E60" s="141">
        <f t="shared" si="4"/>
        <v>68.64</v>
      </c>
      <c r="F60" s="109"/>
    </row>
    <row r="61" spans="1:6" ht="12.75">
      <c r="A61" s="121"/>
      <c r="B61" s="116"/>
      <c r="C61" s="142"/>
      <c r="D61" s="133"/>
      <c r="E61" s="141">
        <f t="shared" si="4"/>
        <v>0</v>
      </c>
      <c r="F61" s="109"/>
    </row>
    <row r="62" spans="1:6" ht="12.75" customHeight="1">
      <c r="A62" s="355" t="s">
        <v>359</v>
      </c>
      <c r="B62" s="355"/>
      <c r="C62" s="355"/>
      <c r="D62" s="355"/>
      <c r="E62" s="137">
        <f>SUM(E49:E61)</f>
        <v>1893.39</v>
      </c>
      <c r="F62" s="109"/>
    </row>
    <row r="63" spans="1:5" ht="12.75" customHeight="1">
      <c r="A63" s="355" t="s">
        <v>360</v>
      </c>
      <c r="B63" s="355"/>
      <c r="C63" s="355"/>
      <c r="D63" s="355"/>
      <c r="E63" s="137">
        <f>E62/12</f>
        <v>157.7825</v>
      </c>
    </row>
    <row r="65" spans="1:8" ht="38.25" customHeight="1">
      <c r="A65" s="145" t="s">
        <v>361</v>
      </c>
      <c r="B65" s="356" t="s">
        <v>362</v>
      </c>
      <c r="C65" s="356"/>
      <c r="D65" s="356" t="s">
        <v>363</v>
      </c>
      <c r="E65" s="356"/>
      <c r="F65" s="357" t="s">
        <v>364</v>
      </c>
      <c r="G65" s="357"/>
      <c r="H65" s="357"/>
    </row>
    <row r="66" spans="1:8" ht="14.25" customHeight="1">
      <c r="A66" s="146" t="s">
        <v>365</v>
      </c>
      <c r="B66" s="354">
        <f>F14</f>
        <v>28993.320000000003</v>
      </c>
      <c r="C66" s="354">
        <f>SUM(B66:B66)</f>
        <v>28993.320000000003</v>
      </c>
      <c r="D66" s="354">
        <f>B66/12</f>
        <v>2416.11</v>
      </c>
      <c r="E66" s="354"/>
      <c r="F66" s="350">
        <f>D66/H76</f>
        <v>185.7117601844735</v>
      </c>
      <c r="G66" s="350"/>
      <c r="H66" s="350"/>
    </row>
    <row r="67" spans="1:8" ht="14.25" customHeight="1">
      <c r="A67" s="146" t="s">
        <v>366</v>
      </c>
      <c r="B67" s="354">
        <f>G34</f>
        <v>27786.519999999997</v>
      </c>
      <c r="C67" s="354">
        <f>SUM(B67:B67)</f>
        <v>27786.519999999997</v>
      </c>
      <c r="D67" s="354">
        <f>B67/12</f>
        <v>2315.543333333333</v>
      </c>
      <c r="E67" s="354"/>
      <c r="F67" s="350">
        <f>D67/H76</f>
        <v>177.98180886497565</v>
      </c>
      <c r="G67" s="350"/>
      <c r="H67" s="350"/>
    </row>
    <row r="68" spans="1:9" ht="12.75">
      <c r="A68" s="139" t="s">
        <v>367</v>
      </c>
      <c r="B68" s="351">
        <f>SUM(B66:B67)</f>
        <v>56779.84</v>
      </c>
      <c r="C68" s="351">
        <f>SUM(B68:B68)</f>
        <v>56779.84</v>
      </c>
      <c r="D68" s="351">
        <f>B68/12</f>
        <v>4731.653333333333</v>
      </c>
      <c r="E68" s="351"/>
      <c r="F68" s="352">
        <f>D68/H76</f>
        <v>363.6935690494491</v>
      </c>
      <c r="G68" s="352"/>
      <c r="H68" s="352"/>
      <c r="I68" s="147"/>
    </row>
    <row r="69" spans="1:9" ht="12.75" customHeight="1">
      <c r="A69" s="353"/>
      <c r="B69" s="353"/>
      <c r="C69" s="353"/>
      <c r="D69" s="353"/>
      <c r="E69" s="353"/>
      <c r="F69" s="350"/>
      <c r="G69" s="350"/>
      <c r="H69" s="350"/>
      <c r="I69" s="147"/>
    </row>
    <row r="70" spans="1:9" ht="12.75" customHeight="1">
      <c r="A70" s="139" t="s">
        <v>334</v>
      </c>
      <c r="B70" s="351">
        <f>G43</f>
        <v>2131.808</v>
      </c>
      <c r="C70" s="351"/>
      <c r="D70" s="351">
        <f>ROUND(B70/12,2)</f>
        <v>177.65</v>
      </c>
      <c r="E70" s="351"/>
      <c r="F70" s="352">
        <f>ROUND(D70/H76,2)</f>
        <v>13.65</v>
      </c>
      <c r="G70" s="352"/>
      <c r="H70" s="352"/>
      <c r="I70" s="147"/>
    </row>
    <row r="71" spans="1:9" ht="12.75">
      <c r="A71" s="349"/>
      <c r="B71" s="349"/>
      <c r="C71" s="349"/>
      <c r="D71" s="349"/>
      <c r="E71" s="349"/>
      <c r="F71" s="350"/>
      <c r="G71" s="350"/>
      <c r="H71" s="350"/>
      <c r="I71" s="147"/>
    </row>
    <row r="72" spans="1:9" ht="12.75">
      <c r="A72" s="139" t="s">
        <v>368</v>
      </c>
      <c r="B72" s="351">
        <f>E62</f>
        <v>1893.39</v>
      </c>
      <c r="C72" s="351"/>
      <c r="D72" s="351">
        <f>B72/12</f>
        <v>157.7825</v>
      </c>
      <c r="E72" s="351"/>
      <c r="F72" s="352">
        <f>D72</f>
        <v>157.7825</v>
      </c>
      <c r="G72" s="352"/>
      <c r="H72" s="352"/>
      <c r="I72" s="147"/>
    </row>
    <row r="73" spans="1:9" ht="12.75" customHeight="1">
      <c r="A73" s="349"/>
      <c r="B73" s="349"/>
      <c r="C73" s="349"/>
      <c r="D73" s="349"/>
      <c r="E73" s="349"/>
      <c r="F73" s="350"/>
      <c r="G73" s="350"/>
      <c r="H73" s="350"/>
      <c r="I73" s="147"/>
    </row>
    <row r="74" spans="1:9" ht="12.75">
      <c r="A74" s="139" t="s">
        <v>369</v>
      </c>
      <c r="B74" s="346">
        <f>B68+B70+B72</f>
        <v>60805.03799999999</v>
      </c>
      <c r="C74" s="346"/>
      <c r="D74" s="346">
        <f>B74/12</f>
        <v>5067.086499999999</v>
      </c>
      <c r="E74" s="346"/>
      <c r="F74" s="347">
        <f>F68+F70+F72</f>
        <v>535.126069049449</v>
      </c>
      <c r="G74" s="347"/>
      <c r="H74" s="347"/>
      <c r="I74" s="147"/>
    </row>
    <row r="75" spans="1:5" ht="12.75">
      <c r="A75" s="148"/>
      <c r="B75" s="149"/>
      <c r="C75" s="149"/>
      <c r="D75" s="149"/>
      <c r="E75" s="149"/>
    </row>
    <row r="76" spans="1:8" ht="30.75" customHeight="1">
      <c r="A76" s="348" t="s">
        <v>370</v>
      </c>
      <c r="B76" s="348"/>
      <c r="C76" s="348"/>
      <c r="D76" s="348"/>
      <c r="E76" s="348"/>
      <c r="F76" s="348"/>
      <c r="G76" s="348"/>
      <c r="H76" s="150">
        <f>ROUND('CÁLCULO N. SERVENTES NOVA FREQ'!L23,2)</f>
        <v>13.01</v>
      </c>
    </row>
    <row r="78" spans="1:8" ht="29.25" customHeight="1">
      <c r="A78" s="345" t="s">
        <v>371</v>
      </c>
      <c r="B78" s="345"/>
      <c r="C78" s="345"/>
      <c r="D78" s="345"/>
      <c r="E78" s="345"/>
      <c r="F78" s="345"/>
      <c r="G78" s="345"/>
      <c r="H78" s="345"/>
    </row>
    <row r="79" spans="1:8" ht="29.25" customHeight="1">
      <c r="A79" s="345" t="s">
        <v>372</v>
      </c>
      <c r="B79" s="345"/>
      <c r="C79" s="345"/>
      <c r="D79" s="345"/>
      <c r="E79" s="345"/>
      <c r="F79" s="345"/>
      <c r="G79" s="345"/>
      <c r="H79" s="345"/>
    </row>
    <row r="80" spans="1:8" ht="29.25" customHeight="1">
      <c r="A80" s="345" t="s">
        <v>373</v>
      </c>
      <c r="B80" s="345"/>
      <c r="C80" s="345"/>
      <c r="D80" s="345"/>
      <c r="E80" s="345"/>
      <c r="F80" s="345"/>
      <c r="G80" s="345"/>
      <c r="H80" s="345"/>
    </row>
  </sheetData>
  <sheetProtection selectLockedCells="1" selectUnlockedCells="1"/>
  <mergeCells count="42">
    <mergeCell ref="A1:F1"/>
    <mergeCell ref="A2:F2"/>
    <mergeCell ref="A4:F4"/>
    <mergeCell ref="A14:E14"/>
    <mergeCell ref="A15:E15"/>
    <mergeCell ref="A34:F34"/>
    <mergeCell ref="A35:F35"/>
    <mergeCell ref="A43:F43"/>
    <mergeCell ref="A44:F44"/>
    <mergeCell ref="A62:D62"/>
    <mergeCell ref="A63:D63"/>
    <mergeCell ref="B65:C65"/>
    <mergeCell ref="D65:E65"/>
    <mergeCell ref="F65:H65"/>
    <mergeCell ref="B66:C66"/>
    <mergeCell ref="D66:E66"/>
    <mergeCell ref="F66:H66"/>
    <mergeCell ref="B67:C67"/>
    <mergeCell ref="D67:E67"/>
    <mergeCell ref="F67:H67"/>
    <mergeCell ref="B68:C68"/>
    <mergeCell ref="D68:E68"/>
    <mergeCell ref="F68:H68"/>
    <mergeCell ref="A69:E69"/>
    <mergeCell ref="F69:H69"/>
    <mergeCell ref="B70:C70"/>
    <mergeCell ref="D70:E70"/>
    <mergeCell ref="F70:H70"/>
    <mergeCell ref="A71:E71"/>
    <mergeCell ref="F71:H71"/>
    <mergeCell ref="B72:C72"/>
    <mergeCell ref="D72:E72"/>
    <mergeCell ref="F72:H72"/>
    <mergeCell ref="A73:E73"/>
    <mergeCell ref="F73:H73"/>
    <mergeCell ref="A80:H80"/>
    <mergeCell ref="B74:C74"/>
    <mergeCell ref="D74:E74"/>
    <mergeCell ref="F74:H74"/>
    <mergeCell ref="A76:G76"/>
    <mergeCell ref="A78:H78"/>
    <mergeCell ref="A79:H79"/>
  </mergeCells>
  <printOptions/>
  <pageMargins left="0.7875" right="0.7875" top="1.0527777777777778" bottom="1.0527777777777778" header="0.7875" footer="0.7875"/>
  <pageSetup fitToHeight="1" fitToWidth="1" horizontalDpi="600" verticalDpi="600" orientation="portrait" paperSize="9" scale="53" r:id="rId1"/>
  <headerFooter alignWithMargins="0">
    <oddHeader>&amp;C&amp;"Times New Roman,Normal"&amp;12&amp;A</oddHeader>
    <oddFooter>&amp;C&amp;"Times New Roman,Normal"&amp;12Página &amp;P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15.140625" style="151" customWidth="1"/>
    <col min="2" max="2" width="24.421875" style="151" customWidth="1"/>
    <col min="3" max="3" width="22.28125" style="151" customWidth="1"/>
    <col min="4" max="4" width="18.421875" style="151" customWidth="1"/>
    <col min="5" max="6" width="9.140625" style="151" customWidth="1"/>
    <col min="7" max="7" width="17.28125" style="151" customWidth="1"/>
    <col min="8" max="16384" width="9.140625" style="151" customWidth="1"/>
  </cols>
  <sheetData>
    <row r="1" spans="1:7" ht="144.75" customHeight="1">
      <c r="A1" s="361" t="s">
        <v>374</v>
      </c>
      <c r="B1" s="361"/>
      <c r="C1" s="361"/>
      <c r="D1" s="361"/>
      <c r="E1" s="361"/>
      <c r="F1" s="361"/>
      <c r="G1" s="361"/>
    </row>
    <row r="2" spans="1:7" ht="47.25" customHeight="1">
      <c r="A2" s="391" t="s">
        <v>375</v>
      </c>
      <c r="B2" s="392" t="s">
        <v>376</v>
      </c>
      <c r="C2" s="392" t="s">
        <v>377</v>
      </c>
      <c r="D2" s="392" t="s">
        <v>378</v>
      </c>
      <c r="E2" s="393" t="s">
        <v>379</v>
      </c>
      <c r="F2" s="393"/>
      <c r="G2" s="392" t="s">
        <v>380</v>
      </c>
    </row>
    <row r="3" spans="1:8" ht="47.25" customHeight="1">
      <c r="A3" s="394">
        <v>1</v>
      </c>
      <c r="B3" s="395" t="s">
        <v>381</v>
      </c>
      <c r="C3" s="396">
        <v>219</v>
      </c>
      <c r="D3" s="396">
        <v>210</v>
      </c>
      <c r="E3" s="397">
        <v>199</v>
      </c>
      <c r="F3" s="397"/>
      <c r="G3" s="398">
        <f>AVERAGE(C3:F3)</f>
        <v>209.33333333333334</v>
      </c>
      <c r="H3" s="152"/>
    </row>
    <row r="4" spans="1:7" ht="24" customHeight="1">
      <c r="A4" s="399" t="s">
        <v>460</v>
      </c>
      <c r="B4" s="399"/>
      <c r="C4" s="399"/>
      <c r="D4" s="399"/>
      <c r="E4" s="399"/>
      <c r="F4" s="400">
        <v>5</v>
      </c>
      <c r="G4" s="400"/>
    </row>
    <row r="5" spans="1:7" ht="24" customHeight="1">
      <c r="A5" s="399" t="s">
        <v>461</v>
      </c>
      <c r="B5" s="399"/>
      <c r="C5" s="399"/>
      <c r="D5" s="399"/>
      <c r="E5" s="399"/>
      <c r="F5" s="397">
        <f>G3*90%</f>
        <v>188.4</v>
      </c>
      <c r="G5" s="397"/>
    </row>
    <row r="6" spans="1:7" ht="24" customHeight="1">
      <c r="A6" s="401" t="s">
        <v>462</v>
      </c>
      <c r="B6" s="401"/>
      <c r="C6" s="401"/>
      <c r="D6" s="401"/>
      <c r="E6" s="401"/>
      <c r="F6" s="397">
        <f>F5/F4</f>
        <v>37.68</v>
      </c>
      <c r="G6" s="397"/>
    </row>
    <row r="7" spans="1:7" ht="24" customHeight="1">
      <c r="A7" s="401" t="s">
        <v>463</v>
      </c>
      <c r="B7" s="401"/>
      <c r="C7" s="401"/>
      <c r="D7" s="401"/>
      <c r="E7" s="401"/>
      <c r="F7" s="402">
        <f>F6/12</f>
        <v>3.14</v>
      </c>
      <c r="G7" s="402"/>
    </row>
    <row r="8" spans="1:7" ht="69" customHeight="1">
      <c r="A8" s="403" t="s">
        <v>458</v>
      </c>
      <c r="B8" s="403"/>
      <c r="C8" s="403"/>
      <c r="D8" s="403"/>
      <c r="E8" s="403"/>
      <c r="F8" s="404" t="s">
        <v>459</v>
      </c>
      <c r="G8" s="404"/>
    </row>
    <row r="9" spans="1:7" ht="23.25">
      <c r="A9" s="405"/>
      <c r="B9" s="405"/>
      <c r="C9" s="405"/>
      <c r="D9" s="405"/>
      <c r="E9" s="405"/>
      <c r="F9" s="405"/>
      <c r="G9" s="405"/>
    </row>
    <row r="10" spans="1:11" ht="23.25" customHeight="1">
      <c r="A10" s="406" t="s">
        <v>382</v>
      </c>
      <c r="B10" s="406"/>
      <c r="C10" s="406"/>
      <c r="D10" s="406"/>
      <c r="E10" s="406"/>
      <c r="F10" s="406"/>
      <c r="G10" s="406"/>
      <c r="H10" s="153"/>
      <c r="I10" s="153"/>
      <c r="J10" s="153"/>
      <c r="K10" s="153"/>
    </row>
    <row r="11" spans="1:7" ht="23.25" customHeight="1">
      <c r="A11" s="406" t="s">
        <v>383</v>
      </c>
      <c r="B11" s="406"/>
      <c r="C11" s="406"/>
      <c r="D11" s="406"/>
      <c r="E11" s="406"/>
      <c r="F11" s="406"/>
      <c r="G11" s="406"/>
    </row>
  </sheetData>
  <sheetProtection selectLockedCells="1" selectUnlockedCells="1"/>
  <mergeCells count="15">
    <mergeCell ref="A1:G1"/>
    <mergeCell ref="E2:F2"/>
    <mergeCell ref="E3:F3"/>
    <mergeCell ref="A4:E4"/>
    <mergeCell ref="F4:G4"/>
    <mergeCell ref="A5:E5"/>
    <mergeCell ref="F5:G5"/>
    <mergeCell ref="A10:G10"/>
    <mergeCell ref="A11:G11"/>
    <mergeCell ref="A6:E6"/>
    <mergeCell ref="F6:G6"/>
    <mergeCell ref="A7:E7"/>
    <mergeCell ref="F7:G7"/>
    <mergeCell ref="A8:E8"/>
    <mergeCell ref="F8:G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7">
      <selection activeCell="F60" sqref="F60"/>
    </sheetView>
  </sheetViews>
  <sheetFormatPr defaultColWidth="9.00390625" defaultRowHeight="12.75"/>
  <cols>
    <col min="1" max="1" width="53.140625" style="0" customWidth="1"/>
    <col min="2" max="2" width="11.57421875" style="154" customWidth="1"/>
    <col min="3" max="3" width="17.8515625" style="155" customWidth="1"/>
    <col min="4" max="4" width="22.00390625" style="155" customWidth="1"/>
    <col min="5" max="5" width="26.28125" style="156" customWidth="1"/>
    <col min="6" max="6" width="17.28125" style="154" customWidth="1"/>
  </cols>
  <sheetData>
    <row r="1" spans="1:5" ht="12.75" customHeight="1">
      <c r="A1" s="362" t="s">
        <v>292</v>
      </c>
      <c r="B1" s="362"/>
      <c r="C1" s="362"/>
      <c r="D1" s="362"/>
      <c r="E1" s="362"/>
    </row>
    <row r="2" spans="1:5" ht="12.75" customHeight="1">
      <c r="A2" s="362" t="s">
        <v>384</v>
      </c>
      <c r="B2" s="362"/>
      <c r="C2" s="362"/>
      <c r="D2" s="362"/>
      <c r="E2" s="362"/>
    </row>
    <row r="3" spans="1:5" ht="12.75">
      <c r="A3" s="158"/>
      <c r="B3" s="159"/>
      <c r="C3" s="160"/>
      <c r="D3" s="160"/>
      <c r="E3" s="161"/>
    </row>
    <row r="4" spans="1:5" ht="12.75">
      <c r="A4" s="158"/>
      <c r="B4" s="159"/>
      <c r="C4" s="160"/>
      <c r="D4" s="160"/>
      <c r="E4" s="161"/>
    </row>
    <row r="5" spans="1:6" ht="25.5">
      <c r="A5" s="162" t="s">
        <v>293</v>
      </c>
      <c r="B5" s="157" t="s">
        <v>294</v>
      </c>
      <c r="C5" s="163" t="s">
        <v>385</v>
      </c>
      <c r="D5" s="163" t="s">
        <v>386</v>
      </c>
      <c r="E5" s="164" t="s">
        <v>387</v>
      </c>
      <c r="F5" s="166" t="s">
        <v>388</v>
      </c>
    </row>
    <row r="6" spans="1:6" ht="12.75">
      <c r="A6" s="158" t="s">
        <v>299</v>
      </c>
      <c r="B6" s="159" t="s">
        <v>300</v>
      </c>
      <c r="C6" s="160"/>
      <c r="D6" s="160"/>
      <c r="E6" s="161">
        <v>6.68</v>
      </c>
      <c r="F6" s="155">
        <f>AVERAGE(C6:E6)</f>
        <v>6.68</v>
      </c>
    </row>
    <row r="7" spans="1:6" ht="12.75">
      <c r="A7" s="158" t="s">
        <v>301</v>
      </c>
      <c r="B7" s="159" t="s">
        <v>302</v>
      </c>
      <c r="C7" s="160"/>
      <c r="D7" s="160"/>
      <c r="E7" s="161">
        <v>7.34</v>
      </c>
      <c r="F7" s="155">
        <f aca="true" t="shared" si="0" ref="F7:F33">AVERAGE(C7:E7)</f>
        <v>7.34</v>
      </c>
    </row>
    <row r="8" spans="1:6" ht="38.25">
      <c r="A8" s="165" t="s">
        <v>303</v>
      </c>
      <c r="B8" s="159" t="s">
        <v>302</v>
      </c>
      <c r="C8" s="160"/>
      <c r="D8" s="160"/>
      <c r="E8" s="161">
        <v>60.93</v>
      </c>
      <c r="F8" s="155">
        <f t="shared" si="0"/>
        <v>60.93</v>
      </c>
    </row>
    <row r="9" spans="1:6" ht="12.75">
      <c r="A9" s="158" t="s">
        <v>304</v>
      </c>
      <c r="B9" s="159" t="s">
        <v>302</v>
      </c>
      <c r="C9" s="160">
        <v>16.59</v>
      </c>
      <c r="D9" s="160">
        <v>16.99</v>
      </c>
      <c r="E9" s="161">
        <v>11.99</v>
      </c>
      <c r="F9" s="155">
        <f t="shared" si="0"/>
        <v>15.19</v>
      </c>
    </row>
    <row r="10" spans="1:6" ht="12.75">
      <c r="A10" s="158" t="s">
        <v>305</v>
      </c>
      <c r="B10" s="159" t="s">
        <v>302</v>
      </c>
      <c r="C10" s="160"/>
      <c r="D10" s="160"/>
      <c r="E10" s="161">
        <v>15.67</v>
      </c>
      <c r="F10" s="155">
        <f t="shared" si="0"/>
        <v>15.67</v>
      </c>
    </row>
    <row r="11" spans="1:6" ht="12.75">
      <c r="A11" s="158" t="s">
        <v>306</v>
      </c>
      <c r="B11" s="159" t="s">
        <v>302</v>
      </c>
      <c r="C11" s="160"/>
      <c r="D11" s="160"/>
      <c r="E11" s="161">
        <v>36.74</v>
      </c>
      <c r="F11" s="155">
        <f t="shared" si="0"/>
        <v>36.74</v>
      </c>
    </row>
    <row r="12" spans="1:6" ht="12.75">
      <c r="A12" s="158" t="s">
        <v>307</v>
      </c>
      <c r="B12" s="159" t="s">
        <v>308</v>
      </c>
      <c r="C12" s="160"/>
      <c r="D12" s="160"/>
      <c r="E12" s="161">
        <v>1.5</v>
      </c>
      <c r="F12" s="155">
        <f t="shared" si="0"/>
        <v>1.5</v>
      </c>
    </row>
    <row r="13" spans="1:6" ht="12.75">
      <c r="A13" s="158" t="s">
        <v>309</v>
      </c>
      <c r="B13" s="159" t="s">
        <v>308</v>
      </c>
      <c r="C13" s="160"/>
      <c r="D13" s="160"/>
      <c r="E13" s="161">
        <v>2.04</v>
      </c>
      <c r="F13" s="155">
        <f t="shared" si="0"/>
        <v>2.04</v>
      </c>
    </row>
    <row r="14" spans="1:6" ht="12.75">
      <c r="A14" s="162" t="s">
        <v>310</v>
      </c>
      <c r="B14" s="157"/>
      <c r="C14" s="163"/>
      <c r="D14" s="163"/>
      <c r="E14" s="164"/>
      <c r="F14" s="155" t="e">
        <f t="shared" si="0"/>
        <v>#DIV/0!</v>
      </c>
    </row>
    <row r="15" spans="1:6" ht="12.75">
      <c r="A15" s="162" t="s">
        <v>311</v>
      </c>
      <c r="B15" s="157"/>
      <c r="C15" s="163"/>
      <c r="D15" s="163"/>
      <c r="E15" s="164"/>
      <c r="F15" s="155" t="e">
        <f t="shared" si="0"/>
        <v>#DIV/0!</v>
      </c>
    </row>
    <row r="16" spans="1:6" ht="12.75">
      <c r="A16" s="158"/>
      <c r="B16" s="159"/>
      <c r="C16" s="160"/>
      <c r="D16" s="160"/>
      <c r="E16" s="161"/>
      <c r="F16" s="155" t="e">
        <f t="shared" si="0"/>
        <v>#DIV/0!</v>
      </c>
    </row>
    <row r="17" spans="1:6" ht="12.75">
      <c r="A17" s="158"/>
      <c r="B17" s="159"/>
      <c r="C17" s="160"/>
      <c r="D17" s="160"/>
      <c r="E17" s="161"/>
      <c r="F17" s="155" t="e">
        <f t="shared" si="0"/>
        <v>#DIV/0!</v>
      </c>
    </row>
    <row r="18" spans="1:6" ht="25.5">
      <c r="A18" s="162" t="s">
        <v>312</v>
      </c>
      <c r="B18" s="157" t="s">
        <v>294</v>
      </c>
      <c r="C18" s="163" t="s">
        <v>385</v>
      </c>
      <c r="D18" s="163" t="s">
        <v>386</v>
      </c>
      <c r="E18" s="164" t="s">
        <v>387</v>
      </c>
      <c r="F18" s="155"/>
    </row>
    <row r="19" spans="1:6" ht="12.75">
      <c r="A19" s="158" t="s">
        <v>315</v>
      </c>
      <c r="B19" s="159" t="s">
        <v>308</v>
      </c>
      <c r="C19" s="160"/>
      <c r="D19" s="160"/>
      <c r="E19" s="161">
        <v>9</v>
      </c>
      <c r="F19" s="155">
        <f t="shared" si="0"/>
        <v>9</v>
      </c>
    </row>
    <row r="20" spans="1:6" ht="12.75">
      <c r="A20" s="158" t="s">
        <v>316</v>
      </c>
      <c r="B20" s="159" t="s">
        <v>308</v>
      </c>
      <c r="C20" s="160">
        <v>1.8</v>
      </c>
      <c r="D20" s="160"/>
      <c r="E20" s="161">
        <v>2.49</v>
      </c>
      <c r="F20" s="155">
        <f t="shared" si="0"/>
        <v>2.145</v>
      </c>
    </row>
    <row r="21" spans="1:6" ht="12.75">
      <c r="A21" s="158" t="s">
        <v>317</v>
      </c>
      <c r="B21" s="159" t="s">
        <v>308</v>
      </c>
      <c r="C21" s="160"/>
      <c r="D21" s="160"/>
      <c r="E21" s="161">
        <v>4.98</v>
      </c>
      <c r="F21" s="155">
        <f t="shared" si="0"/>
        <v>4.98</v>
      </c>
    </row>
    <row r="22" spans="1:6" ht="12.75">
      <c r="A22" s="158" t="s">
        <v>318</v>
      </c>
      <c r="B22" s="159" t="s">
        <v>308</v>
      </c>
      <c r="C22" s="160"/>
      <c r="D22" s="160"/>
      <c r="E22" s="161">
        <v>11.73</v>
      </c>
      <c r="F22" s="155">
        <f t="shared" si="0"/>
        <v>11.73</v>
      </c>
    </row>
    <row r="23" spans="1:6" ht="12.75">
      <c r="A23" s="158" t="s">
        <v>319</v>
      </c>
      <c r="B23" s="159" t="s">
        <v>320</v>
      </c>
      <c r="C23" s="160">
        <v>11.31</v>
      </c>
      <c r="D23" s="160"/>
      <c r="E23" s="161">
        <v>5.73</v>
      </c>
      <c r="F23" s="155">
        <f t="shared" si="0"/>
        <v>8.52</v>
      </c>
    </row>
    <row r="24" spans="1:6" ht="12.75">
      <c r="A24" s="158" t="s">
        <v>321</v>
      </c>
      <c r="B24" s="159" t="s">
        <v>320</v>
      </c>
      <c r="C24" s="160">
        <v>7.59</v>
      </c>
      <c r="D24" s="160"/>
      <c r="E24" s="161">
        <v>5.77</v>
      </c>
      <c r="F24" s="155">
        <f t="shared" si="0"/>
        <v>6.68</v>
      </c>
    </row>
    <row r="25" spans="1:6" ht="12.75">
      <c r="A25" s="158" t="s">
        <v>322</v>
      </c>
      <c r="B25" s="159" t="s">
        <v>308</v>
      </c>
      <c r="C25" s="160"/>
      <c r="D25" s="160"/>
      <c r="E25" s="161">
        <v>63.61</v>
      </c>
      <c r="F25" s="155">
        <f t="shared" si="0"/>
        <v>63.61</v>
      </c>
    </row>
    <row r="26" spans="1:6" ht="12.75">
      <c r="A26" s="158" t="s">
        <v>323</v>
      </c>
      <c r="B26" s="159" t="s">
        <v>308</v>
      </c>
      <c r="C26" s="160"/>
      <c r="D26" s="160"/>
      <c r="E26" s="161">
        <v>3.21</v>
      </c>
      <c r="F26" s="155">
        <f t="shared" si="0"/>
        <v>3.21</v>
      </c>
    </row>
    <row r="27" spans="1:6" ht="12.75">
      <c r="A27" s="158" t="s">
        <v>324</v>
      </c>
      <c r="B27" s="159" t="s">
        <v>325</v>
      </c>
      <c r="C27" s="160"/>
      <c r="D27" s="160"/>
      <c r="E27" s="161">
        <v>24.66</v>
      </c>
      <c r="F27" s="155">
        <f t="shared" si="0"/>
        <v>24.66</v>
      </c>
    </row>
    <row r="28" spans="1:6" ht="12.75">
      <c r="A28" s="158" t="s">
        <v>326</v>
      </c>
      <c r="B28" s="159" t="s">
        <v>308</v>
      </c>
      <c r="C28" s="160">
        <v>5</v>
      </c>
      <c r="D28" s="160"/>
      <c r="E28" s="161">
        <v>5.4</v>
      </c>
      <c r="F28" s="155">
        <f t="shared" si="0"/>
        <v>5.2</v>
      </c>
    </row>
    <row r="29" spans="1:6" ht="12.75">
      <c r="A29" s="158" t="s">
        <v>327</v>
      </c>
      <c r="B29" s="159" t="s">
        <v>308</v>
      </c>
      <c r="C29" s="160">
        <v>15.88</v>
      </c>
      <c r="D29" s="160"/>
      <c r="E29" s="161">
        <v>22.76</v>
      </c>
      <c r="F29" s="155">
        <f t="shared" si="0"/>
        <v>19.32</v>
      </c>
    </row>
    <row r="30" spans="1:6" ht="12.75">
      <c r="A30" s="158" t="s">
        <v>328</v>
      </c>
      <c r="B30" s="159" t="s">
        <v>308</v>
      </c>
      <c r="C30" s="160">
        <v>10</v>
      </c>
      <c r="D30" s="160"/>
      <c r="E30" s="161">
        <v>15.13</v>
      </c>
      <c r="F30" s="155">
        <f t="shared" si="0"/>
        <v>12.565000000000001</v>
      </c>
    </row>
    <row r="31" spans="1:6" ht="12.75">
      <c r="A31" s="158" t="s">
        <v>329</v>
      </c>
      <c r="B31" s="159" t="s">
        <v>320</v>
      </c>
      <c r="C31" s="160"/>
      <c r="D31" s="160"/>
      <c r="E31" s="161">
        <v>2.9</v>
      </c>
      <c r="F31" s="155">
        <f t="shared" si="0"/>
        <v>2.9</v>
      </c>
    </row>
    <row r="32" spans="1:6" ht="12.75">
      <c r="A32" s="158" t="s">
        <v>330</v>
      </c>
      <c r="B32" s="159" t="s">
        <v>320</v>
      </c>
      <c r="C32" s="160"/>
      <c r="D32" s="160"/>
      <c r="E32" s="161">
        <v>2.34</v>
      </c>
      <c r="F32" s="155">
        <f t="shared" si="0"/>
        <v>2.34</v>
      </c>
    </row>
    <row r="33" spans="1:6" ht="12.75">
      <c r="A33" s="158" t="s">
        <v>331</v>
      </c>
      <c r="B33" s="159" t="s">
        <v>308</v>
      </c>
      <c r="C33" s="160"/>
      <c r="D33" s="160"/>
      <c r="E33" s="161">
        <v>6.15</v>
      </c>
      <c r="F33" s="155">
        <f t="shared" si="0"/>
        <v>6.15</v>
      </c>
    </row>
    <row r="34" spans="1:5" ht="12.75">
      <c r="A34" s="162" t="s">
        <v>332</v>
      </c>
      <c r="B34" s="157"/>
      <c r="C34" s="163"/>
      <c r="D34" s="163"/>
      <c r="E34" s="164"/>
    </row>
    <row r="35" spans="1:5" ht="12.75">
      <c r="A35" s="162" t="s">
        <v>333</v>
      </c>
      <c r="B35" s="157"/>
      <c r="C35" s="163"/>
      <c r="D35" s="163"/>
      <c r="E35" s="164"/>
    </row>
    <row r="36" spans="1:5" ht="12.75">
      <c r="A36" s="158"/>
      <c r="B36" s="159"/>
      <c r="C36" s="160"/>
      <c r="D36" s="160"/>
      <c r="E36" s="161"/>
    </row>
    <row r="37" spans="1:6" ht="25.5">
      <c r="A37" s="162" t="s">
        <v>334</v>
      </c>
      <c r="B37" s="157" t="s">
        <v>294</v>
      </c>
      <c r="C37" s="163" t="s">
        <v>385</v>
      </c>
      <c r="D37" s="163" t="s">
        <v>386</v>
      </c>
      <c r="E37" s="164" t="s">
        <v>387</v>
      </c>
      <c r="F37" s="166" t="s">
        <v>388</v>
      </c>
    </row>
    <row r="38" spans="1:6" ht="12.75">
      <c r="A38" s="158" t="s">
        <v>336</v>
      </c>
      <c r="B38" s="159" t="s">
        <v>308</v>
      </c>
      <c r="C38" s="160">
        <v>69.9</v>
      </c>
      <c r="D38" s="160"/>
      <c r="E38" s="161">
        <v>37.85</v>
      </c>
      <c r="F38" s="155">
        <f>AVERAGE(C38:E38)</f>
        <v>53.875</v>
      </c>
    </row>
    <row r="39" spans="1:6" ht="12.75">
      <c r="A39" s="158" t="s">
        <v>337</v>
      </c>
      <c r="B39" s="159" t="s">
        <v>308</v>
      </c>
      <c r="C39" s="160">
        <v>12.9</v>
      </c>
      <c r="D39" s="160"/>
      <c r="E39" s="161">
        <v>25.69</v>
      </c>
      <c r="F39" s="155">
        <f>AVERAGE(C39:E39)</f>
        <v>19.295</v>
      </c>
    </row>
    <row r="40" spans="1:6" ht="12.75">
      <c r="A40" s="158" t="s">
        <v>338</v>
      </c>
      <c r="B40" s="159" t="s">
        <v>308</v>
      </c>
      <c r="C40" s="160">
        <v>98.91</v>
      </c>
      <c r="D40" s="160"/>
      <c r="E40" s="161">
        <v>40.63</v>
      </c>
      <c r="F40" s="155">
        <f>AVERAGE(C40:E40)</f>
        <v>69.77</v>
      </c>
    </row>
    <row r="41" spans="1:6" ht="12.75">
      <c r="A41" s="158" t="s">
        <v>339</v>
      </c>
      <c r="B41" s="159" t="s">
        <v>308</v>
      </c>
      <c r="C41" s="160">
        <v>106.8</v>
      </c>
      <c r="D41" s="160"/>
      <c r="E41" s="161">
        <v>90</v>
      </c>
      <c r="F41" s="155">
        <f>AVERAGE(C41:E41)</f>
        <v>98.4</v>
      </c>
    </row>
    <row r="42" spans="1:6" ht="12.75">
      <c r="A42" s="158" t="s">
        <v>340</v>
      </c>
      <c r="B42" s="159" t="s">
        <v>308</v>
      </c>
      <c r="C42" s="160">
        <v>619</v>
      </c>
      <c r="D42" s="160"/>
      <c r="E42" s="161">
        <v>649.24</v>
      </c>
      <c r="F42" s="155">
        <f>AVERAGE(C42:E42)</f>
        <v>634.12</v>
      </c>
    </row>
    <row r="43" spans="1:6" ht="12.75">
      <c r="A43" s="162" t="s">
        <v>341</v>
      </c>
      <c r="B43" s="157"/>
      <c r="C43" s="163"/>
      <c r="D43" s="163"/>
      <c r="E43" s="164"/>
      <c r="F43" s="155"/>
    </row>
    <row r="44" spans="1:6" ht="12.75">
      <c r="A44" s="162" t="s">
        <v>342</v>
      </c>
      <c r="B44" s="157"/>
      <c r="C44" s="163"/>
      <c r="D44" s="163"/>
      <c r="E44" s="164"/>
      <c r="F44" s="155"/>
    </row>
    <row r="45" spans="1:6" ht="12.75">
      <c r="A45" s="158"/>
      <c r="B45" s="159"/>
      <c r="C45" s="160"/>
      <c r="D45" s="160"/>
      <c r="E45" s="161"/>
      <c r="F45" s="155"/>
    </row>
    <row r="46" spans="1:6" ht="25.5">
      <c r="A46" s="162" t="s">
        <v>343</v>
      </c>
      <c r="B46" s="157" t="s">
        <v>294</v>
      </c>
      <c r="C46" s="163" t="s">
        <v>385</v>
      </c>
      <c r="D46" s="163" t="s">
        <v>386</v>
      </c>
      <c r="E46" s="164" t="s">
        <v>389</v>
      </c>
      <c r="F46" s="166" t="s">
        <v>388</v>
      </c>
    </row>
    <row r="47" spans="1:6" ht="12.75">
      <c r="A47" s="158" t="s">
        <v>344</v>
      </c>
      <c r="B47" s="159" t="s">
        <v>308</v>
      </c>
      <c r="C47" s="160">
        <v>10.9</v>
      </c>
      <c r="D47" s="160"/>
      <c r="E47" s="161">
        <v>6.2</v>
      </c>
      <c r="F47" s="155">
        <f aca="true" t="shared" si="1" ref="F47:F60">AVERAGE(C47:E47)</f>
        <v>8.55</v>
      </c>
    </row>
    <row r="48" spans="1:6" ht="12.75">
      <c r="A48" s="158" t="s">
        <v>345</v>
      </c>
      <c r="B48" s="159" t="s">
        <v>308</v>
      </c>
      <c r="C48" s="160">
        <v>59.99</v>
      </c>
      <c r="D48" s="160"/>
      <c r="E48" s="161">
        <v>70.38</v>
      </c>
      <c r="F48" s="155">
        <f t="shared" si="1"/>
        <v>65.185</v>
      </c>
    </row>
    <row r="49" spans="1:6" ht="12.75">
      <c r="A49" s="158" t="s">
        <v>346</v>
      </c>
      <c r="B49" s="159" t="s">
        <v>347</v>
      </c>
      <c r="C49" s="160">
        <v>55.8</v>
      </c>
      <c r="D49" s="160"/>
      <c r="E49" s="161">
        <v>31.61</v>
      </c>
      <c r="F49" s="155">
        <f t="shared" si="1"/>
        <v>43.705</v>
      </c>
    </row>
    <row r="50" spans="1:6" ht="12.75">
      <c r="A50" s="158" t="s">
        <v>348</v>
      </c>
      <c r="B50" s="159" t="s">
        <v>349</v>
      </c>
      <c r="C50" s="160">
        <v>39.9</v>
      </c>
      <c r="D50" s="160"/>
      <c r="E50" s="161">
        <v>37.25</v>
      </c>
      <c r="F50" s="155">
        <f t="shared" si="1"/>
        <v>38.575</v>
      </c>
    </row>
    <row r="51" spans="1:6" ht="12.75">
      <c r="A51" s="158" t="s">
        <v>390</v>
      </c>
      <c r="B51" s="159" t="s">
        <v>347</v>
      </c>
      <c r="C51" s="160">
        <v>64.9</v>
      </c>
      <c r="D51" s="160"/>
      <c r="E51" s="161">
        <v>38.11</v>
      </c>
      <c r="F51" s="155">
        <f t="shared" si="1"/>
        <v>51.505</v>
      </c>
    </row>
    <row r="52" spans="1:6" ht="12.75">
      <c r="A52" s="158" t="s">
        <v>350</v>
      </c>
      <c r="B52" s="159" t="s">
        <v>349</v>
      </c>
      <c r="C52" s="160">
        <v>26.9</v>
      </c>
      <c r="D52" s="160"/>
      <c r="E52" s="161">
        <v>21.36</v>
      </c>
      <c r="F52" s="155">
        <f t="shared" si="1"/>
        <v>24.13</v>
      </c>
    </row>
    <row r="53" spans="1:6" ht="12.75">
      <c r="A53" s="158" t="s">
        <v>351</v>
      </c>
      <c r="B53" s="159" t="s">
        <v>308</v>
      </c>
      <c r="C53" s="160">
        <v>16.9</v>
      </c>
      <c r="D53" s="160"/>
      <c r="E53" s="161">
        <v>15.5</v>
      </c>
      <c r="F53" s="155">
        <f t="shared" si="1"/>
        <v>16.2</v>
      </c>
    </row>
    <row r="54" spans="1:6" ht="12.75">
      <c r="A54" s="158" t="s">
        <v>352</v>
      </c>
      <c r="B54" s="159" t="s">
        <v>349</v>
      </c>
      <c r="C54" s="160">
        <v>134.99</v>
      </c>
      <c r="D54" s="160"/>
      <c r="E54" s="161">
        <v>137.55</v>
      </c>
      <c r="F54" s="155">
        <f t="shared" si="1"/>
        <v>136.27</v>
      </c>
    </row>
    <row r="55" spans="1:6" ht="12.75">
      <c r="A55" s="158" t="s">
        <v>353</v>
      </c>
      <c r="B55" s="159" t="s">
        <v>347</v>
      </c>
      <c r="C55" s="160">
        <v>45.1</v>
      </c>
      <c r="D55" s="160"/>
      <c r="E55" s="161">
        <v>33.96</v>
      </c>
      <c r="F55" s="155">
        <f t="shared" si="1"/>
        <v>39.53</v>
      </c>
    </row>
    <row r="56" spans="1:6" ht="12.75">
      <c r="A56" s="158" t="s">
        <v>354</v>
      </c>
      <c r="B56" s="159" t="s">
        <v>347</v>
      </c>
      <c r="C56" s="160">
        <v>7</v>
      </c>
      <c r="D56" s="160"/>
      <c r="E56" s="161">
        <v>6.94</v>
      </c>
      <c r="F56" s="155">
        <f t="shared" si="1"/>
        <v>6.970000000000001</v>
      </c>
    </row>
    <row r="57" spans="1:6" ht="12.75">
      <c r="A57" s="158" t="s">
        <v>355</v>
      </c>
      <c r="B57" s="159" t="s">
        <v>347</v>
      </c>
      <c r="C57" s="160">
        <v>15.4</v>
      </c>
      <c r="D57" s="160"/>
      <c r="E57" s="161">
        <v>6.81</v>
      </c>
      <c r="F57" s="155">
        <f t="shared" si="1"/>
        <v>11.105</v>
      </c>
    </row>
    <row r="58" spans="1:6" ht="12.75">
      <c r="A58" s="158" t="s">
        <v>391</v>
      </c>
      <c r="B58" s="159" t="s">
        <v>347</v>
      </c>
      <c r="C58" s="160">
        <v>15</v>
      </c>
      <c r="D58" s="160"/>
      <c r="E58" s="161">
        <v>23.7</v>
      </c>
      <c r="F58" s="155">
        <f t="shared" si="1"/>
        <v>19.35</v>
      </c>
    </row>
    <row r="59" spans="1:6" ht="12.75">
      <c r="A59" s="158" t="s">
        <v>357</v>
      </c>
      <c r="B59" s="159" t="s">
        <v>320</v>
      </c>
      <c r="C59" s="160">
        <v>36.9</v>
      </c>
      <c r="D59" s="160"/>
      <c r="E59" s="161">
        <v>23.46</v>
      </c>
      <c r="F59" s="155">
        <f t="shared" si="1"/>
        <v>30.18</v>
      </c>
    </row>
    <row r="60" spans="1:6" ht="12.75">
      <c r="A60" s="158" t="s">
        <v>358</v>
      </c>
      <c r="B60" s="159" t="s">
        <v>308</v>
      </c>
      <c r="C60" s="160">
        <v>25.7</v>
      </c>
      <c r="D60" s="160"/>
      <c r="E60" s="161">
        <v>20.06</v>
      </c>
      <c r="F60" s="155">
        <f t="shared" si="1"/>
        <v>22.88</v>
      </c>
    </row>
    <row r="63" spans="1:6" ht="12.75">
      <c r="A63" s="363" t="s">
        <v>448</v>
      </c>
      <c r="B63" s="363"/>
      <c r="C63" s="363"/>
      <c r="D63" s="363"/>
      <c r="E63" s="363"/>
      <c r="F63" s="363"/>
    </row>
    <row r="64" spans="1:6" ht="12.75" customHeight="1">
      <c r="A64" s="363" t="s">
        <v>392</v>
      </c>
      <c r="B64" s="363"/>
      <c r="C64" s="363"/>
      <c r="D64" s="363"/>
      <c r="E64" s="363"/>
      <c r="F64" s="363"/>
    </row>
  </sheetData>
  <sheetProtection selectLockedCells="1" selectUnlockedCells="1"/>
  <mergeCells count="4">
    <mergeCell ref="A1:E1"/>
    <mergeCell ref="A2:E2"/>
    <mergeCell ref="A63:F63"/>
    <mergeCell ref="A64:F6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SheetLayoutView="100" zoomScalePageLayoutView="0" workbookViewId="0" topLeftCell="A13">
      <selection activeCell="R6" sqref="R6"/>
    </sheetView>
  </sheetViews>
  <sheetFormatPr defaultColWidth="9.140625" defaultRowHeight="12.75"/>
  <cols>
    <col min="1" max="1" width="26.140625" style="216" customWidth="1"/>
    <col min="2" max="2" width="20.00390625" style="216" customWidth="1"/>
    <col min="3" max="3" width="15.57421875" style="216" customWidth="1"/>
    <col min="4" max="4" width="14.140625" style="216" customWidth="1"/>
    <col min="5" max="5" width="12.8515625" style="209" customWidth="1"/>
    <col min="6" max="6" width="12.8515625" style="216" customWidth="1"/>
    <col min="7" max="7" width="11.00390625" style="209" customWidth="1"/>
    <col min="8" max="8" width="13.57421875" style="209" customWidth="1"/>
    <col min="9" max="9" width="4.00390625" style="216" customWidth="1"/>
    <col min="10" max="10" width="14.57421875" style="216" customWidth="1"/>
    <col min="11" max="11" width="3.00390625" style="216" customWidth="1"/>
    <col min="12" max="12" width="8.140625" style="216" customWidth="1"/>
    <col min="13" max="13" width="4.421875" style="216" customWidth="1"/>
    <col min="14" max="14" width="17.421875" style="216" customWidth="1"/>
    <col min="15" max="15" width="10.00390625" style="216" customWidth="1"/>
    <col min="16" max="16" width="9.57421875" style="216" customWidth="1"/>
    <col min="17" max="17" width="11.7109375" style="216" customWidth="1"/>
    <col min="18" max="16384" width="9.140625" style="216" customWidth="1"/>
  </cols>
  <sheetData>
    <row r="1" spans="1:16" s="209" customFormat="1" ht="114.75" customHeight="1">
      <c r="A1" s="207" t="s">
        <v>265</v>
      </c>
      <c r="B1" s="207" t="s">
        <v>393</v>
      </c>
      <c r="C1" s="208" t="s">
        <v>450</v>
      </c>
      <c r="D1" s="208" t="s">
        <v>451</v>
      </c>
      <c r="E1" s="208" t="s">
        <v>396</v>
      </c>
      <c r="F1" s="208" t="s">
        <v>397</v>
      </c>
      <c r="G1" s="208" t="s">
        <v>398</v>
      </c>
      <c r="H1" s="208" t="s">
        <v>399</v>
      </c>
      <c r="I1" s="372" t="s">
        <v>400</v>
      </c>
      <c r="J1" s="372"/>
      <c r="K1" s="372"/>
      <c r="L1" s="372"/>
      <c r="M1" s="372"/>
      <c r="N1" s="372"/>
      <c r="O1" s="372"/>
      <c r="P1" s="372"/>
    </row>
    <row r="2" spans="1:18" ht="36">
      <c r="A2" s="373" t="s">
        <v>401</v>
      </c>
      <c r="B2" s="210" t="s">
        <v>402</v>
      </c>
      <c r="C2" s="211">
        <v>1200</v>
      </c>
      <c r="D2" s="212">
        <v>349</v>
      </c>
      <c r="E2" s="207">
        <f aca="true" t="shared" si="0" ref="E2:E14">D2/C2</f>
        <v>0.29083333333333333</v>
      </c>
      <c r="F2" s="213">
        <f aca="true" t="shared" si="1" ref="F2:F19">TRUNC(E2,0)</f>
        <v>0</v>
      </c>
      <c r="G2" s="207">
        <f aca="true" t="shared" si="2" ref="G2:G19">E2-F2</f>
        <v>0.29083333333333333</v>
      </c>
      <c r="H2" s="207">
        <f aca="true" t="shared" si="3" ref="H2:H19">G2*$C$23*60</f>
        <v>139.6</v>
      </c>
      <c r="I2" s="200">
        <f aca="true" t="shared" si="4" ref="I2:I19">F2</f>
        <v>0</v>
      </c>
      <c r="J2" s="208" t="s">
        <v>403</v>
      </c>
      <c r="K2" s="200">
        <f aca="true" t="shared" si="5" ref="K2:K19">$C$23</f>
        <v>8</v>
      </c>
      <c r="L2" s="208" t="s">
        <v>404</v>
      </c>
      <c r="M2" s="200">
        <v>1</v>
      </c>
      <c r="N2" s="208" t="s">
        <v>405</v>
      </c>
      <c r="O2" s="200">
        <f aca="true" t="shared" si="6" ref="O2:O19">H2</f>
        <v>139.6</v>
      </c>
      <c r="P2" s="208" t="s">
        <v>406</v>
      </c>
      <c r="Q2" s="214"/>
      <c r="R2" s="215"/>
    </row>
    <row r="3" spans="1:16" ht="36">
      <c r="A3" s="373"/>
      <c r="B3" s="210" t="s">
        <v>407</v>
      </c>
      <c r="C3" s="211">
        <v>1840</v>
      </c>
      <c r="D3" s="212">
        <v>9106</v>
      </c>
      <c r="E3" s="207">
        <f t="shared" si="0"/>
        <v>4.948913043478261</v>
      </c>
      <c r="F3" s="213">
        <f t="shared" si="1"/>
        <v>4</v>
      </c>
      <c r="G3" s="207">
        <f t="shared" si="2"/>
        <v>0.9489130434782611</v>
      </c>
      <c r="H3" s="207">
        <f t="shared" si="3"/>
        <v>455.47826086956536</v>
      </c>
      <c r="I3" s="200">
        <f t="shared" si="4"/>
        <v>4</v>
      </c>
      <c r="J3" s="208" t="s">
        <v>403</v>
      </c>
      <c r="K3" s="200">
        <f t="shared" si="5"/>
        <v>8</v>
      </c>
      <c r="L3" s="208" t="s">
        <v>404</v>
      </c>
      <c r="M3" s="200">
        <v>1</v>
      </c>
      <c r="N3" s="208" t="s">
        <v>405</v>
      </c>
      <c r="O3" s="200">
        <f t="shared" si="6"/>
        <v>455.47826086956536</v>
      </c>
      <c r="P3" s="208" t="s">
        <v>406</v>
      </c>
    </row>
    <row r="4" spans="1:16" ht="36">
      <c r="A4" s="373"/>
      <c r="B4" s="210" t="s">
        <v>408</v>
      </c>
      <c r="C4" s="211">
        <v>704</v>
      </c>
      <c r="D4" s="212">
        <v>1195</v>
      </c>
      <c r="E4" s="207">
        <f t="shared" si="0"/>
        <v>1.6974431818181819</v>
      </c>
      <c r="F4" s="213">
        <f t="shared" si="1"/>
        <v>1</v>
      </c>
      <c r="G4" s="207">
        <f t="shared" si="2"/>
        <v>0.6974431818181819</v>
      </c>
      <c r="H4" s="207">
        <f t="shared" si="3"/>
        <v>334.7727272727273</v>
      </c>
      <c r="I4" s="200">
        <f t="shared" si="4"/>
        <v>1</v>
      </c>
      <c r="J4" s="208" t="s">
        <v>403</v>
      </c>
      <c r="K4" s="200">
        <f t="shared" si="5"/>
        <v>8</v>
      </c>
      <c r="L4" s="208" t="s">
        <v>404</v>
      </c>
      <c r="M4" s="200">
        <v>1</v>
      </c>
      <c r="N4" s="208" t="s">
        <v>405</v>
      </c>
      <c r="O4" s="200">
        <f t="shared" si="6"/>
        <v>334.7727272727273</v>
      </c>
      <c r="P4" s="208" t="s">
        <v>406</v>
      </c>
    </row>
    <row r="5" spans="1:16" ht="36">
      <c r="A5" s="373"/>
      <c r="B5" s="217" t="s">
        <v>409</v>
      </c>
      <c r="C5" s="211">
        <v>4063</v>
      </c>
      <c r="D5" s="212">
        <v>258</v>
      </c>
      <c r="E5" s="207">
        <f t="shared" si="0"/>
        <v>0.06349987693822298</v>
      </c>
      <c r="F5" s="213">
        <f t="shared" si="1"/>
        <v>0</v>
      </c>
      <c r="G5" s="207">
        <f t="shared" si="2"/>
        <v>0.06349987693822298</v>
      </c>
      <c r="H5" s="207">
        <f t="shared" si="3"/>
        <v>30.47994093034703</v>
      </c>
      <c r="I5" s="200">
        <f t="shared" si="4"/>
        <v>0</v>
      </c>
      <c r="J5" s="208" t="s">
        <v>403</v>
      </c>
      <c r="K5" s="200">
        <f t="shared" si="5"/>
        <v>8</v>
      </c>
      <c r="L5" s="208" t="s">
        <v>404</v>
      </c>
      <c r="M5" s="200">
        <v>1</v>
      </c>
      <c r="N5" s="208" t="s">
        <v>405</v>
      </c>
      <c r="O5" s="200">
        <f t="shared" si="6"/>
        <v>30.47994093034703</v>
      </c>
      <c r="P5" s="208" t="s">
        <v>406</v>
      </c>
    </row>
    <row r="6" spans="1:16" ht="36">
      <c r="A6" s="373"/>
      <c r="B6" s="210" t="s">
        <v>410</v>
      </c>
      <c r="C6" s="211">
        <v>1800</v>
      </c>
      <c r="D6" s="212">
        <v>0</v>
      </c>
      <c r="E6" s="207">
        <f t="shared" si="0"/>
        <v>0</v>
      </c>
      <c r="F6" s="213">
        <f t="shared" si="1"/>
        <v>0</v>
      </c>
      <c r="G6" s="207">
        <f t="shared" si="2"/>
        <v>0</v>
      </c>
      <c r="H6" s="207">
        <f t="shared" si="3"/>
        <v>0</v>
      </c>
      <c r="I6" s="200">
        <f t="shared" si="4"/>
        <v>0</v>
      </c>
      <c r="J6" s="208" t="s">
        <v>403</v>
      </c>
      <c r="K6" s="200">
        <f t="shared" si="5"/>
        <v>8</v>
      </c>
      <c r="L6" s="208" t="s">
        <v>404</v>
      </c>
      <c r="M6" s="200">
        <v>1</v>
      </c>
      <c r="N6" s="208" t="s">
        <v>405</v>
      </c>
      <c r="O6" s="200">
        <f t="shared" si="6"/>
        <v>0</v>
      </c>
      <c r="P6" s="208" t="s">
        <v>406</v>
      </c>
    </row>
    <row r="7" spans="1:16" ht="36">
      <c r="A7" s="373"/>
      <c r="B7" s="217" t="s">
        <v>411</v>
      </c>
      <c r="C7" s="211">
        <v>2063</v>
      </c>
      <c r="D7" s="212">
        <v>2093.63</v>
      </c>
      <c r="E7" s="207">
        <f t="shared" si="0"/>
        <v>1.0148473097430926</v>
      </c>
      <c r="F7" s="213">
        <f t="shared" si="1"/>
        <v>1</v>
      </c>
      <c r="G7" s="207">
        <f t="shared" si="2"/>
        <v>0.014847309743092563</v>
      </c>
      <c r="H7" s="207">
        <f t="shared" si="3"/>
        <v>7.12670867668443</v>
      </c>
      <c r="I7" s="200">
        <f t="shared" si="4"/>
        <v>1</v>
      </c>
      <c r="J7" s="208" t="s">
        <v>403</v>
      </c>
      <c r="K7" s="200">
        <f t="shared" si="5"/>
        <v>8</v>
      </c>
      <c r="L7" s="208" t="s">
        <v>404</v>
      </c>
      <c r="M7" s="200">
        <v>1</v>
      </c>
      <c r="N7" s="208" t="s">
        <v>405</v>
      </c>
      <c r="O7" s="200">
        <f t="shared" si="6"/>
        <v>7.12670867668443</v>
      </c>
      <c r="P7" s="208" t="s">
        <v>406</v>
      </c>
    </row>
    <row r="8" spans="1:16" ht="36">
      <c r="A8" s="373"/>
      <c r="B8" s="218" t="s">
        <v>412</v>
      </c>
      <c r="C8" s="211">
        <v>196</v>
      </c>
      <c r="D8" s="212">
        <v>762</v>
      </c>
      <c r="E8" s="207">
        <f t="shared" si="0"/>
        <v>3.8877551020408165</v>
      </c>
      <c r="F8" s="213">
        <f t="shared" si="1"/>
        <v>3</v>
      </c>
      <c r="G8" s="207">
        <f t="shared" si="2"/>
        <v>0.8877551020408165</v>
      </c>
      <c r="H8" s="207">
        <f t="shared" si="3"/>
        <v>426.1224489795919</v>
      </c>
      <c r="I8" s="200">
        <f t="shared" si="4"/>
        <v>3</v>
      </c>
      <c r="J8" s="208" t="s">
        <v>403</v>
      </c>
      <c r="K8" s="200">
        <f t="shared" si="5"/>
        <v>8</v>
      </c>
      <c r="L8" s="208" t="s">
        <v>404</v>
      </c>
      <c r="M8" s="200">
        <v>1</v>
      </c>
      <c r="N8" s="208" t="s">
        <v>405</v>
      </c>
      <c r="O8" s="200">
        <f t="shared" si="6"/>
        <v>426.1224489795919</v>
      </c>
      <c r="P8" s="208" t="s">
        <v>406</v>
      </c>
    </row>
    <row r="9" spans="1:16" ht="36">
      <c r="A9" s="373" t="s">
        <v>413</v>
      </c>
      <c r="B9" s="217" t="s">
        <v>414</v>
      </c>
      <c r="C9" s="211">
        <v>4725</v>
      </c>
      <c r="D9" s="212">
        <v>1454.81</v>
      </c>
      <c r="E9" s="207">
        <f t="shared" si="0"/>
        <v>0.3078962962962963</v>
      </c>
      <c r="F9" s="213">
        <f t="shared" si="1"/>
        <v>0</v>
      </c>
      <c r="G9" s="207">
        <f t="shared" si="2"/>
        <v>0.3078962962962963</v>
      </c>
      <c r="H9" s="207">
        <f t="shared" si="3"/>
        <v>147.7902222222222</v>
      </c>
      <c r="I9" s="200">
        <f t="shared" si="4"/>
        <v>0</v>
      </c>
      <c r="J9" s="208" t="s">
        <v>403</v>
      </c>
      <c r="K9" s="200">
        <f t="shared" si="5"/>
        <v>8</v>
      </c>
      <c r="L9" s="208" t="s">
        <v>404</v>
      </c>
      <c r="M9" s="200">
        <v>1</v>
      </c>
      <c r="N9" s="208" t="s">
        <v>405</v>
      </c>
      <c r="O9" s="200">
        <f t="shared" si="6"/>
        <v>147.7902222222222</v>
      </c>
      <c r="P9" s="208" t="s">
        <v>406</v>
      </c>
    </row>
    <row r="10" spans="1:16" ht="36">
      <c r="A10" s="373"/>
      <c r="B10" s="217" t="s">
        <v>415</v>
      </c>
      <c r="C10" s="211">
        <v>9000</v>
      </c>
      <c r="D10" s="212">
        <v>0</v>
      </c>
      <c r="E10" s="207">
        <f t="shared" si="0"/>
        <v>0</v>
      </c>
      <c r="F10" s="213">
        <f t="shared" si="1"/>
        <v>0</v>
      </c>
      <c r="G10" s="207">
        <f t="shared" si="2"/>
        <v>0</v>
      </c>
      <c r="H10" s="207">
        <f t="shared" si="3"/>
        <v>0</v>
      </c>
      <c r="I10" s="200">
        <f t="shared" si="4"/>
        <v>0</v>
      </c>
      <c r="J10" s="208" t="s">
        <v>403</v>
      </c>
      <c r="K10" s="200">
        <f t="shared" si="5"/>
        <v>8</v>
      </c>
      <c r="L10" s="208" t="s">
        <v>404</v>
      </c>
      <c r="M10" s="200">
        <v>1</v>
      </c>
      <c r="N10" s="208" t="s">
        <v>405</v>
      </c>
      <c r="O10" s="200">
        <f t="shared" si="6"/>
        <v>0</v>
      </c>
      <c r="P10" s="208" t="s">
        <v>406</v>
      </c>
    </row>
    <row r="11" spans="1:16" ht="36">
      <c r="A11" s="373"/>
      <c r="B11" s="217" t="s">
        <v>416</v>
      </c>
      <c r="C11" s="211">
        <v>2700</v>
      </c>
      <c r="D11" s="212">
        <v>0</v>
      </c>
      <c r="E11" s="207">
        <f t="shared" si="0"/>
        <v>0</v>
      </c>
      <c r="F11" s="213">
        <f t="shared" si="1"/>
        <v>0</v>
      </c>
      <c r="G11" s="207">
        <f t="shared" si="2"/>
        <v>0</v>
      </c>
      <c r="H11" s="207">
        <f t="shared" si="3"/>
        <v>0</v>
      </c>
      <c r="I11" s="200">
        <f t="shared" si="4"/>
        <v>0</v>
      </c>
      <c r="J11" s="208" t="s">
        <v>403</v>
      </c>
      <c r="K11" s="200">
        <f t="shared" si="5"/>
        <v>8</v>
      </c>
      <c r="L11" s="208" t="s">
        <v>404</v>
      </c>
      <c r="M11" s="200">
        <v>1</v>
      </c>
      <c r="N11" s="208" t="s">
        <v>405</v>
      </c>
      <c r="O11" s="200">
        <f t="shared" si="6"/>
        <v>0</v>
      </c>
      <c r="P11" s="208" t="s">
        <v>406</v>
      </c>
    </row>
    <row r="12" spans="1:16" ht="36">
      <c r="A12" s="373"/>
      <c r="B12" s="217" t="s">
        <v>417</v>
      </c>
      <c r="C12" s="211">
        <v>2700</v>
      </c>
      <c r="D12" s="212">
        <v>0</v>
      </c>
      <c r="E12" s="207">
        <f t="shared" si="0"/>
        <v>0</v>
      </c>
      <c r="F12" s="213">
        <f t="shared" si="1"/>
        <v>0</v>
      </c>
      <c r="G12" s="207">
        <f t="shared" si="2"/>
        <v>0</v>
      </c>
      <c r="H12" s="207">
        <f t="shared" si="3"/>
        <v>0</v>
      </c>
      <c r="I12" s="200">
        <f t="shared" si="4"/>
        <v>0</v>
      </c>
      <c r="J12" s="208" t="s">
        <v>403</v>
      </c>
      <c r="K12" s="200">
        <f t="shared" si="5"/>
        <v>8</v>
      </c>
      <c r="L12" s="208" t="s">
        <v>404</v>
      </c>
      <c r="M12" s="200">
        <v>1</v>
      </c>
      <c r="N12" s="208" t="s">
        <v>405</v>
      </c>
      <c r="O12" s="200">
        <f t="shared" si="6"/>
        <v>0</v>
      </c>
      <c r="P12" s="208" t="s">
        <v>406</v>
      </c>
    </row>
    <row r="13" spans="1:16" ht="36">
      <c r="A13" s="373"/>
      <c r="B13" s="217" t="s">
        <v>418</v>
      </c>
      <c r="C13" s="211">
        <v>2700</v>
      </c>
      <c r="D13" s="212">
        <v>0</v>
      </c>
      <c r="E13" s="207">
        <f t="shared" si="0"/>
        <v>0</v>
      </c>
      <c r="F13" s="213">
        <f t="shared" si="1"/>
        <v>0</v>
      </c>
      <c r="G13" s="207">
        <f t="shared" si="2"/>
        <v>0</v>
      </c>
      <c r="H13" s="207">
        <f t="shared" si="3"/>
        <v>0</v>
      </c>
      <c r="I13" s="200">
        <f t="shared" si="4"/>
        <v>0</v>
      </c>
      <c r="J13" s="208" t="s">
        <v>403</v>
      </c>
      <c r="K13" s="200">
        <f t="shared" si="5"/>
        <v>8</v>
      </c>
      <c r="L13" s="208" t="s">
        <v>404</v>
      </c>
      <c r="M13" s="200">
        <v>1</v>
      </c>
      <c r="N13" s="208" t="s">
        <v>405</v>
      </c>
      <c r="O13" s="200">
        <f t="shared" si="6"/>
        <v>0</v>
      </c>
      <c r="P13" s="208" t="s">
        <v>406</v>
      </c>
    </row>
    <row r="14" spans="1:16" ht="36">
      <c r="A14" s="373"/>
      <c r="B14" s="217" t="s">
        <v>419</v>
      </c>
      <c r="C14" s="211">
        <v>100000</v>
      </c>
      <c r="D14" s="212">
        <v>0</v>
      </c>
      <c r="E14" s="207">
        <f t="shared" si="0"/>
        <v>0</v>
      </c>
      <c r="F14" s="213">
        <f t="shared" si="1"/>
        <v>0</v>
      </c>
      <c r="G14" s="207">
        <f t="shared" si="2"/>
        <v>0</v>
      </c>
      <c r="H14" s="207">
        <f t="shared" si="3"/>
        <v>0</v>
      </c>
      <c r="I14" s="200">
        <f t="shared" si="4"/>
        <v>0</v>
      </c>
      <c r="J14" s="208" t="s">
        <v>403</v>
      </c>
      <c r="K14" s="200">
        <f t="shared" si="5"/>
        <v>8</v>
      </c>
      <c r="L14" s="208" t="s">
        <v>404</v>
      </c>
      <c r="M14" s="200">
        <v>1</v>
      </c>
      <c r="N14" s="208" t="s">
        <v>405</v>
      </c>
      <c r="O14" s="200">
        <f t="shared" si="6"/>
        <v>0</v>
      </c>
      <c r="P14" s="208" t="s">
        <v>406</v>
      </c>
    </row>
    <row r="15" spans="1:16" ht="38.25" customHeight="1">
      <c r="A15" s="374" t="s">
        <v>420</v>
      </c>
      <c r="B15" s="217" t="s">
        <v>452</v>
      </c>
      <c r="C15" s="211">
        <v>320</v>
      </c>
      <c r="D15" s="212">
        <v>471</v>
      </c>
      <c r="E15" s="207">
        <f>(D15/C15)*(16/188.76)</f>
        <v>0.12476160203432933</v>
      </c>
      <c r="F15" s="213">
        <f t="shared" si="1"/>
        <v>0</v>
      </c>
      <c r="G15" s="207">
        <f t="shared" si="2"/>
        <v>0.12476160203432933</v>
      </c>
      <c r="H15" s="207">
        <f t="shared" si="3"/>
        <v>59.885568976478076</v>
      </c>
      <c r="I15" s="200">
        <f t="shared" si="4"/>
        <v>0</v>
      </c>
      <c r="J15" s="208" t="s">
        <v>403</v>
      </c>
      <c r="K15" s="200">
        <f t="shared" si="5"/>
        <v>8</v>
      </c>
      <c r="L15" s="208" t="s">
        <v>404</v>
      </c>
      <c r="M15" s="200">
        <v>1</v>
      </c>
      <c r="N15" s="208" t="s">
        <v>405</v>
      </c>
      <c r="O15" s="200">
        <f t="shared" si="6"/>
        <v>59.885568976478076</v>
      </c>
      <c r="P15" s="208" t="s">
        <v>406</v>
      </c>
    </row>
    <row r="16" spans="1:16" ht="36">
      <c r="A16" s="374"/>
      <c r="B16" s="217" t="s">
        <v>453</v>
      </c>
      <c r="C16" s="211">
        <v>760</v>
      </c>
      <c r="D16" s="212">
        <v>1520</v>
      </c>
      <c r="E16" s="207">
        <f>(D16/C16)*(16/188.76)</f>
        <v>0.169527442254715</v>
      </c>
      <c r="F16" s="213">
        <f t="shared" si="1"/>
        <v>0</v>
      </c>
      <c r="G16" s="207">
        <f t="shared" si="2"/>
        <v>0.169527442254715</v>
      </c>
      <c r="H16" s="207">
        <f t="shared" si="3"/>
        <v>81.3731722822632</v>
      </c>
      <c r="I16" s="200">
        <f t="shared" si="4"/>
        <v>0</v>
      </c>
      <c r="J16" s="208" t="s">
        <v>403</v>
      </c>
      <c r="K16" s="200">
        <f t="shared" si="5"/>
        <v>8</v>
      </c>
      <c r="L16" s="208" t="s">
        <v>404</v>
      </c>
      <c r="M16" s="200">
        <v>1</v>
      </c>
      <c r="N16" s="208" t="s">
        <v>405</v>
      </c>
      <c r="O16" s="200">
        <f t="shared" si="6"/>
        <v>81.3731722822632</v>
      </c>
      <c r="P16" s="208" t="s">
        <v>406</v>
      </c>
    </row>
    <row r="17" spans="1:16" ht="36">
      <c r="A17" s="374"/>
      <c r="B17" s="217" t="s">
        <v>423</v>
      </c>
      <c r="C17" s="211">
        <v>380</v>
      </c>
      <c r="D17" s="212">
        <v>2265</v>
      </c>
      <c r="E17" s="207">
        <f>(D17/C17)*(16/188.76)</f>
        <v>0.5052363904038546</v>
      </c>
      <c r="F17" s="213">
        <f t="shared" si="1"/>
        <v>0</v>
      </c>
      <c r="G17" s="207">
        <f t="shared" si="2"/>
        <v>0.5052363904038546</v>
      </c>
      <c r="H17" s="207">
        <f t="shared" si="3"/>
        <v>242.5134673938502</v>
      </c>
      <c r="I17" s="200">
        <f t="shared" si="4"/>
        <v>0</v>
      </c>
      <c r="J17" s="208" t="s">
        <v>403</v>
      </c>
      <c r="K17" s="200">
        <f t="shared" si="5"/>
        <v>8</v>
      </c>
      <c r="L17" s="208" t="s">
        <v>404</v>
      </c>
      <c r="M17" s="200">
        <v>1</v>
      </c>
      <c r="N17" s="208" t="s">
        <v>405</v>
      </c>
      <c r="O17" s="200">
        <f t="shared" si="6"/>
        <v>242.5134673938502</v>
      </c>
      <c r="P17" s="208" t="s">
        <v>406</v>
      </c>
    </row>
    <row r="18" spans="1:16" ht="36">
      <c r="A18" s="217" t="s">
        <v>424</v>
      </c>
      <c r="B18" s="217" t="s">
        <v>425</v>
      </c>
      <c r="C18" s="219">
        <v>160</v>
      </c>
      <c r="D18" s="212">
        <v>0</v>
      </c>
      <c r="E18" s="207">
        <f>(D18/C18)*(8/1132.6)</f>
        <v>0</v>
      </c>
      <c r="F18" s="213">
        <f t="shared" si="1"/>
        <v>0</v>
      </c>
      <c r="G18" s="207">
        <f t="shared" si="2"/>
        <v>0</v>
      </c>
      <c r="H18" s="207">
        <f t="shared" si="3"/>
        <v>0</v>
      </c>
      <c r="I18" s="200">
        <f t="shared" si="4"/>
        <v>0</v>
      </c>
      <c r="J18" s="208" t="s">
        <v>403</v>
      </c>
      <c r="K18" s="200">
        <f t="shared" si="5"/>
        <v>8</v>
      </c>
      <c r="L18" s="208" t="s">
        <v>404</v>
      </c>
      <c r="M18" s="200">
        <v>1</v>
      </c>
      <c r="N18" s="208" t="s">
        <v>405</v>
      </c>
      <c r="O18" s="200">
        <f t="shared" si="6"/>
        <v>0</v>
      </c>
      <c r="P18" s="208" t="s">
        <v>406</v>
      </c>
    </row>
    <row r="19" spans="1:16" ht="36">
      <c r="A19" s="217" t="s">
        <v>426</v>
      </c>
      <c r="B19" s="217" t="s">
        <v>427</v>
      </c>
      <c r="C19" s="220">
        <v>450</v>
      </c>
      <c r="D19" s="212">
        <v>81</v>
      </c>
      <c r="E19" s="207">
        <f>0</f>
        <v>0</v>
      </c>
      <c r="F19" s="213">
        <f t="shared" si="1"/>
        <v>0</v>
      </c>
      <c r="G19" s="207">
        <f t="shared" si="2"/>
        <v>0</v>
      </c>
      <c r="H19" s="207">
        <f t="shared" si="3"/>
        <v>0</v>
      </c>
      <c r="I19" s="200">
        <f t="shared" si="4"/>
        <v>0</v>
      </c>
      <c r="J19" s="208" t="s">
        <v>403</v>
      </c>
      <c r="K19" s="200">
        <f t="shared" si="5"/>
        <v>8</v>
      </c>
      <c r="L19" s="208" t="s">
        <v>404</v>
      </c>
      <c r="M19" s="200">
        <v>1</v>
      </c>
      <c r="N19" s="208" t="s">
        <v>405</v>
      </c>
      <c r="O19" s="200">
        <f t="shared" si="6"/>
        <v>0</v>
      </c>
      <c r="P19" s="208" t="s">
        <v>406</v>
      </c>
    </row>
    <row r="20" spans="1:16" s="225" customFormat="1" ht="12">
      <c r="A20" s="221"/>
      <c r="B20" s="221"/>
      <c r="C20" s="222"/>
      <c r="D20" s="223">
        <f>SUM(D2:D19)</f>
        <v>19555.440000000002</v>
      </c>
      <c r="E20" s="224"/>
      <c r="F20" s="213"/>
      <c r="G20" s="224"/>
      <c r="H20" s="224"/>
      <c r="I20" s="222"/>
      <c r="J20" s="222"/>
      <c r="K20" s="222"/>
      <c r="L20" s="222"/>
      <c r="M20" s="222"/>
      <c r="N20" s="222"/>
      <c r="O20" s="222"/>
      <c r="P20" s="222"/>
    </row>
    <row r="21" spans="1:18" s="228" customFormat="1" ht="52.5" customHeight="1">
      <c r="A21" s="265" t="s">
        <v>428</v>
      </c>
      <c r="B21" s="265"/>
      <c r="C21" s="265"/>
      <c r="D21" s="265"/>
      <c r="E21" s="207">
        <f>SUM(E2:E19)</f>
        <v>13.010713578341104</v>
      </c>
      <c r="F21" s="213">
        <f>TRUNC(E21,0)</f>
        <v>13</v>
      </c>
      <c r="G21" s="207">
        <f>E21-F21</f>
        <v>0.010713578341103869</v>
      </c>
      <c r="H21" s="207">
        <f>G21*$C$23*60</f>
        <v>5.142517603729857</v>
      </c>
      <c r="I21" s="69">
        <f>F21</f>
        <v>13</v>
      </c>
      <c r="J21" s="208" t="s">
        <v>403</v>
      </c>
      <c r="K21" s="200">
        <f>$C$23</f>
        <v>8</v>
      </c>
      <c r="L21" s="208" t="s">
        <v>404</v>
      </c>
      <c r="M21" s="69">
        <v>1</v>
      </c>
      <c r="N21" s="208" t="s">
        <v>405</v>
      </c>
      <c r="O21" s="69">
        <f>H21</f>
        <v>5.142517603729857</v>
      </c>
      <c r="P21" s="208" t="s">
        <v>406</v>
      </c>
      <c r="Q21" s="226" t="s">
        <v>429</v>
      </c>
      <c r="R21" s="227"/>
    </row>
    <row r="22" spans="1:16" s="228" customFormat="1" ht="12">
      <c r="A22" s="221"/>
      <c r="B22" s="221"/>
      <c r="C22" s="221"/>
      <c r="D22" s="229"/>
      <c r="E22" s="230"/>
      <c r="F22" s="231"/>
      <c r="G22" s="230"/>
      <c r="H22" s="230"/>
      <c r="I22" s="225"/>
      <c r="J22" s="222"/>
      <c r="K22" s="222"/>
      <c r="L22" s="222"/>
      <c r="M22" s="222"/>
      <c r="N22" s="222"/>
      <c r="O22" s="225"/>
      <c r="P22" s="222"/>
    </row>
    <row r="23" spans="1:14" ht="20.25" customHeight="1">
      <c r="A23" s="375" t="s">
        <v>430</v>
      </c>
      <c r="B23" s="375"/>
      <c r="C23" s="232">
        <v>8</v>
      </c>
      <c r="D23" s="233" t="s">
        <v>431</v>
      </c>
      <c r="E23" s="376" t="s">
        <v>432</v>
      </c>
      <c r="F23" s="376"/>
      <c r="G23" s="376"/>
      <c r="H23" s="376"/>
      <c r="I23" s="376"/>
      <c r="J23" s="376"/>
      <c r="K23" s="376"/>
      <c r="L23" s="377">
        <f>F21+G21</f>
        <v>13.010713578341104</v>
      </c>
      <c r="M23" s="377"/>
      <c r="N23" s="377"/>
    </row>
    <row r="24" spans="1:4" ht="12">
      <c r="A24" s="234"/>
      <c r="B24" s="234"/>
      <c r="C24" s="209"/>
      <c r="D24" s="209"/>
    </row>
    <row r="25" spans="1:16" ht="18.75" customHeight="1">
      <c r="A25" s="370" t="s">
        <v>433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</row>
    <row r="26" spans="1:16" ht="18.75" customHeight="1">
      <c r="A26" s="370" t="s">
        <v>434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</row>
    <row r="27" spans="1:16" ht="35.25" customHeight="1">
      <c r="A27" s="371" t="s">
        <v>435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</row>
    <row r="28" spans="1:16" ht="36" customHeight="1">
      <c r="A28" s="371" t="s">
        <v>454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</row>
    <row r="29" spans="1:16" ht="36" customHeight="1">
      <c r="A29" s="371" t="s">
        <v>455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</row>
    <row r="30" spans="1:16" ht="18.75" customHeight="1">
      <c r="A30" s="371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</row>
    <row r="31" spans="1:16" ht="18.75" customHeight="1">
      <c r="A31" s="366" t="s">
        <v>438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</row>
    <row r="32" spans="1:16" ht="36" customHeight="1">
      <c r="A32" s="366" t="s">
        <v>439</v>
      </c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</row>
    <row r="33" spans="1:16" ht="12">
      <c r="A33" s="367" t="s">
        <v>440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</row>
    <row r="34" spans="1:16" ht="12">
      <c r="A34" s="368" t="s">
        <v>441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</row>
    <row r="35" spans="1:16" ht="36" customHeight="1">
      <c r="A35" s="369" t="s">
        <v>442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</row>
    <row r="38" spans="1:19" ht="18.75" customHeight="1">
      <c r="A38" s="364" t="s">
        <v>443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</row>
    <row r="40" spans="1:19" ht="36" customHeight="1">
      <c r="A40" s="364" t="s">
        <v>444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</row>
    <row r="42" spans="1:19" ht="18.75" customHeight="1">
      <c r="A42" s="364" t="s">
        <v>445</v>
      </c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</row>
    <row r="43" spans="1:15" ht="18.75" customHeight="1">
      <c r="A43" s="364" t="s">
        <v>446</v>
      </c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6" ht="35.25" customHeight="1">
      <c r="A44" s="365" t="s">
        <v>447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</row>
  </sheetData>
  <sheetProtection selectLockedCells="1" selectUnlockedCells="1"/>
  <mergeCells count="24">
    <mergeCell ref="I1:P1"/>
    <mergeCell ref="A2:A8"/>
    <mergeCell ref="A9:A14"/>
    <mergeCell ref="A15:A17"/>
    <mergeCell ref="A21:D21"/>
    <mergeCell ref="A23:B23"/>
    <mergeCell ref="E23:K23"/>
    <mergeCell ref="L23:N23"/>
    <mergeCell ref="A25:P25"/>
    <mergeCell ref="A26:P26"/>
    <mergeCell ref="A27:P27"/>
    <mergeCell ref="A28:P28"/>
    <mergeCell ref="A29:P29"/>
    <mergeCell ref="A30:P30"/>
    <mergeCell ref="A40:S40"/>
    <mergeCell ref="A42:S42"/>
    <mergeCell ref="A43:O43"/>
    <mergeCell ref="A44:P44"/>
    <mergeCell ref="A31:P31"/>
    <mergeCell ref="A32:P32"/>
    <mergeCell ref="A33:P33"/>
    <mergeCell ref="A34:P34"/>
    <mergeCell ref="A35:P35"/>
    <mergeCell ref="A38:S3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view="pageBreakPreview" zoomScaleSheetLayoutView="100" zoomScalePageLayoutView="0" workbookViewId="0" topLeftCell="A1">
      <selection activeCell="A2" sqref="A2:A8"/>
    </sheetView>
  </sheetViews>
  <sheetFormatPr defaultColWidth="9.140625" defaultRowHeight="12.75"/>
  <cols>
    <col min="1" max="1" width="26.140625" style="167" customWidth="1"/>
    <col min="2" max="2" width="20.00390625" style="167" customWidth="1"/>
    <col min="3" max="3" width="15.57421875" style="167" customWidth="1"/>
    <col min="4" max="4" width="14.140625" style="167" customWidth="1"/>
    <col min="5" max="5" width="12.8515625" style="168" customWidth="1"/>
    <col min="6" max="6" width="12.8515625" style="167" customWidth="1"/>
    <col min="7" max="7" width="11.00390625" style="168" customWidth="1"/>
    <col min="8" max="8" width="13.57421875" style="168" customWidth="1"/>
    <col min="9" max="9" width="4.00390625" style="167" customWidth="1"/>
    <col min="10" max="10" width="14.57421875" style="167" customWidth="1"/>
    <col min="11" max="11" width="3.00390625" style="167" customWidth="1"/>
    <col min="12" max="12" width="8.140625" style="167" customWidth="1"/>
    <col min="13" max="13" width="4.421875" style="167" customWidth="1"/>
    <col min="14" max="14" width="17.421875" style="167" customWidth="1"/>
    <col min="15" max="15" width="10.00390625" style="167" customWidth="1"/>
    <col min="16" max="16" width="9.57421875" style="167" customWidth="1"/>
    <col min="17" max="17" width="11.7109375" style="167" customWidth="1"/>
    <col min="18" max="16384" width="9.140625" style="167" customWidth="1"/>
  </cols>
  <sheetData>
    <row r="1" spans="1:16" s="168" customFormat="1" ht="114.75" customHeight="1">
      <c r="A1" s="8" t="s">
        <v>265</v>
      </c>
      <c r="B1" s="8" t="s">
        <v>393</v>
      </c>
      <c r="C1" s="5" t="s">
        <v>394</v>
      </c>
      <c r="D1" s="5" t="s">
        <v>395</v>
      </c>
      <c r="E1" s="5" t="s">
        <v>396</v>
      </c>
      <c r="F1" s="5" t="s">
        <v>397</v>
      </c>
      <c r="G1" s="5" t="s">
        <v>398</v>
      </c>
      <c r="H1" s="5" t="s">
        <v>399</v>
      </c>
      <c r="I1" s="386" t="s">
        <v>400</v>
      </c>
      <c r="J1" s="386"/>
      <c r="K1" s="386"/>
      <c r="L1" s="386"/>
      <c r="M1" s="386"/>
      <c r="N1" s="386"/>
      <c r="O1" s="386"/>
      <c r="P1" s="386"/>
    </row>
    <row r="2" spans="1:18" ht="38.25">
      <c r="A2" s="240" t="s">
        <v>401</v>
      </c>
      <c r="B2" s="169" t="s">
        <v>402</v>
      </c>
      <c r="C2" s="170">
        <v>1200</v>
      </c>
      <c r="D2" s="171">
        <v>349</v>
      </c>
      <c r="E2" s="8">
        <f aca="true" t="shared" si="0" ref="E2:E14">D2/C2</f>
        <v>0.29083333333333333</v>
      </c>
      <c r="F2" s="172">
        <f aca="true" t="shared" si="1" ref="F2:F19">TRUNC(E2,0)</f>
        <v>0</v>
      </c>
      <c r="G2" s="8">
        <f aca="true" t="shared" si="2" ref="G2:G19">E2-F2</f>
        <v>0.29083333333333333</v>
      </c>
      <c r="H2" s="8">
        <f aca="true" t="shared" si="3" ref="H2:H19">G2*$C$23*60</f>
        <v>139.6</v>
      </c>
      <c r="I2" s="173">
        <f aca="true" t="shared" si="4" ref="I2:I19">F2</f>
        <v>0</v>
      </c>
      <c r="J2" s="5" t="s">
        <v>403</v>
      </c>
      <c r="K2" s="173">
        <f aca="true" t="shared" si="5" ref="K2:K19">$C$23</f>
        <v>8</v>
      </c>
      <c r="L2" s="5" t="s">
        <v>404</v>
      </c>
      <c r="M2" s="173">
        <v>1</v>
      </c>
      <c r="N2" s="5" t="s">
        <v>405</v>
      </c>
      <c r="O2" s="173">
        <f aca="true" t="shared" si="6" ref="O2:O19">H2</f>
        <v>139.6</v>
      </c>
      <c r="P2" s="5" t="s">
        <v>406</v>
      </c>
      <c r="Q2" s="174"/>
      <c r="R2" s="175"/>
    </row>
    <row r="3" spans="1:16" ht="38.25">
      <c r="A3" s="240"/>
      <c r="B3" s="169" t="s">
        <v>407</v>
      </c>
      <c r="C3" s="170">
        <v>1200</v>
      </c>
      <c r="D3" s="171">
        <v>9106</v>
      </c>
      <c r="E3" s="8">
        <f t="shared" si="0"/>
        <v>7.588333333333333</v>
      </c>
      <c r="F3" s="172">
        <f t="shared" si="1"/>
        <v>7</v>
      </c>
      <c r="G3" s="8">
        <f t="shared" si="2"/>
        <v>0.5883333333333329</v>
      </c>
      <c r="H3" s="8">
        <f t="shared" si="3"/>
        <v>282.3999999999998</v>
      </c>
      <c r="I3" s="173">
        <f t="shared" si="4"/>
        <v>7</v>
      </c>
      <c r="J3" s="5" t="s">
        <v>403</v>
      </c>
      <c r="K3" s="173">
        <f t="shared" si="5"/>
        <v>8</v>
      </c>
      <c r="L3" s="5" t="s">
        <v>404</v>
      </c>
      <c r="M3" s="173">
        <v>1</v>
      </c>
      <c r="N3" s="5" t="s">
        <v>405</v>
      </c>
      <c r="O3" s="173">
        <f t="shared" si="6"/>
        <v>282.3999999999998</v>
      </c>
      <c r="P3" s="5" t="s">
        <v>406</v>
      </c>
    </row>
    <row r="4" spans="1:16" ht="38.25">
      <c r="A4" s="240"/>
      <c r="B4" s="169" t="s">
        <v>408</v>
      </c>
      <c r="C4" s="170">
        <v>450</v>
      </c>
      <c r="D4" s="171">
        <v>1195</v>
      </c>
      <c r="E4" s="8">
        <f t="shared" si="0"/>
        <v>2.6555555555555554</v>
      </c>
      <c r="F4" s="172">
        <f t="shared" si="1"/>
        <v>2</v>
      </c>
      <c r="G4" s="8">
        <f t="shared" si="2"/>
        <v>0.6555555555555554</v>
      </c>
      <c r="H4" s="8">
        <f t="shared" si="3"/>
        <v>314.66666666666663</v>
      </c>
      <c r="I4" s="173">
        <f t="shared" si="4"/>
        <v>2</v>
      </c>
      <c r="J4" s="5" t="s">
        <v>403</v>
      </c>
      <c r="K4" s="173">
        <f t="shared" si="5"/>
        <v>8</v>
      </c>
      <c r="L4" s="5" t="s">
        <v>404</v>
      </c>
      <c r="M4" s="173">
        <v>1</v>
      </c>
      <c r="N4" s="5" t="s">
        <v>405</v>
      </c>
      <c r="O4" s="173">
        <f t="shared" si="6"/>
        <v>314.66666666666663</v>
      </c>
      <c r="P4" s="5" t="s">
        <v>406</v>
      </c>
    </row>
    <row r="5" spans="1:16" ht="38.25">
      <c r="A5" s="240"/>
      <c r="B5" s="176" t="s">
        <v>409</v>
      </c>
      <c r="C5" s="170">
        <v>2500</v>
      </c>
      <c r="D5" s="171">
        <v>258</v>
      </c>
      <c r="E5" s="8">
        <f t="shared" si="0"/>
        <v>0.1032</v>
      </c>
      <c r="F5" s="172">
        <f t="shared" si="1"/>
        <v>0</v>
      </c>
      <c r="G5" s="8">
        <f t="shared" si="2"/>
        <v>0.1032</v>
      </c>
      <c r="H5" s="8">
        <f t="shared" si="3"/>
        <v>49.536</v>
      </c>
      <c r="I5" s="173">
        <f t="shared" si="4"/>
        <v>0</v>
      </c>
      <c r="J5" s="5" t="s">
        <v>403</v>
      </c>
      <c r="K5" s="173">
        <f t="shared" si="5"/>
        <v>8</v>
      </c>
      <c r="L5" s="5" t="s">
        <v>404</v>
      </c>
      <c r="M5" s="173">
        <v>1</v>
      </c>
      <c r="N5" s="5" t="s">
        <v>405</v>
      </c>
      <c r="O5" s="173">
        <f t="shared" si="6"/>
        <v>49.536</v>
      </c>
      <c r="P5" s="5" t="s">
        <v>406</v>
      </c>
    </row>
    <row r="6" spans="1:16" ht="38.25">
      <c r="A6" s="240"/>
      <c r="B6" s="169" t="s">
        <v>410</v>
      </c>
      <c r="C6" s="170">
        <v>1800</v>
      </c>
      <c r="D6" s="171">
        <v>0</v>
      </c>
      <c r="E6" s="8">
        <f t="shared" si="0"/>
        <v>0</v>
      </c>
      <c r="F6" s="172">
        <f t="shared" si="1"/>
        <v>0</v>
      </c>
      <c r="G6" s="8">
        <f t="shared" si="2"/>
        <v>0</v>
      </c>
      <c r="H6" s="8">
        <f t="shared" si="3"/>
        <v>0</v>
      </c>
      <c r="I6" s="173">
        <f t="shared" si="4"/>
        <v>0</v>
      </c>
      <c r="J6" s="5" t="s">
        <v>403</v>
      </c>
      <c r="K6" s="173">
        <f t="shared" si="5"/>
        <v>8</v>
      </c>
      <c r="L6" s="5" t="s">
        <v>404</v>
      </c>
      <c r="M6" s="173">
        <v>1</v>
      </c>
      <c r="N6" s="5" t="s">
        <v>405</v>
      </c>
      <c r="O6" s="173">
        <f t="shared" si="6"/>
        <v>0</v>
      </c>
      <c r="P6" s="5" t="s">
        <v>406</v>
      </c>
    </row>
    <row r="7" spans="1:16" ht="38.25">
      <c r="A7" s="240"/>
      <c r="B7" s="176" t="s">
        <v>411</v>
      </c>
      <c r="C7" s="170">
        <v>1500</v>
      </c>
      <c r="D7" s="171">
        <v>2093.63</v>
      </c>
      <c r="E7" s="8">
        <f t="shared" si="0"/>
        <v>1.3957533333333334</v>
      </c>
      <c r="F7" s="172">
        <f t="shared" si="1"/>
        <v>1</v>
      </c>
      <c r="G7" s="8">
        <f t="shared" si="2"/>
        <v>0.3957533333333334</v>
      </c>
      <c r="H7" s="8">
        <f t="shared" si="3"/>
        <v>189.96160000000003</v>
      </c>
      <c r="I7" s="173">
        <f t="shared" si="4"/>
        <v>1</v>
      </c>
      <c r="J7" s="5" t="s">
        <v>403</v>
      </c>
      <c r="K7" s="173">
        <f t="shared" si="5"/>
        <v>8</v>
      </c>
      <c r="L7" s="5" t="s">
        <v>404</v>
      </c>
      <c r="M7" s="173">
        <v>1</v>
      </c>
      <c r="N7" s="5" t="s">
        <v>405</v>
      </c>
      <c r="O7" s="173">
        <f t="shared" si="6"/>
        <v>189.96160000000003</v>
      </c>
      <c r="P7" s="5" t="s">
        <v>406</v>
      </c>
    </row>
    <row r="8" spans="1:16" ht="38.25">
      <c r="A8" s="240"/>
      <c r="B8" s="177" t="s">
        <v>412</v>
      </c>
      <c r="C8" s="170">
        <v>300</v>
      </c>
      <c r="D8" s="171">
        <v>762</v>
      </c>
      <c r="E8" s="8">
        <f t="shared" si="0"/>
        <v>2.54</v>
      </c>
      <c r="F8" s="172">
        <f t="shared" si="1"/>
        <v>2</v>
      </c>
      <c r="G8" s="8">
        <f t="shared" si="2"/>
        <v>0.54</v>
      </c>
      <c r="H8" s="8">
        <f t="shared" si="3"/>
        <v>259.20000000000005</v>
      </c>
      <c r="I8" s="173">
        <f t="shared" si="4"/>
        <v>2</v>
      </c>
      <c r="J8" s="5" t="s">
        <v>403</v>
      </c>
      <c r="K8" s="173">
        <f t="shared" si="5"/>
        <v>8</v>
      </c>
      <c r="L8" s="5" t="s">
        <v>404</v>
      </c>
      <c r="M8" s="173">
        <v>1</v>
      </c>
      <c r="N8" s="5" t="s">
        <v>405</v>
      </c>
      <c r="O8" s="173">
        <f t="shared" si="6"/>
        <v>259.20000000000005</v>
      </c>
      <c r="P8" s="5" t="s">
        <v>406</v>
      </c>
    </row>
    <row r="9" spans="1:16" ht="38.25">
      <c r="A9" s="240" t="s">
        <v>413</v>
      </c>
      <c r="B9" s="176" t="s">
        <v>414</v>
      </c>
      <c r="C9" s="170">
        <v>2700</v>
      </c>
      <c r="D9" s="171">
        <v>1454.81</v>
      </c>
      <c r="E9" s="8">
        <f t="shared" si="0"/>
        <v>0.5388185185185185</v>
      </c>
      <c r="F9" s="172">
        <f t="shared" si="1"/>
        <v>0</v>
      </c>
      <c r="G9" s="8">
        <f t="shared" si="2"/>
        <v>0.5388185185185185</v>
      </c>
      <c r="H9" s="8">
        <f t="shared" si="3"/>
        <v>258.6328888888889</v>
      </c>
      <c r="I9" s="173">
        <f t="shared" si="4"/>
        <v>0</v>
      </c>
      <c r="J9" s="5" t="s">
        <v>403</v>
      </c>
      <c r="K9" s="173">
        <f t="shared" si="5"/>
        <v>8</v>
      </c>
      <c r="L9" s="5" t="s">
        <v>404</v>
      </c>
      <c r="M9" s="173">
        <v>1</v>
      </c>
      <c r="N9" s="5" t="s">
        <v>405</v>
      </c>
      <c r="O9" s="173">
        <f t="shared" si="6"/>
        <v>258.6328888888889</v>
      </c>
      <c r="P9" s="5" t="s">
        <v>406</v>
      </c>
    </row>
    <row r="10" spans="1:16" ht="38.25">
      <c r="A10" s="240"/>
      <c r="B10" s="176" t="s">
        <v>415</v>
      </c>
      <c r="C10" s="170">
        <v>9000</v>
      </c>
      <c r="D10" s="171">
        <v>0</v>
      </c>
      <c r="E10" s="8">
        <f t="shared" si="0"/>
        <v>0</v>
      </c>
      <c r="F10" s="172">
        <f t="shared" si="1"/>
        <v>0</v>
      </c>
      <c r="G10" s="8">
        <f t="shared" si="2"/>
        <v>0</v>
      </c>
      <c r="H10" s="8">
        <f t="shared" si="3"/>
        <v>0</v>
      </c>
      <c r="I10" s="173">
        <f t="shared" si="4"/>
        <v>0</v>
      </c>
      <c r="J10" s="5" t="s">
        <v>403</v>
      </c>
      <c r="K10" s="173">
        <f t="shared" si="5"/>
        <v>8</v>
      </c>
      <c r="L10" s="5" t="s">
        <v>404</v>
      </c>
      <c r="M10" s="173">
        <v>1</v>
      </c>
      <c r="N10" s="5" t="s">
        <v>405</v>
      </c>
      <c r="O10" s="173">
        <f t="shared" si="6"/>
        <v>0</v>
      </c>
      <c r="P10" s="5" t="s">
        <v>406</v>
      </c>
    </row>
    <row r="11" spans="1:16" ht="38.25">
      <c r="A11" s="240"/>
      <c r="B11" s="176" t="s">
        <v>416</v>
      </c>
      <c r="C11" s="170">
        <v>2700</v>
      </c>
      <c r="D11" s="171">
        <v>0</v>
      </c>
      <c r="E11" s="8">
        <f t="shared" si="0"/>
        <v>0</v>
      </c>
      <c r="F11" s="172">
        <f t="shared" si="1"/>
        <v>0</v>
      </c>
      <c r="G11" s="8">
        <f t="shared" si="2"/>
        <v>0</v>
      </c>
      <c r="H11" s="8">
        <f t="shared" si="3"/>
        <v>0</v>
      </c>
      <c r="I11" s="173">
        <f t="shared" si="4"/>
        <v>0</v>
      </c>
      <c r="J11" s="5" t="s">
        <v>403</v>
      </c>
      <c r="K11" s="173">
        <f t="shared" si="5"/>
        <v>8</v>
      </c>
      <c r="L11" s="5" t="s">
        <v>404</v>
      </c>
      <c r="M11" s="173">
        <v>1</v>
      </c>
      <c r="N11" s="5" t="s">
        <v>405</v>
      </c>
      <c r="O11" s="173">
        <f t="shared" si="6"/>
        <v>0</v>
      </c>
      <c r="P11" s="5" t="s">
        <v>406</v>
      </c>
    </row>
    <row r="12" spans="1:16" ht="38.25">
      <c r="A12" s="240"/>
      <c r="B12" s="176" t="s">
        <v>417</v>
      </c>
      <c r="C12" s="170">
        <v>2700</v>
      </c>
      <c r="D12" s="171">
        <v>0</v>
      </c>
      <c r="E12" s="8">
        <f t="shared" si="0"/>
        <v>0</v>
      </c>
      <c r="F12" s="172">
        <f t="shared" si="1"/>
        <v>0</v>
      </c>
      <c r="G12" s="8">
        <f t="shared" si="2"/>
        <v>0</v>
      </c>
      <c r="H12" s="8">
        <f t="shared" si="3"/>
        <v>0</v>
      </c>
      <c r="I12" s="173">
        <f t="shared" si="4"/>
        <v>0</v>
      </c>
      <c r="J12" s="5" t="s">
        <v>403</v>
      </c>
      <c r="K12" s="173">
        <f t="shared" si="5"/>
        <v>8</v>
      </c>
      <c r="L12" s="5" t="s">
        <v>404</v>
      </c>
      <c r="M12" s="173">
        <v>1</v>
      </c>
      <c r="N12" s="5" t="s">
        <v>405</v>
      </c>
      <c r="O12" s="173">
        <f t="shared" si="6"/>
        <v>0</v>
      </c>
      <c r="P12" s="5" t="s">
        <v>406</v>
      </c>
    </row>
    <row r="13" spans="1:16" ht="38.25">
      <c r="A13" s="240"/>
      <c r="B13" s="176" t="s">
        <v>418</v>
      </c>
      <c r="C13" s="170">
        <v>2700</v>
      </c>
      <c r="D13" s="171">
        <v>0</v>
      </c>
      <c r="E13" s="8">
        <f t="shared" si="0"/>
        <v>0</v>
      </c>
      <c r="F13" s="172">
        <f t="shared" si="1"/>
        <v>0</v>
      </c>
      <c r="G13" s="8">
        <f t="shared" si="2"/>
        <v>0</v>
      </c>
      <c r="H13" s="8">
        <f t="shared" si="3"/>
        <v>0</v>
      </c>
      <c r="I13" s="173">
        <f t="shared" si="4"/>
        <v>0</v>
      </c>
      <c r="J13" s="5" t="s">
        <v>403</v>
      </c>
      <c r="K13" s="173">
        <f t="shared" si="5"/>
        <v>8</v>
      </c>
      <c r="L13" s="5" t="s">
        <v>404</v>
      </c>
      <c r="M13" s="173">
        <v>1</v>
      </c>
      <c r="N13" s="5" t="s">
        <v>405</v>
      </c>
      <c r="O13" s="173">
        <f t="shared" si="6"/>
        <v>0</v>
      </c>
      <c r="P13" s="5" t="s">
        <v>406</v>
      </c>
    </row>
    <row r="14" spans="1:16" ht="38.25">
      <c r="A14" s="240"/>
      <c r="B14" s="176" t="s">
        <v>419</v>
      </c>
      <c r="C14" s="170">
        <v>100000</v>
      </c>
      <c r="D14" s="171">
        <v>0</v>
      </c>
      <c r="E14" s="8">
        <f t="shared" si="0"/>
        <v>0</v>
      </c>
      <c r="F14" s="172">
        <f t="shared" si="1"/>
        <v>0</v>
      </c>
      <c r="G14" s="8">
        <f t="shared" si="2"/>
        <v>0</v>
      </c>
      <c r="H14" s="8">
        <f t="shared" si="3"/>
        <v>0</v>
      </c>
      <c r="I14" s="173">
        <f t="shared" si="4"/>
        <v>0</v>
      </c>
      <c r="J14" s="5" t="s">
        <v>403</v>
      </c>
      <c r="K14" s="173">
        <f t="shared" si="5"/>
        <v>8</v>
      </c>
      <c r="L14" s="5" t="s">
        <v>404</v>
      </c>
      <c r="M14" s="173">
        <v>1</v>
      </c>
      <c r="N14" s="5" t="s">
        <v>405</v>
      </c>
      <c r="O14" s="173">
        <f t="shared" si="6"/>
        <v>0</v>
      </c>
      <c r="P14" s="5" t="s">
        <v>406</v>
      </c>
    </row>
    <row r="15" spans="1:16" ht="38.25" customHeight="1">
      <c r="A15" s="331" t="s">
        <v>420</v>
      </c>
      <c r="B15" s="176" t="s">
        <v>421</v>
      </c>
      <c r="C15" s="170">
        <v>160</v>
      </c>
      <c r="D15" s="171">
        <v>471</v>
      </c>
      <c r="E15" s="8">
        <f>(D15/C15)*(16/188.76)</f>
        <v>0.24952320406865866</v>
      </c>
      <c r="F15" s="172">
        <f t="shared" si="1"/>
        <v>0</v>
      </c>
      <c r="G15" s="8">
        <f t="shared" si="2"/>
        <v>0.24952320406865866</v>
      </c>
      <c r="H15" s="8">
        <f t="shared" si="3"/>
        <v>119.77113795295615</v>
      </c>
      <c r="I15" s="173">
        <f t="shared" si="4"/>
        <v>0</v>
      </c>
      <c r="J15" s="5" t="s">
        <v>403</v>
      </c>
      <c r="K15" s="173">
        <f t="shared" si="5"/>
        <v>8</v>
      </c>
      <c r="L15" s="5" t="s">
        <v>404</v>
      </c>
      <c r="M15" s="173">
        <v>1</v>
      </c>
      <c r="N15" s="5" t="s">
        <v>405</v>
      </c>
      <c r="O15" s="173">
        <f t="shared" si="6"/>
        <v>119.77113795295615</v>
      </c>
      <c r="P15" s="5" t="s">
        <v>406</v>
      </c>
    </row>
    <row r="16" spans="1:16" ht="38.25">
      <c r="A16" s="331"/>
      <c r="B16" s="176" t="s">
        <v>422</v>
      </c>
      <c r="C16" s="170">
        <v>760</v>
      </c>
      <c r="D16" s="171">
        <v>1520</v>
      </c>
      <c r="E16" s="8">
        <f>(D16/C16)*(16/188.76)</f>
        <v>0.169527442254715</v>
      </c>
      <c r="F16" s="172">
        <f t="shared" si="1"/>
        <v>0</v>
      </c>
      <c r="G16" s="8">
        <f t="shared" si="2"/>
        <v>0.169527442254715</v>
      </c>
      <c r="H16" s="8">
        <f t="shared" si="3"/>
        <v>81.3731722822632</v>
      </c>
      <c r="I16" s="173">
        <f t="shared" si="4"/>
        <v>0</v>
      </c>
      <c r="J16" s="5" t="s">
        <v>403</v>
      </c>
      <c r="K16" s="173">
        <f t="shared" si="5"/>
        <v>8</v>
      </c>
      <c r="L16" s="5" t="s">
        <v>404</v>
      </c>
      <c r="M16" s="173">
        <v>1</v>
      </c>
      <c r="N16" s="5" t="s">
        <v>405</v>
      </c>
      <c r="O16" s="173">
        <f t="shared" si="6"/>
        <v>81.3731722822632</v>
      </c>
      <c r="P16" s="5" t="s">
        <v>406</v>
      </c>
    </row>
    <row r="17" spans="1:16" ht="38.25">
      <c r="A17" s="331"/>
      <c r="B17" s="176" t="s">
        <v>423</v>
      </c>
      <c r="C17" s="170">
        <v>380</v>
      </c>
      <c r="D17" s="171">
        <v>2265</v>
      </c>
      <c r="E17" s="8">
        <f>(D17/C17)*(16/188.76)</f>
        <v>0.5052363904038546</v>
      </c>
      <c r="F17" s="172">
        <f t="shared" si="1"/>
        <v>0</v>
      </c>
      <c r="G17" s="8">
        <f t="shared" si="2"/>
        <v>0.5052363904038546</v>
      </c>
      <c r="H17" s="8">
        <f t="shared" si="3"/>
        <v>242.5134673938502</v>
      </c>
      <c r="I17" s="173">
        <f t="shared" si="4"/>
        <v>0</v>
      </c>
      <c r="J17" s="5" t="s">
        <v>403</v>
      </c>
      <c r="K17" s="173">
        <f t="shared" si="5"/>
        <v>8</v>
      </c>
      <c r="L17" s="5" t="s">
        <v>404</v>
      </c>
      <c r="M17" s="173">
        <v>1</v>
      </c>
      <c r="N17" s="5" t="s">
        <v>405</v>
      </c>
      <c r="O17" s="173">
        <f t="shared" si="6"/>
        <v>242.5134673938502</v>
      </c>
      <c r="P17" s="5" t="s">
        <v>406</v>
      </c>
    </row>
    <row r="18" spans="1:16" ht="38.25">
      <c r="A18" s="176" t="s">
        <v>424</v>
      </c>
      <c r="B18" s="176" t="s">
        <v>425</v>
      </c>
      <c r="C18" s="178">
        <v>160</v>
      </c>
      <c r="D18" s="171">
        <v>0</v>
      </c>
      <c r="E18" s="8">
        <f>(D18/C18)*(8/1132.6)</f>
        <v>0</v>
      </c>
      <c r="F18" s="172">
        <f t="shared" si="1"/>
        <v>0</v>
      </c>
      <c r="G18" s="8">
        <f t="shared" si="2"/>
        <v>0</v>
      </c>
      <c r="H18" s="8">
        <f t="shared" si="3"/>
        <v>0</v>
      </c>
      <c r="I18" s="173">
        <f t="shared" si="4"/>
        <v>0</v>
      </c>
      <c r="J18" s="5" t="s">
        <v>403</v>
      </c>
      <c r="K18" s="173">
        <f t="shared" si="5"/>
        <v>8</v>
      </c>
      <c r="L18" s="5" t="s">
        <v>404</v>
      </c>
      <c r="M18" s="173">
        <v>1</v>
      </c>
      <c r="N18" s="5" t="s">
        <v>405</v>
      </c>
      <c r="O18" s="173">
        <f t="shared" si="6"/>
        <v>0</v>
      </c>
      <c r="P18" s="5" t="s">
        <v>406</v>
      </c>
    </row>
    <row r="19" spans="1:16" ht="38.25">
      <c r="A19" s="176" t="s">
        <v>426</v>
      </c>
      <c r="B19" s="176" t="s">
        <v>427</v>
      </c>
      <c r="C19" s="179">
        <v>450</v>
      </c>
      <c r="D19" s="171">
        <v>81</v>
      </c>
      <c r="E19" s="8">
        <f>0</f>
        <v>0</v>
      </c>
      <c r="F19" s="172">
        <f t="shared" si="1"/>
        <v>0</v>
      </c>
      <c r="G19" s="8">
        <f t="shared" si="2"/>
        <v>0</v>
      </c>
      <c r="H19" s="8">
        <f t="shared" si="3"/>
        <v>0</v>
      </c>
      <c r="I19" s="173">
        <f t="shared" si="4"/>
        <v>0</v>
      </c>
      <c r="J19" s="5" t="s">
        <v>403</v>
      </c>
      <c r="K19" s="173">
        <f t="shared" si="5"/>
        <v>8</v>
      </c>
      <c r="L19" s="5" t="s">
        <v>404</v>
      </c>
      <c r="M19" s="173">
        <v>1</v>
      </c>
      <c r="N19" s="5" t="s">
        <v>405</v>
      </c>
      <c r="O19" s="173">
        <f t="shared" si="6"/>
        <v>0</v>
      </c>
      <c r="P19" s="5" t="s">
        <v>406</v>
      </c>
    </row>
    <row r="20" spans="1:16" s="129" customFormat="1" ht="15.75">
      <c r="A20" s="180"/>
      <c r="B20" s="180"/>
      <c r="C20" s="181"/>
      <c r="D20" s="182">
        <f>SUM(D2:D19)</f>
        <v>19555.440000000002</v>
      </c>
      <c r="E20" s="183"/>
      <c r="F20" s="172"/>
      <c r="G20" s="183"/>
      <c r="H20" s="183"/>
      <c r="I20" s="184"/>
      <c r="J20" s="181"/>
      <c r="K20" s="184"/>
      <c r="L20" s="181"/>
      <c r="M20" s="184"/>
      <c r="N20" s="181"/>
      <c r="O20" s="184"/>
      <c r="P20" s="181"/>
    </row>
    <row r="21" spans="1:18" s="109" customFormat="1" ht="52.5" customHeight="1">
      <c r="A21" s="387" t="s">
        <v>428</v>
      </c>
      <c r="B21" s="387"/>
      <c r="C21" s="387"/>
      <c r="D21" s="387"/>
      <c r="E21" s="8">
        <f>SUM(E2:E19)</f>
        <v>16.0367811108013</v>
      </c>
      <c r="F21" s="185">
        <f>TRUNC(E21,0)</f>
        <v>16</v>
      </c>
      <c r="G21" s="8">
        <f>E21-F21</f>
        <v>0.03678111080130009</v>
      </c>
      <c r="H21" s="8">
        <f>G21*$C$23*60</f>
        <v>17.654933184624042</v>
      </c>
      <c r="I21" s="186">
        <f>F21</f>
        <v>16</v>
      </c>
      <c r="J21" s="5" t="s">
        <v>403</v>
      </c>
      <c r="K21" s="173">
        <f>$C$23</f>
        <v>8</v>
      </c>
      <c r="L21" s="5" t="s">
        <v>404</v>
      </c>
      <c r="M21" s="186">
        <v>1</v>
      </c>
      <c r="N21" s="5" t="s">
        <v>405</v>
      </c>
      <c r="O21" s="186">
        <f>H21</f>
        <v>17.654933184624042</v>
      </c>
      <c r="P21" s="5" t="s">
        <v>406</v>
      </c>
      <c r="Q21" s="187" t="s">
        <v>429</v>
      </c>
      <c r="R21" s="188"/>
    </row>
    <row r="22" spans="1:16" s="109" customFormat="1" ht="15.75">
      <c r="A22" s="180"/>
      <c r="B22" s="180"/>
      <c r="C22" s="180"/>
      <c r="D22" s="189"/>
      <c r="E22" s="190"/>
      <c r="F22" s="191"/>
      <c r="G22" s="190"/>
      <c r="H22" s="190"/>
      <c r="I22" s="192"/>
      <c r="J22" s="181"/>
      <c r="K22" s="184"/>
      <c r="L22" s="181"/>
      <c r="M22" s="184"/>
      <c r="N22" s="181"/>
      <c r="O22" s="192"/>
      <c r="P22" s="181"/>
    </row>
    <row r="23" spans="1:14" ht="20.25" customHeight="1">
      <c r="A23" s="388" t="s">
        <v>430</v>
      </c>
      <c r="B23" s="388"/>
      <c r="C23" s="193">
        <v>8</v>
      </c>
      <c r="D23" s="194" t="s">
        <v>431</v>
      </c>
      <c r="E23" s="389" t="s">
        <v>432</v>
      </c>
      <c r="F23" s="389"/>
      <c r="G23" s="389"/>
      <c r="H23" s="389"/>
      <c r="I23" s="389"/>
      <c r="J23" s="389"/>
      <c r="K23" s="389"/>
      <c r="L23" s="390">
        <f>F21+G21</f>
        <v>16.0367811108013</v>
      </c>
      <c r="M23" s="390"/>
      <c r="N23" s="390"/>
    </row>
    <row r="24" spans="1:8" ht="15">
      <c r="A24" s="195"/>
      <c r="B24" s="195"/>
      <c r="C24" s="196"/>
      <c r="D24" s="196"/>
      <c r="E24" s="196"/>
      <c r="F24" s="197"/>
      <c r="G24" s="196"/>
      <c r="H24" s="196"/>
    </row>
    <row r="25" spans="1:16" ht="18.75" customHeight="1">
      <c r="A25" s="384" t="s">
        <v>433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</row>
    <row r="26" spans="1:16" s="197" customFormat="1" ht="18.75" customHeight="1">
      <c r="A26" s="384" t="s">
        <v>434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</row>
    <row r="27" spans="1:19" s="197" customFormat="1" ht="35.25" customHeight="1">
      <c r="A27" s="385" t="s">
        <v>435</v>
      </c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198"/>
      <c r="R27" s="198"/>
      <c r="S27" s="198"/>
    </row>
    <row r="28" spans="1:19" s="197" customFormat="1" ht="36" customHeight="1">
      <c r="A28" s="385" t="s">
        <v>436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198"/>
      <c r="R28" s="198"/>
      <c r="S28" s="198"/>
    </row>
    <row r="29" spans="1:19" s="197" customFormat="1" ht="36" customHeight="1">
      <c r="A29" s="385" t="s">
        <v>437</v>
      </c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198"/>
      <c r="R29" s="198"/>
      <c r="S29" s="198"/>
    </row>
    <row r="30" spans="1:19" s="197" customFormat="1" ht="18.75" customHeight="1">
      <c r="A30" s="385"/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198"/>
      <c r="R30" s="198"/>
      <c r="S30" s="198"/>
    </row>
    <row r="31" spans="1:19" s="197" customFormat="1" ht="18.75" customHeight="1">
      <c r="A31" s="380" t="s">
        <v>438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198"/>
      <c r="R31" s="198"/>
      <c r="S31" s="198"/>
    </row>
    <row r="32" spans="1:19" s="197" customFormat="1" ht="36" customHeight="1">
      <c r="A32" s="380" t="s">
        <v>439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198"/>
      <c r="R32" s="198"/>
      <c r="S32" s="198"/>
    </row>
    <row r="33" spans="1:19" s="197" customFormat="1" ht="18">
      <c r="A33" s="381" t="s">
        <v>440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198"/>
      <c r="R33" s="198"/>
      <c r="S33" s="198"/>
    </row>
    <row r="34" spans="1:19" s="197" customFormat="1" ht="18">
      <c r="A34" s="382" t="s">
        <v>441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198"/>
      <c r="R34" s="198"/>
      <c r="S34" s="198"/>
    </row>
    <row r="35" spans="1:19" s="197" customFormat="1" ht="36" customHeight="1">
      <c r="A35" s="383" t="s">
        <v>442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198"/>
      <c r="R35" s="198"/>
      <c r="S35" s="198"/>
    </row>
    <row r="36" spans="1:19" s="197" customFormat="1" ht="18">
      <c r="A36" s="198"/>
      <c r="B36" s="198"/>
      <c r="C36" s="198"/>
      <c r="D36" s="198"/>
      <c r="E36" s="199"/>
      <c r="F36" s="198"/>
      <c r="G36" s="199"/>
      <c r="H36" s="199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</row>
    <row r="37" spans="1:19" s="197" customFormat="1" ht="18">
      <c r="A37" s="198"/>
      <c r="B37" s="198"/>
      <c r="C37" s="198"/>
      <c r="D37" s="198"/>
      <c r="E37" s="199"/>
      <c r="F37" s="198"/>
      <c r="G37" s="199"/>
      <c r="H37" s="199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</row>
    <row r="38" spans="1:19" s="197" customFormat="1" ht="18.75" customHeight="1">
      <c r="A38" s="378" t="s">
        <v>443</v>
      </c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</row>
    <row r="39" spans="1:19" s="197" customFormat="1" ht="18">
      <c r="A39" s="198"/>
      <c r="B39" s="198"/>
      <c r="C39" s="198"/>
      <c r="D39" s="198"/>
      <c r="E39" s="199"/>
      <c r="F39" s="198"/>
      <c r="G39" s="199"/>
      <c r="H39" s="199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</row>
    <row r="40" spans="1:19" s="197" customFormat="1" ht="36" customHeight="1">
      <c r="A40" s="378" t="s">
        <v>444</v>
      </c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</row>
    <row r="41" spans="1:19" s="197" customFormat="1" ht="18">
      <c r="A41" s="198"/>
      <c r="B41" s="198"/>
      <c r="C41" s="198"/>
      <c r="D41" s="198"/>
      <c r="E41" s="199"/>
      <c r="F41" s="198"/>
      <c r="G41" s="199"/>
      <c r="H41" s="199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</row>
    <row r="42" spans="1:19" s="197" customFormat="1" ht="18.75" customHeight="1">
      <c r="A42" s="378" t="s">
        <v>445</v>
      </c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</row>
    <row r="43" spans="1:19" s="197" customFormat="1" ht="18.75" customHeight="1">
      <c r="A43" s="378" t="s">
        <v>446</v>
      </c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198"/>
      <c r="Q43" s="198"/>
      <c r="R43" s="198"/>
      <c r="S43" s="198"/>
    </row>
    <row r="44" spans="1:19" s="197" customFormat="1" ht="35.25" customHeight="1">
      <c r="A44" s="379" t="s">
        <v>447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198"/>
      <c r="R44" s="198"/>
      <c r="S44" s="198"/>
    </row>
  </sheetData>
  <sheetProtection selectLockedCells="1" selectUnlockedCells="1"/>
  <mergeCells count="24">
    <mergeCell ref="I1:P1"/>
    <mergeCell ref="A2:A8"/>
    <mergeCell ref="A9:A14"/>
    <mergeCell ref="A15:A17"/>
    <mergeCell ref="A21:D21"/>
    <mergeCell ref="A23:B23"/>
    <mergeCell ref="E23:K23"/>
    <mergeCell ref="L23:N23"/>
    <mergeCell ref="A25:P25"/>
    <mergeCell ref="A26:P26"/>
    <mergeCell ref="A27:P27"/>
    <mergeCell ref="A28:P28"/>
    <mergeCell ref="A29:P29"/>
    <mergeCell ref="A30:P30"/>
    <mergeCell ref="A40:S40"/>
    <mergeCell ref="A42:S42"/>
    <mergeCell ref="A43:O43"/>
    <mergeCell ref="A44:P44"/>
    <mergeCell ref="A31:P31"/>
    <mergeCell ref="A32:P32"/>
    <mergeCell ref="A33:P33"/>
    <mergeCell ref="A34:P34"/>
    <mergeCell ref="A35:P35"/>
    <mergeCell ref="A38:S38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3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Edinete Rita</cp:lastModifiedBy>
  <cp:lastPrinted>2019-10-16T13:43:05Z</cp:lastPrinted>
  <dcterms:modified xsi:type="dcterms:W3CDTF">2019-10-16T19:39:27Z</dcterms:modified>
  <cp:category/>
  <cp:version/>
  <cp:contentType/>
  <cp:contentStatus/>
</cp:coreProperties>
</file>