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te\Desktop\"/>
    </mc:Choice>
  </mc:AlternateContent>
  <xr:revisionPtr revIDLastSave="0" documentId="13_ncr:1_{5E73239D-A990-45F5-A49C-ABF6EF4CBE5B}" xr6:coauthVersionLast="47" xr6:coauthVersionMax="47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06H" sheetId="2" r:id="rId1"/>
    <sheet name="08H" sheetId="3" r:id="rId2"/>
    <sheet name="INSUMOS" sheetId="6" r:id="rId3"/>
    <sheet name="RESUMO" sheetId="1" r:id="rId4"/>
  </sheets>
  <definedNames>
    <definedName name="_xlnm.Print_Area" localSheetId="0">'06H'!$A$1:$I$192</definedName>
    <definedName name="_xlnm.Print_Area" localSheetId="1">'08H'!$A$1:$I$197</definedName>
    <definedName name="_xlnm.Print_Area" localSheetId="2">INSUMOS!$A$1:$I$50</definedName>
    <definedName name="_xlnm.Print_Area" localSheetId="3">RESUMO!$A$1:$I$27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9" i="6" l="1"/>
  <c r="I39" i="6" s="1"/>
  <c r="H38" i="6"/>
  <c r="I38" i="6" s="1"/>
  <c r="I33" i="6"/>
  <c r="I34" i="6" s="1"/>
  <c r="I45" i="6" s="1"/>
  <c r="H27" i="6"/>
  <c r="I27" i="6" s="1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G184" i="3"/>
  <c r="I182" i="3"/>
  <c r="H191" i="3" s="1"/>
  <c r="H164" i="3"/>
  <c r="I134" i="3"/>
  <c r="I82" i="3"/>
  <c r="I78" i="3"/>
  <c r="H59" i="3"/>
  <c r="H65" i="3" s="1"/>
  <c r="I39" i="3"/>
  <c r="I40" i="3" s="1"/>
  <c r="I38" i="3"/>
  <c r="I37" i="3"/>
  <c r="I73" i="3" s="1"/>
  <c r="I87" i="3" s="1"/>
  <c r="I96" i="3" s="1"/>
  <c r="G179" i="2"/>
  <c r="I177" i="2"/>
  <c r="H186" i="2" s="1"/>
  <c r="H159" i="2"/>
  <c r="I129" i="2"/>
  <c r="I77" i="2"/>
  <c r="I72" i="2"/>
  <c r="I82" i="2" s="1"/>
  <c r="I91" i="2" s="1"/>
  <c r="H58" i="2"/>
  <c r="H64" i="2" s="1"/>
  <c r="I40" i="2"/>
  <c r="I39" i="2"/>
  <c r="H30" i="2"/>
  <c r="I40" i="6" l="1"/>
  <c r="I46" i="6" s="1"/>
  <c r="I136" i="2" s="1"/>
  <c r="I100" i="2"/>
  <c r="I48" i="2"/>
  <c r="I140" i="3"/>
  <c r="H45" i="6"/>
  <c r="I135" i="2"/>
  <c r="I63" i="2"/>
  <c r="I59" i="2"/>
  <c r="I57" i="2"/>
  <c r="I47" i="2"/>
  <c r="I49" i="2" s="1"/>
  <c r="I89" i="2" s="1"/>
  <c r="I169" i="2"/>
  <c r="I101" i="2"/>
  <c r="B108" i="2"/>
  <c r="I99" i="2"/>
  <c r="I61" i="2"/>
  <c r="I62" i="2"/>
  <c r="I96" i="2"/>
  <c r="I56" i="2"/>
  <c r="I60" i="2"/>
  <c r="I28" i="6"/>
  <c r="I29" i="6" s="1"/>
  <c r="I44" i="6" s="1"/>
  <c r="H28" i="6"/>
  <c r="I41" i="3"/>
  <c r="H46" i="6" l="1"/>
  <c r="I141" i="3"/>
  <c r="I97" i="2"/>
  <c r="I102" i="2" s="1"/>
  <c r="B113" i="3"/>
  <c r="I104" i="3"/>
  <c r="I105" i="3" s="1"/>
  <c r="I174" i="3"/>
  <c r="I48" i="3"/>
  <c r="I103" i="3"/>
  <c r="I49" i="3"/>
  <c r="I134" i="2"/>
  <c r="I137" i="2" s="1"/>
  <c r="I173" i="2" s="1"/>
  <c r="H44" i="6"/>
  <c r="I47" i="6"/>
  <c r="H47" i="6" s="1"/>
  <c r="I139" i="3"/>
  <c r="I142" i="3" s="1"/>
  <c r="I178" i="3" s="1"/>
  <c r="I64" i="2"/>
  <c r="I90" i="2" s="1"/>
  <c r="I92" i="2"/>
  <c r="I98" i="2"/>
  <c r="I58" i="2"/>
  <c r="H108" i="2" l="1"/>
  <c r="I171" i="2"/>
  <c r="I170" i="2"/>
  <c r="E108" i="2"/>
  <c r="I50" i="3"/>
  <c r="I106" i="3"/>
  <c r="I101" i="3"/>
  <c r="I117" i="2"/>
  <c r="I108" i="2" l="1"/>
  <c r="I118" i="2" s="1"/>
  <c r="I94" i="3"/>
  <c r="I57" i="3"/>
  <c r="I58" i="3"/>
  <c r="I61" i="3"/>
  <c r="I59" i="3"/>
  <c r="I62" i="3"/>
  <c r="I63" i="3"/>
  <c r="I64" i="3"/>
  <c r="I60" i="3"/>
  <c r="I102" i="3"/>
  <c r="I107" i="3"/>
  <c r="I115" i="2"/>
  <c r="I109" i="2"/>
  <c r="I116" i="2" l="1"/>
  <c r="I119" i="2" s="1"/>
  <c r="I128" i="2" s="1"/>
  <c r="I130" i="2" s="1"/>
  <c r="I114" i="2"/>
  <c r="I113" i="2"/>
  <c r="I176" i="3"/>
  <c r="H113" i="3"/>
  <c r="I65" i="3"/>
  <c r="I95" i="3" l="1"/>
  <c r="I97" i="3" s="1"/>
  <c r="I122" i="3"/>
  <c r="I172" i="2"/>
  <c r="I174" i="2" s="1"/>
  <c r="I143" i="2"/>
  <c r="I144" i="2" s="1"/>
  <c r="I145" i="2" s="1"/>
  <c r="I146" i="2" s="1"/>
  <c r="I147" i="2" l="1"/>
  <c r="E113" i="3"/>
  <c r="I113" i="3" s="1"/>
  <c r="I175" i="3"/>
  <c r="I156" i="2" l="1"/>
  <c r="I150" i="2"/>
  <c r="I151" i="2"/>
  <c r="I118" i="3"/>
  <c r="I121" i="3"/>
  <c r="I114" i="3"/>
  <c r="I123" i="3"/>
  <c r="I119" i="3"/>
  <c r="I120" i="3"/>
  <c r="I159" i="2" l="1"/>
  <c r="I157" i="2"/>
  <c r="I175" i="2" s="1"/>
  <c r="I176" i="2" s="1"/>
  <c r="I124" i="3"/>
  <c r="I133" i="3" s="1"/>
  <c r="I135" i="3" s="1"/>
  <c r="I177" i="3" l="1"/>
  <c r="I179" i="3" s="1"/>
  <c r="I148" i="3"/>
  <c r="I149" i="3" s="1"/>
  <c r="I150" i="3" s="1"/>
  <c r="I151" i="3" s="1"/>
  <c r="I152" i="3" s="1"/>
  <c r="I178" i="2"/>
  <c r="G181" i="2" s="1"/>
  <c r="C25" i="1"/>
  <c r="E25" i="1" s="1"/>
  <c r="G25" i="1" s="1"/>
  <c r="I156" i="3" l="1"/>
  <c r="I155" i="3"/>
  <c r="I161" i="3"/>
  <c r="I25" i="1"/>
  <c r="I164" i="3" l="1"/>
  <c r="I162" i="3"/>
  <c r="I180" i="3" s="1"/>
  <c r="I181" i="3" s="1"/>
  <c r="C26" i="1" l="1"/>
  <c r="E26" i="1" s="1"/>
  <c r="G26" i="1" s="1"/>
  <c r="I183" i="3"/>
  <c r="G186" i="3" s="1"/>
  <c r="I26" i="1" l="1"/>
  <c r="I27" i="1" s="1"/>
  <c r="G27" i="1"/>
</calcChain>
</file>

<file path=xl/sharedStrings.xml><?xml version="1.0" encoding="utf-8"?>
<sst xmlns="http://schemas.openxmlformats.org/spreadsheetml/2006/main" count="628" uniqueCount="248">
  <si>
    <t>Ministério da Educação</t>
  </si>
  <si>
    <t>Secretaria de Educação Tecnológica</t>
  </si>
  <si>
    <t>Instituto Federal de Educação, Ciência e Tecnologia do Rio Grande do Sul - IFRS</t>
  </si>
  <si>
    <t>Campus Rio Grande</t>
  </si>
  <si>
    <r>
      <rPr>
        <b/>
        <sz val="14"/>
        <color rgb="FF800080"/>
        <rFont val="Arial"/>
        <family val="2"/>
        <charset val="1"/>
      </rPr>
      <t xml:space="preserve">Portaria - Regime de Tributação: </t>
    </r>
    <r>
      <rPr>
        <b/>
        <sz val="14"/>
        <color rgb="FF0000FF"/>
        <rFont val="Arial"/>
        <family val="2"/>
        <charset val="1"/>
      </rPr>
      <t>Lucro Real</t>
    </r>
  </si>
  <si>
    <t>Planilha de Custos e Formação de Preços</t>
  </si>
  <si>
    <t>Nº do processo:</t>
  </si>
  <si>
    <t>Licitação nº:</t>
  </si>
  <si>
    <t>Dia: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</si>
  <si>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</si>
  <si>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</si>
  <si>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</si>
  <si>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</si>
  <si>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</si>
  <si>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Rio Grande/RS</t>
  </si>
  <si>
    <t>C</t>
  </si>
  <si>
    <t>Ano do Acordo, Convenção ou Dissídio Coletivo</t>
  </si>
  <si>
    <t>SEEAC/RS  - RS000051/2021</t>
  </si>
  <si>
    <t>D</t>
  </si>
  <si>
    <t>Classificação Brasileira de Ocupações (CBO)</t>
  </si>
  <si>
    <t>5174 - Porteiro</t>
  </si>
  <si>
    <t>Tipo de serviço (A)</t>
  </si>
  <si>
    <t>Valor por empregado (B)</t>
  </si>
  <si>
    <t>Valor por posto (D) = (B x C)</t>
  </si>
  <si>
    <t>Qtd postos (E)</t>
  </si>
  <si>
    <t>Valor total serviço (F) = (D x E)</t>
  </si>
  <si>
    <t>Nº de Meses do Contrato</t>
  </si>
  <si>
    <t>Valor Global dos Serviços p/ Posto</t>
  </si>
  <si>
    <t>Porteiro - 6 horas Diurno</t>
  </si>
  <si>
    <t>Porteiro - 8 horas c/ Adicional Noturno</t>
  </si>
  <si>
    <t>Valor Mensal dos Serviços</t>
  </si>
  <si>
    <t>Valor Global dos Serviços</t>
  </si>
  <si>
    <r>
      <rPr>
        <b/>
        <sz val="13"/>
        <color rgb="FF800080"/>
        <rFont val="Arial"/>
        <family val="2"/>
        <charset val="1"/>
      </rPr>
      <t xml:space="preserve">PORTARIA - Regime de Tributação: </t>
    </r>
    <r>
      <rPr>
        <b/>
        <sz val="13"/>
        <color rgb="FF0000FF"/>
        <rFont val="Arial"/>
        <family val="2"/>
        <charset val="1"/>
      </rPr>
      <t>Lucro Real</t>
    </r>
  </si>
  <si>
    <t>Com Conta Vinculada</t>
  </si>
  <si>
    <t>04 Postos  - Porteiro Diuno: 30 horas Semanais: Segunda à Sexta</t>
  </si>
  <si>
    <t>E</t>
  </si>
  <si>
    <t>Número de meses de execução contratual</t>
  </si>
  <si>
    <t>IDENTIFICAÇÃO DO SERVIÇO</t>
  </si>
  <si>
    <r>
      <rPr>
        <b/>
        <sz val="15"/>
        <rFont val="Arial"/>
        <family val="2"/>
        <charset val="1"/>
      </rPr>
      <t xml:space="preserve">1. MÓDULOS  </t>
    </r>
    <r>
      <rPr>
        <b/>
        <sz val="12"/>
        <rFont val="Arial"/>
        <family val="2"/>
        <charset val="1"/>
      </rPr>
      <t xml:space="preserve">Mão de obra -  </t>
    </r>
    <r>
      <rPr>
        <b/>
        <sz val="11"/>
        <rFont val="Arial"/>
        <family val="2"/>
        <charset val="1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</si>
  <si>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</si>
  <si>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</si>
  <si>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>Portaria - 30hs/Semanais</t>
  </si>
  <si>
    <t>Data-Base da Categoria (dia/mês/ano)</t>
  </si>
  <si>
    <t>1º de janeiro de 2021</t>
  </si>
  <si>
    <t>Salário Normativo da Categoria Profissional - para a jornada de 44 h/sem</t>
  </si>
  <si>
    <t>Salário Normativo da Categoria Profissional - para a jornada de 30h/sem</t>
  </si>
  <si>
    <t>Quantidade de Funcionários por Posto</t>
  </si>
  <si>
    <t>Quantidade de Postos</t>
  </si>
  <si>
    <t>Nota 1:  Deverá ser elaborado um quadro para cada tipo de serviço.</t>
  </si>
  <si>
    <t>Nota 2: A planilha será calculada considerando o valor mensal do empregado</t>
  </si>
  <si>
    <t>Módulo 1: Composição da Remuneração</t>
  </si>
  <si>
    <t xml:space="preserve">Composição da Remuneração </t>
  </si>
  <si>
    <t>Percentual
(R$)</t>
  </si>
  <si>
    <t xml:space="preserve">Valor
(R$) </t>
  </si>
  <si>
    <t>Salário-Base    (valor para somente 1 servente de limpeza) para a jornada de 30 horas semanais Cálculo do valor: (30/6)x30xR$(SB/220) – Cláusula 5ª CCT 2021/2021</t>
  </si>
  <si>
    <r>
      <rPr>
        <b/>
        <sz val="10"/>
        <color rgb="FFFF0000"/>
        <rFont val="Arial"/>
        <family val="2"/>
        <charset val="1"/>
      </rPr>
      <t>OBSERVAÇÃO: DEVERÁ SER ZERADA NO MÊS EM QUE O TITULAR GOZAR FÉRIAS</t>
    </r>
    <r>
      <rPr>
        <b/>
        <sz val="10"/>
        <rFont val="Arial"/>
        <family val="2"/>
        <charset val="1"/>
      </rPr>
      <t xml:space="preserve">                              </t>
    </r>
  </si>
  <si>
    <t>Total</t>
  </si>
  <si>
    <t>Nota1:  O Módulo 1 refere-se ao valor mensal devido ao empregado pela prestação do serviço no período de 12 meses.</t>
  </si>
  <si>
    <t>Módulo 2 – Encargos e Benefícios Anuais, Mensais e Diários</t>
  </si>
  <si>
    <t>Submódulo 2.1 – 13º (décimo terceiro) Salário e Adicional de Férias</t>
  </si>
  <si>
    <t>2.1</t>
  </si>
  <si>
    <t>13º (décimo terceiro) Salário e Adicional de Férias</t>
  </si>
  <si>
    <t>Valor (R$)</t>
  </si>
  <si>
    <t>13º (décimo terceiro) Salário  (Cálculo do valor = Rem/12)</t>
  </si>
  <si>
    <r>
      <rPr>
        <sz val="10"/>
        <rFont val="Arial"/>
        <family val="2"/>
        <charset val="1"/>
      </rPr>
      <t xml:space="preserve">Adicional de Férias </t>
    </r>
    <r>
      <rPr>
        <sz val="11"/>
        <rFont val="Arial"/>
        <family val="2"/>
        <charset val="1"/>
      </rPr>
      <t xml:space="preserve"> (</t>
    </r>
    <r>
      <rPr>
        <sz val="10"/>
        <rFont val="Arial"/>
        <family val="2"/>
        <charset val="1"/>
      </rPr>
      <t>Cálculo do valor = [ (Rem/ 3) / 12])</t>
    </r>
  </si>
  <si>
    <t>Nota 1:  Como a planilha de custos e formação de preços é calculada mensalmente, provisiona-se proporcionalmente 1/12 (um doze avos) dos valores referentes à gratificação natalina e adicional de férias.</t>
  </si>
  <si>
    <t xml:space="preserve">
Nota 2:  O adicional de férias contido no Submódulo 2.1 corresponde a 1/3 (um terço) da remuneração que por sua vez é dividido por 12 (doze) conforme Nota 1 acima.</t>
  </si>
  <si>
    <r>
      <rPr>
        <b/>
        <sz val="11"/>
        <rFont val="Arial"/>
        <family val="2"/>
        <charset val="1"/>
      </rPr>
      <t>Submódulo 2.2 - Encargos Previdenciários (GPS), Fundo de Garantia por Tempo de Serviço (FGTS) e outras contribuições</t>
    </r>
    <r>
      <rPr>
        <b/>
        <sz val="11"/>
        <color rgb="FF0000FF"/>
        <rFont val="Arial"/>
        <family val="2"/>
        <charset val="1"/>
      </rPr>
      <t xml:space="preserve"> (Base de cálculo: Módulo 1 + Submódulo 2.1)</t>
    </r>
  </si>
  <si>
    <t>2.2</t>
  </si>
  <si>
    <t>GPS, FGTS e outras contribuições</t>
  </si>
  <si>
    <t>Percentual (%)</t>
  </si>
  <si>
    <t>Valor
 (R$)</t>
  </si>
  <si>
    <t>INSS</t>
  </si>
  <si>
    <t>Salário Educação</t>
  </si>
  <si>
    <r>
      <rPr>
        <sz val="10"/>
        <rFont val="Arial"/>
        <family val="2"/>
        <charset val="1"/>
      </rPr>
      <t xml:space="preserve">RAT x FAP
</t>
    </r>
    <r>
      <rPr>
        <sz val="8"/>
        <color rgb="FFFF0000"/>
        <rFont val="Arial"/>
        <family val="2"/>
        <charset val="1"/>
      </rPr>
      <t>Cálculo do valor: % do SAT x FAP (Fator Acidentário de Prevenção de cada empresa)</t>
    </r>
  </si>
  <si>
    <t>RAT =</t>
  </si>
  <si>
    <t xml:space="preserve"> FAP =</t>
  </si>
  <si>
    <t>SESC ou SESI</t>
  </si>
  <si>
    <t>SENAC ou SENAI</t>
  </si>
  <si>
    <t>F</t>
  </si>
  <si>
    <t>SEBRAE</t>
  </si>
  <si>
    <t>G</t>
  </si>
  <si>
    <t>INCRA</t>
  </si>
  <si>
    <t>H</t>
  </si>
  <si>
    <t>FGTS</t>
  </si>
  <si>
    <t>Nota 1: Os percentuais dos encargos previdenciários, do FGTS e demais contribuições são aqueles estabelecidos pela legislação vigente.</t>
  </si>
  <si>
    <t>Nota 2: O SAT a depender do grau de risco do serviço irá variar entre 1%, para risco leve, de 2% para risco médio, e de 3% para risco grave.</t>
  </si>
  <si>
    <t>Nota 3: Esses percentuais incidem sobre o Módulo 1, o Submódulo 2.1.</t>
  </si>
  <si>
    <t>Submódulo 2.3 – Benefícios Mensais e Diários</t>
  </si>
  <si>
    <t>2.3</t>
  </si>
  <si>
    <t>Benefícios Mensais e Diários</t>
  </si>
  <si>
    <t>Transporte - Cálculo do valor: [(2xVTx26 dias) – (6%xSB)]</t>
  </si>
  <si>
    <t xml:space="preserve">A.1) Valor da passagem do transporte coletivo no município de prestação dos serviços: </t>
  </si>
  <si>
    <t>A.2) Quantidade de passagens por dia por empregado:</t>
  </si>
  <si>
    <t>A.3) Quantidade de dias do mês de recebimento de passagens</t>
  </si>
  <si>
    <t>A.4) Participação do empregado em percentual do salário-base</t>
  </si>
  <si>
    <t>Auxílio-Refeição/Alimentação (Cálculo do valor = [(22xVA)x(1-0,19%)])</t>
  </si>
  <si>
    <t xml:space="preserve"> </t>
  </si>
  <si>
    <t xml:space="preserve">B.1) Valor do auxílio-alimentação (clausula 19ª da CCT 2021): </t>
  </si>
  <si>
    <t>B.2) Quantidade de dias do mês de recebimento de auxílio-lanche</t>
  </si>
  <si>
    <t>B.3) Participação do empregado em percentual sobre o auxílio-alimentação</t>
  </si>
  <si>
    <t xml:space="preserve">Plano de Benefício Familiar - Cláusula 29ª </t>
  </si>
  <si>
    <t xml:space="preserve">Total </t>
  </si>
  <si>
    <t>Nota 1: o valor informado deverá ser o custo real do insumo (descontado o valor eventualmente pago pelo empregado).</t>
  </si>
  <si>
    <t>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</si>
  <si>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</si>
  <si>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</si>
  <si>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t>13º (décimo terceiro) Salário, Férias e Adicional de Férias</t>
  </si>
  <si>
    <t>Módulo 3 - Provisão para Rescisão</t>
  </si>
  <si>
    <t>Provisão para Rescisão (do titular)</t>
  </si>
  <si>
    <t>Valor  (R$)</t>
  </si>
  <si>
    <r>
      <rPr>
        <sz val="10"/>
        <rFont val="Arial"/>
        <family val="2"/>
        <charset val="1"/>
      </rPr>
      <t>Aviso Prévio Indenizado -</t>
    </r>
    <r>
      <rPr>
        <sz val="8"/>
        <color rgb="FFFF0000"/>
        <rFont val="Arial"/>
        <family val="2"/>
        <charset val="1"/>
      </rPr>
      <t xml:space="preserve">  </t>
    </r>
    <r>
      <rPr>
        <sz val="8"/>
        <rFont val="Arial"/>
        <family val="2"/>
        <charset val="1"/>
      </rPr>
      <t xml:space="preserve">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período.</t>
    </r>
  </si>
  <si>
    <t>Incidência do FGTS sobre o Aviso Prévio Indenizado</t>
  </si>
  <si>
    <t>Multa do FGTS sobre o Aviso Prévio Indenizado= Cálculo do valor = [40%x8%x(Rem+13º+Férias+1/3xFérias)]x5% de rotatividade</t>
  </si>
  <si>
    <r>
      <rPr>
        <sz val="10"/>
        <rFont val="Arial"/>
        <family val="2"/>
        <charset val="1"/>
      </rPr>
      <t>Aviso Previo Trabalhado</t>
    </r>
    <r>
      <rPr>
        <sz val="10"/>
        <color rgb="FFFF0000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 xml:space="preserve">Cálculo do valor= [(Rem/30)x7]/12 meses do contratox100% dos empregados </t>
    </r>
    <r>
      <rPr>
        <sz val="8"/>
        <rFont val="Arial"/>
        <family val="2"/>
        <charset val="1"/>
      </rPr>
      <t>- ao final do contrato</t>
    </r>
    <r>
      <rPr>
        <sz val="10"/>
        <rFont val="Arial"/>
        <family val="2"/>
        <charset val="1"/>
      </rPr>
      <t xml:space="preserve"> acórdão do TCU nº 1.186/2017 - P.</t>
    </r>
  </si>
  <si>
    <t xml:space="preserve">Incidência de GPS, FGTS e outras contribuições sobre o Aviso Prévio Trabalhado         </t>
  </si>
  <si>
    <t>Multa do FGTS sobre o Aviso Prévio Trabalhado= Cálculo do valor = [40%x8%x(Rem+13º+Férias+1/3xFérias)]x100% dos empregados</t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</si>
  <si>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</si>
  <si>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</si>
  <si>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/>
        <sz val="11"/>
        <rFont val="Arial"/>
        <family val="2"/>
        <charset val="1"/>
      </rPr>
      <t>Base de cálculo para o Custo de Reposição do Profissional Ausente (substituto):</t>
    </r>
    <r>
      <rPr>
        <b/>
        <sz val="11"/>
        <color rgb="FF0000FF"/>
        <rFont val="Arial"/>
        <family val="2"/>
        <charset val="1"/>
      </rPr>
      <t xml:space="preserve"> BCCPA = MÓDULO 1 + MÓDULO 2 + MÓDULO 3 </t>
    </r>
    <r>
      <rPr>
        <b/>
        <sz val="11"/>
        <color rgb="FFFF0000"/>
        <rFont val="Arial"/>
        <family val="2"/>
        <charset val="1"/>
      </rPr>
      <t>- exceto o Afastamento Maternidade, pois que a Rem e o 13º são compensados pelo INSS</t>
    </r>
  </si>
  <si>
    <t>MÓD 1 =</t>
  </si>
  <si>
    <r>
      <rPr>
        <b/>
        <sz val="11"/>
        <color rgb="FF0000FF"/>
        <rFont val="Arial"/>
        <family val="2"/>
        <charset val="1"/>
      </rPr>
      <t xml:space="preserve">MÓD 2 = </t>
    </r>
    <r>
      <rPr>
        <b/>
        <sz val="10"/>
        <color rgb="FFFF0000"/>
        <rFont val="Arial"/>
        <family val="2"/>
        <charset val="1"/>
      </rPr>
      <t>(sem VA, VL e VT)</t>
    </r>
  </si>
  <si>
    <t>MÓD 3 =</t>
  </si>
  <si>
    <t>Custo diário = BCCPA/30=</t>
  </si>
  <si>
    <t xml:space="preserve">Submódulo 4.1 – Substituto nas Ausências Legais </t>
  </si>
  <si>
    <t>4.1</t>
  </si>
  <si>
    <t>Substituto nas Ausências Legais</t>
  </si>
  <si>
    <t>Substituto na cobertura de Férias = Cálculo do valor = BCCPA/12</t>
  </si>
  <si>
    <t>Substituto na cobertura de Ausências Legais = Cálculo do valor = [(BCCPA/30)x1dia]/12</t>
  </si>
  <si>
    <t>Substituto na cobertura de Licença-Paternidade = Cálculo do valor = (BCCPA/30)x5dias]/12}x1,5%</t>
  </si>
  <si>
    <t>Substituto na cobertura de Ausência por acidente de trabalho = Cálculo do valor  = {[(BCCPA/30)x15dias]/12}x0,78%</t>
  </si>
  <si>
    <r>
      <rPr>
        <sz val="10"/>
        <rFont val="Arial"/>
        <family val="2"/>
        <charset val="1"/>
      </rPr>
      <t xml:space="preserve">Substituto na cobertura de Afastamento Maternidade = </t>
    </r>
    <r>
      <rPr>
        <sz val="8.5"/>
        <rFont val="Arial"/>
        <family val="2"/>
        <charset val="1"/>
      </rPr>
      <t>Cálculo do valor = {[(MÓD1 + MÓD1 / 3)/12 + [(SUB2.2 + SUB2.3 - VA - VT+ MÓD3)]  x (4/12)} x 2%</t>
    </r>
  </si>
  <si>
    <t xml:space="preserve">Substituto na cobertura de Ausência por doença = Cálculo do valor = [(BCCPA)/30)x5dias]/12 </t>
  </si>
  <si>
    <t>Submódulo 4.2 – Substituto na Intrajornada</t>
  </si>
  <si>
    <t xml:space="preserve">4.2 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</si>
  <si>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</si>
  <si>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</si>
  <si>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</si>
  <si>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</si>
  <si>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</si>
  <si>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</si>
  <si>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</si>
  <si>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r>
      <rPr>
        <sz val="10"/>
        <rFont val="Arial"/>
        <family val="2"/>
        <charset val="1"/>
      </rPr>
      <t>Uniformes</t>
    </r>
    <r>
      <rPr>
        <sz val="10"/>
        <color rgb="FF0000FF"/>
        <rFont val="Arial"/>
        <family val="2"/>
        <charset val="1"/>
      </rPr>
      <t xml:space="preserve"> </t>
    </r>
  </si>
  <si>
    <r>
      <rPr>
        <sz val="10"/>
        <rFont val="Arial"/>
        <family val="2"/>
        <charset val="1"/>
      </rPr>
      <t>Materiais</t>
    </r>
    <r>
      <rPr>
        <sz val="10"/>
        <color rgb="FF0000FF"/>
        <rFont val="Arial"/>
        <family val="2"/>
        <charset val="1"/>
      </rPr>
      <t xml:space="preserve"> </t>
    </r>
  </si>
  <si>
    <r>
      <rPr>
        <sz val="10"/>
        <rFont val="Arial"/>
        <family val="2"/>
        <charset val="1"/>
      </rPr>
      <t>Equipamentos</t>
    </r>
    <r>
      <rPr>
        <sz val="10"/>
        <color rgb="FF0000FF"/>
        <rFont val="Arial"/>
        <family val="2"/>
        <charset val="1"/>
      </rPr>
      <t xml:space="preserve"> </t>
    </r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</si>
  <si>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</si>
  <si>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</si>
  <si>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</si>
  <si>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</si>
  <si>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</si>
  <si>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-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</si>
  <si>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</si>
  <si>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</si>
  <si>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</si>
  <si>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</si>
  <si>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</si>
  <si>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</si>
  <si>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sz val="10"/>
        <rFont val="Arial"/>
        <family val="2"/>
        <charset val="1"/>
      </rPr>
      <t xml:space="preserve">  a) Cofins  </t>
    </r>
    <r>
      <rPr>
        <sz val="10"/>
        <color rgb="FFFF0000"/>
        <rFont val="Arial"/>
        <family val="2"/>
        <charset val="1"/>
      </rPr>
      <t>(depende do regime de tributação - utilizada a hipótese de Lucro Real)</t>
    </r>
  </si>
  <si>
    <r>
      <rPr>
        <sz val="10"/>
        <rFont val="Arial"/>
        <family val="2"/>
        <charset val="1"/>
      </rPr>
      <t xml:space="preserve">  b) PIS </t>
    </r>
    <r>
      <rPr>
        <sz val="10"/>
        <color rgb="FFFF0000"/>
        <rFont val="Arial"/>
        <family val="2"/>
        <charset val="1"/>
      </rPr>
      <t>(depende do regime de tributação - utilizada a hipótese de Lucro Real)</t>
    </r>
  </si>
  <si>
    <r>
      <rPr>
        <sz val="10"/>
        <rFont val="Arial"/>
        <family val="2"/>
        <charset val="1"/>
      </rPr>
      <t xml:space="preserve"> c) IRPJ</t>
    </r>
    <r>
      <rPr>
        <sz val="10"/>
        <color rgb="FFFF0000"/>
        <rFont val="Arial"/>
        <family val="2"/>
        <charset val="1"/>
      </rPr>
      <t xml:space="preserve"> </t>
    </r>
    <r>
      <rPr>
        <sz val="10"/>
        <color rgb="FF0000FF"/>
        <rFont val="Arial"/>
        <family val="2"/>
        <charset val="1"/>
      </rPr>
      <t xml:space="preserve">- </t>
    </r>
    <r>
      <rPr>
        <sz val="10"/>
        <color rgb="FFFF0000"/>
        <rFont val="Arial"/>
        <family val="2"/>
        <charset val="1"/>
      </rPr>
      <t xml:space="preserve"> Em face dos Acórdãos TCU nºs 950/2007-P e 205/2018-P, o licitante não pode cotar expressamente este tributo.</t>
    </r>
  </si>
  <si>
    <r>
      <rPr>
        <sz val="10"/>
        <rFont val="Arial"/>
        <family val="2"/>
        <charset val="1"/>
      </rPr>
      <t xml:space="preserve"> d) CSLL </t>
    </r>
    <r>
      <rPr>
        <sz val="10"/>
        <color rgb="FF0000FF"/>
        <rFont val="Arial"/>
        <family val="2"/>
        <charset val="1"/>
      </rPr>
      <t xml:space="preserve">- </t>
    </r>
    <r>
      <rPr>
        <sz val="10"/>
        <color rgb="FFFF0000"/>
        <rFont val="Arial"/>
        <family val="2"/>
        <charset val="1"/>
      </rPr>
      <t xml:space="preserve"> Em face dos Acórdãos TCU nºs 950/2007-P e 205/2018-P, o licitante não pode cotar expressamente este tributo.</t>
    </r>
  </si>
  <si>
    <t>C.2   Tributos Estaduais (especificar)</t>
  </si>
  <si>
    <t>C.3   Tributos Municipais (especificar):</t>
  </si>
  <si>
    <t xml:space="preserve">  a) ISS (Anexo II, Lei Municipal de Rio Grande nº 6.822/2009)</t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</si>
  <si>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</si>
  <si>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</si>
  <si>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</si>
  <si>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</si>
  <si>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</si>
  <si>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</t>
  </si>
  <si>
    <t>Nota 2: O valor referente a tributos é obtido aplicando-se o percentual sobre o valor do faturamento.</t>
  </si>
  <si>
    <t>2. QUADRO-RESUMO DO CUSTO POR EMPREGADO</t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</si>
  <si>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</si>
  <si>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</si>
  <si>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</si>
  <si>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</si>
  <si>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</si>
  <si>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</si>
  <si>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</si>
  <si>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</si>
  <si>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>Qtd de Postos</t>
  </si>
  <si>
    <t>Valor mensal do serviço</t>
  </si>
  <si>
    <t>Número de meses do contrato</t>
  </si>
  <si>
    <r>
      <rPr>
        <b/>
        <sz val="14"/>
        <rFont val="Arial"/>
        <family val="2"/>
        <charset val="1"/>
      </rPr>
      <t xml:space="preserve">Valor global da proposta </t>
    </r>
    <r>
      <rPr>
        <b/>
        <sz val="10"/>
        <rFont val="Arial"/>
        <family val="2"/>
        <charset val="1"/>
      </rPr>
      <t>(valor mensal do serviço x nº de meses do contrato)</t>
    </r>
  </si>
  <si>
    <r>
      <rPr>
        <b/>
        <sz val="10"/>
        <rFont val="Arial"/>
        <family val="2"/>
        <charset val="1"/>
      </rPr>
      <t>QUANTIDADE DE PESSOAL ALOCADO NA EXECUÇÃO CONTRATUAL (item 6.2.e do Anexo VII da IN nº 5/2017  e</t>
    </r>
    <r>
      <rPr>
        <b/>
        <u val="double"/>
        <sz val="10"/>
        <rFont val="Arial"/>
        <family val="2"/>
        <charset val="1"/>
      </rPr>
      <t xml:space="preserve"> </t>
    </r>
    <r>
      <rPr>
        <b/>
        <sz val="10"/>
        <color rgb="FFFF0000"/>
        <rFont val="Arial"/>
        <family val="2"/>
        <charset val="1"/>
      </rPr>
      <t>item 6.5.4."e" do edital)</t>
    </r>
  </si>
  <si>
    <t>Tipo de Mão de Obra</t>
  </si>
  <si>
    <t>Quantidade de Pessoal</t>
  </si>
  <si>
    <r>
      <rPr>
        <b/>
        <sz val="10"/>
        <rFont val="Arial"/>
        <family val="2"/>
        <charset val="1"/>
      </rPr>
      <t xml:space="preserve">MATERIAIS, MÁQUINAS E EQUIPAMENTOS ALOCADOS NA EXECUÇÃO CONTRATUAL  (item 6.2.f do Anexo VII da IN nº 5/2017  e </t>
    </r>
    <r>
      <rPr>
        <b/>
        <sz val="10"/>
        <color rgb="FFFF0000"/>
        <rFont val="Arial"/>
        <family val="2"/>
        <charset val="1"/>
      </rPr>
      <t>item 6.5.4.f do edital</t>
    </r>
    <r>
      <rPr>
        <b/>
        <sz val="10"/>
        <rFont val="Arial"/>
        <family val="2"/>
        <charset val="1"/>
      </rPr>
      <t>)</t>
    </r>
  </si>
  <si>
    <t>Especificação dos Materiais/Máquinas/Equipamentos</t>
  </si>
  <si>
    <t xml:space="preserve">Quantidade </t>
  </si>
  <si>
    <r>
      <rPr>
        <b/>
        <sz val="13"/>
        <color rgb="FF800080"/>
        <rFont val="Arial"/>
        <family val="2"/>
        <charset val="1"/>
      </rPr>
      <t xml:space="preserve"> Regime de Tributação: </t>
    </r>
    <r>
      <rPr>
        <b/>
        <sz val="13"/>
        <color rgb="FF0000FF"/>
        <rFont val="Arial"/>
        <family val="2"/>
        <charset val="1"/>
      </rPr>
      <t>Lucro Real</t>
    </r>
  </si>
  <si>
    <t>03 Postos – Porteiro Notuno: 44 horas Semanais - Segunda à Sábado</t>
  </si>
  <si>
    <t>Portaria - 44hs/Semanais</t>
  </si>
  <si>
    <t xml:space="preserve">Nota 1:  Deverá ser elaborado um quadro para cada tipo de serviço.
</t>
  </si>
  <si>
    <t xml:space="preserve">
Nota 2: A planilha será calculada considerando o valor mensal do empregado</t>
  </si>
  <si>
    <t>Salário-Base    (valor para somente 1 porteiro) para a jornada de 44 horas semanais Cálculo do valor: (44/6)x30xR$(SB/220)</t>
  </si>
  <si>
    <t>Adicional Noturno - Cálculo: (HN *0,20 * 1h p/ dia * 20 dias)</t>
  </si>
  <si>
    <t>Hora Reduzida Noturna - Cálculo: (7,50 min * 20 dias= 150 mim/60min= 2,5 horas * R$ HN * 0,2)</t>
  </si>
  <si>
    <t>Reflexo RSR s/ Hora Reduzida Noturna - Cálculo: ((7,50 min * 20 dias= 150 mim/60min= 2,5 horas * R$ HN * 0,2)/25*5 &gt;Tabela Lei 605/49</t>
  </si>
  <si>
    <r>
      <rPr>
        <b/>
        <sz val="10"/>
        <color rgb="FFFF0000"/>
        <rFont val="Arial"/>
        <family val="2"/>
        <charset val="1"/>
      </rPr>
      <t>OBSERVAÇÃO: DEVERÁ SER ZERADA NO MÊS EM QUE O TITULAR GOZAR FÉRIAS</t>
    </r>
    <r>
      <rPr>
        <b/>
        <sz val="10"/>
        <rFont val="Arial"/>
        <family val="2"/>
        <charset val="1"/>
      </rPr>
      <t xml:space="preserve">               </t>
    </r>
  </si>
  <si>
    <t xml:space="preserve">B.1) Valor do auxílio-alimentação (clausula 18ª da CCT 2021): </t>
  </si>
  <si>
    <t>B.2) Quantidade de dias do mês de recebimento de auxílio-alimentação</t>
  </si>
  <si>
    <t>Auxílio- Lanche (Cálculo do valor = [(22xVA)x(1-0,19%)])</t>
  </si>
  <si>
    <t xml:space="preserve">B.1) Valor do auxílio lanche (clausula 19ª da CCT 2021): </t>
  </si>
  <si>
    <t>B.2) Quantidade de dias do mês de recebimento de auxílio lanche</t>
  </si>
  <si>
    <t>B.3) Participação do empregado em percentual sobre o auxílio lanche</t>
  </si>
  <si>
    <t>Materiais, Máquinas e Equipamentos Alocados na Execução Contratual</t>
  </si>
  <si>
    <t xml:space="preserve">Quantidade de Postos </t>
  </si>
  <si>
    <t>Anual</t>
  </si>
  <si>
    <t>Mensal</t>
  </si>
  <si>
    <t>Uniformes</t>
  </si>
  <si>
    <t>Insumos Diversos</t>
  </si>
  <si>
    <t>Itens</t>
  </si>
  <si>
    <t>Qtd Anual</t>
  </si>
  <si>
    <t>Valor Unitário</t>
  </si>
  <si>
    <t>Valor Total</t>
  </si>
  <si>
    <t>Valor Mensal p/ Posto</t>
  </si>
  <si>
    <t>Calça</t>
  </si>
  <si>
    <t>Camisa de mangas compridas</t>
  </si>
  <si>
    <t>Camisa de mangas curtas</t>
  </si>
  <si>
    <t>Sapatos</t>
  </si>
  <si>
    <t xml:space="preserve">Moletom / Blusa de frio </t>
  </si>
  <si>
    <t>Jaqueta forrada para dias frios</t>
  </si>
  <si>
    <t>Máscara descartável, caixa com 50 un.</t>
  </si>
  <si>
    <t>Crachá</t>
  </si>
  <si>
    <t>Subtotal</t>
  </si>
  <si>
    <t>Custo Mensal – Uniformes por Posto</t>
  </si>
  <si>
    <t>Materiais</t>
  </si>
  <si>
    <t>Livro de Ocorrências</t>
  </si>
  <si>
    <t>Custo Mensal – Materiais p/ Posto</t>
  </si>
  <si>
    <t>Equipamentos  p/ Posto</t>
  </si>
  <si>
    <t>Custo de Aquisição</t>
  </si>
  <si>
    <t>Taxa Mensal de Depreciação</t>
  </si>
  <si>
    <t>Rádio Comunicador</t>
  </si>
  <si>
    <t>Equipamento de Registro de Ponto</t>
  </si>
  <si>
    <t>Custo Mensal – Equipamentos p/ Posto</t>
  </si>
  <si>
    <t>Pregão  nº 45/2021</t>
  </si>
  <si>
    <t>23370.000415/2021-11</t>
  </si>
  <si>
    <t xml:space="preserve">Dia: </t>
  </si>
  <si>
    <t>???/12/2021</t>
  </si>
  <si>
    <t>??/12/2021</t>
  </si>
  <si>
    <t>Porteiro</t>
  </si>
  <si>
    <t>Equipamentos</t>
  </si>
  <si>
    <t>Quadro Resumo - Insumos Diversos p/ Posto</t>
  </si>
  <si>
    <t>Qtd</t>
  </si>
  <si>
    <t>Qtd empregados p/ posto ©</t>
  </si>
  <si>
    <t>Quadro Resumo</t>
  </si>
  <si>
    <r>
      <t xml:space="preserve">ANEXO </t>
    </r>
    <r>
      <rPr>
        <b/>
        <sz val="14"/>
        <rFont val="Arial"/>
        <family val="2"/>
      </rPr>
      <t>II</t>
    </r>
    <r>
      <rPr>
        <b/>
        <sz val="14"/>
        <rFont val="Arial"/>
        <family val="2"/>
        <charset val="1"/>
      </rPr>
      <t xml:space="preserve"> -  </t>
    </r>
    <r>
      <rPr>
        <b/>
        <sz val="14"/>
        <color rgb="FFFF0000"/>
        <rFont val="Arial"/>
        <family val="2"/>
        <charset val="1"/>
      </rPr>
      <t>do Pregão  nº 45/2021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</si>
</sst>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R$ &quot;* #,##0.00_);_(&quot;R$ &quot;* \(#,##0.00\);_(&quot;R$ &quot;* \-??_);_(@_)"/>
    <numFmt numFmtId="165" formatCode="d/m/yyyy"/>
    <numFmt numFmtId="166" formatCode="#,##0.00_ ;\-#,##0.00\ "/>
    <numFmt numFmtId="167" formatCode="_-&quot;R$ &quot;* #,##0.00_-;&quot;-R$ &quot;* #,##0.00_-;_-&quot;R$ &quot;* \-??_-;_-@_-"/>
    <numFmt numFmtId="168" formatCode="#,##0_ ;\-#,##0\ "/>
    <numFmt numFmtId="169" formatCode="&quot;R$ &quot;#,##0.00"/>
    <numFmt numFmtId="170" formatCode="0;[Red]\-0"/>
    <numFmt numFmtId="171" formatCode="0.0000"/>
    <numFmt numFmtId="172" formatCode="0.0000%"/>
    <numFmt numFmtId="173" formatCode="_-* #,##0.00_-;\-* #,##0.00_-;_-* \-??_-;_-@_-"/>
    <numFmt numFmtId="174" formatCode="#,##0.000000000"/>
  </numFmts>
  <fonts count="45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4"/>
      <color rgb="FF800080"/>
      <name val="Arial"/>
      <family val="2"/>
      <charset val="1"/>
    </font>
    <font>
      <b/>
      <sz val="14"/>
      <color rgb="FF0000FF"/>
      <name val="Arial"/>
      <family val="2"/>
      <charset val="1"/>
    </font>
    <font>
      <b/>
      <sz val="14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3"/>
      <color rgb="FF800080"/>
      <name val="Arial"/>
      <family val="2"/>
      <charset val="1"/>
    </font>
    <font>
      <b/>
      <sz val="13"/>
      <color rgb="FF0000FF"/>
      <name val="Arial"/>
      <family val="2"/>
      <charset val="1"/>
    </font>
    <font>
      <b/>
      <sz val="13"/>
      <color rgb="FFFF0000"/>
      <name val="Arial"/>
      <family val="2"/>
      <charset val="1"/>
    </font>
    <font>
      <b/>
      <sz val="13"/>
      <name val="Arial"/>
      <family val="2"/>
      <charset val="1"/>
    </font>
    <font>
      <b/>
      <sz val="15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8000"/>
      <name val="Arial"/>
      <family val="2"/>
      <charset val="1"/>
    </font>
    <font>
      <sz val="11"/>
      <name val="Arial"/>
      <family val="2"/>
      <charset val="1"/>
    </font>
    <font>
      <b/>
      <sz val="12"/>
      <color rgb="FF008080"/>
      <name val="Arial"/>
      <family val="2"/>
      <charset val="1"/>
    </font>
    <font>
      <b/>
      <sz val="10"/>
      <color rgb="FF008080"/>
      <name val="Arial"/>
      <family val="2"/>
      <charset val="1"/>
    </font>
    <font>
      <b/>
      <sz val="11"/>
      <color rgb="FF0000FF"/>
      <name val="Arial"/>
      <family val="2"/>
      <charset val="1"/>
    </font>
    <font>
      <sz val="8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</font>
    <font>
      <b/>
      <sz val="10"/>
      <color rgb="FF008000"/>
      <name val="Arial"/>
      <family val="2"/>
      <charset val="1"/>
    </font>
    <font>
      <sz val="8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8.5"/>
      <name val="Arial"/>
      <family val="2"/>
      <charset val="1"/>
    </font>
    <font>
      <sz val="10"/>
      <color rgb="FF0000FF"/>
      <name val="Arial"/>
      <family val="2"/>
      <charset val="1"/>
    </font>
    <font>
      <b/>
      <u val="double"/>
      <sz val="10"/>
      <name val="Arial"/>
      <family val="2"/>
      <charset val="1"/>
    </font>
    <font>
      <sz val="14"/>
      <color rgb="FF003366"/>
      <name val="Arial"/>
      <family val="2"/>
      <charset val="1"/>
    </font>
    <font>
      <sz val="10"/>
      <name val="Arial"/>
      <charset val="1"/>
    </font>
    <font>
      <sz val="10"/>
      <color rgb="FFC9211E"/>
      <name val="Arial"/>
      <charset val="1"/>
    </font>
    <font>
      <sz val="10"/>
      <color rgb="FF000000"/>
      <name val="Arial"/>
      <charset val="1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92D050"/>
      </patternFill>
    </fill>
    <fill>
      <patternFill patternType="solid">
        <fgColor rgb="FF92D050"/>
        <bgColor rgb="FF81D41A"/>
      </patternFill>
    </fill>
    <fill>
      <patternFill patternType="solid">
        <fgColor rgb="FFEEEEEE"/>
        <bgColor rgb="FFEAEAEA"/>
      </patternFill>
    </fill>
    <fill>
      <patternFill patternType="solid">
        <fgColor rgb="FFD9D9D9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AEAEA"/>
      </patternFill>
    </fill>
    <fill>
      <patternFill patternType="solid">
        <fgColor rgb="FFFFFF00"/>
        <bgColor rgb="FFEEEEEE"/>
      </patternFill>
    </fill>
    <fill>
      <patternFill patternType="solid">
        <fgColor rgb="FFFFFF99"/>
        <bgColor rgb="FFEAEAEA"/>
      </patternFill>
    </fill>
    <fill>
      <patternFill patternType="solid">
        <fgColor rgb="FFFFFF00"/>
        <bgColor rgb="FFD9D9D9"/>
      </patternFill>
    </fill>
    <fill>
      <patternFill patternType="solid">
        <fgColor rgb="FFFFFF99"/>
        <bgColor rgb="FFD9D9D9"/>
      </patternFill>
    </fill>
    <fill>
      <patternFill patternType="solid">
        <fgColor rgb="FFFFFF99"/>
        <bgColor rgb="FFFFFF00"/>
      </patternFill>
    </fill>
    <fill>
      <patternFill patternType="solid">
        <fgColor rgb="FF92D050"/>
        <bgColor rgb="FFEEEEEE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173" fontId="39" fillId="0" borderId="0" applyBorder="0" applyProtection="0"/>
    <xf numFmtId="167" fontId="39" fillId="0" borderId="0" applyBorder="0" applyProtection="0"/>
    <xf numFmtId="164" fontId="1" fillId="0" borderId="0" applyBorder="0" applyProtection="0"/>
    <xf numFmtId="0" fontId="1" fillId="0" borderId="0"/>
  </cellStyleXfs>
  <cellXfs count="288">
    <xf numFmtId="0" fontId="0" fillId="0" borderId="0" xfId="0"/>
    <xf numFmtId="0" fontId="2" fillId="0" borderId="0" xfId="0" applyFont="1"/>
    <xf numFmtId="0" fontId="3" fillId="0" borderId="0" xfId="4" applyFont="1" applyAlignment="1">
      <alignment horizontal="left" vertical="center" indent="6"/>
    </xf>
    <xf numFmtId="0" fontId="0" fillId="0" borderId="0" xfId="0" applyFont="1"/>
    <xf numFmtId="49" fontId="1" fillId="0" borderId="0" xfId="4" applyNumberFormat="1" applyFont="1" applyAlignment="1" applyProtection="1">
      <alignment horizontal="left" vertical="center" indent="6"/>
      <protection locked="0" hidden="1"/>
    </xf>
    <xf numFmtId="0" fontId="2" fillId="0" borderId="0" xfId="0" applyFont="1" applyAlignment="1">
      <alignment horizontal="left" indent="1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166" fontId="12" fillId="3" borderId="1" xfId="0" applyNumberFormat="1" applyFont="1" applyFill="1" applyBorder="1" applyAlignment="1">
      <alignment horizontal="center" vertical="center" wrapText="1"/>
    </xf>
    <xf numFmtId="168" fontId="12" fillId="3" borderId="1" xfId="0" applyNumberFormat="1" applyFont="1" applyFill="1" applyBorder="1" applyAlignment="1">
      <alignment horizontal="center" vertical="center" wrapText="1"/>
    </xf>
    <xf numFmtId="166" fontId="12" fillId="3" borderId="1" xfId="2" applyNumberFormat="1" applyFont="1" applyFill="1" applyBorder="1" applyAlignment="1" applyProtection="1">
      <alignment horizontal="center" vertical="center"/>
    </xf>
    <xf numFmtId="0" fontId="2" fillId="3" borderId="0" xfId="0" applyFont="1" applyFill="1"/>
    <xf numFmtId="0" fontId="3" fillId="0" borderId="0" xfId="4" applyFont="1" applyAlignment="1">
      <alignment vertical="center"/>
    </xf>
    <xf numFmtId="49" fontId="1" fillId="0" borderId="0" xfId="4" applyNumberFormat="1" applyFont="1" applyAlignment="1" applyProtection="1">
      <alignment vertical="center"/>
      <protection locked="0" hidden="1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0" fontId="3" fillId="0" borderId="0" xfId="0" applyFont="1"/>
    <xf numFmtId="0" fontId="9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9" fontId="9" fillId="7" borderId="1" xfId="0" applyNumberFormat="1" applyFont="1" applyFill="1" applyBorder="1" applyAlignment="1">
      <alignment horizontal="center" vertical="center" wrapText="1"/>
    </xf>
    <xf numFmtId="171" fontId="9" fillId="7" borderId="1" xfId="0" applyNumberFormat="1" applyFont="1" applyFill="1" applyBorder="1" applyAlignment="1">
      <alignment horizontal="center" vertical="center" wrapText="1"/>
    </xf>
    <xf numFmtId="10" fontId="9" fillId="7" borderId="1" xfId="0" applyNumberFormat="1" applyFont="1" applyFill="1" applyBorder="1" applyAlignment="1">
      <alignment horizontal="center" vertical="center"/>
    </xf>
    <xf numFmtId="172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right" vertical="center"/>
    </xf>
    <xf numFmtId="0" fontId="0" fillId="5" borderId="4" xfId="0" applyFill="1" applyBorder="1" applyAlignment="1">
      <alignment horizontal="right" vertical="center"/>
    </xf>
    <xf numFmtId="10" fontId="9" fillId="5" borderId="4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169" fontId="26" fillId="3" borderId="1" xfId="0" applyNumberFormat="1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/>
    </xf>
    <xf numFmtId="10" fontId="26" fillId="3" borderId="1" xfId="0" applyNumberFormat="1" applyFont="1" applyFill="1" applyBorder="1" applyAlignment="1">
      <alignment horizontal="center" vertical="center" wrapText="1"/>
    </xf>
    <xf numFmtId="169" fontId="26" fillId="8" borderId="1" xfId="0" applyNumberFormat="1" applyFont="1" applyFill="1" applyBorder="1" applyAlignment="1">
      <alignment horizontal="center" vertical="center"/>
    </xf>
    <xf numFmtId="3" fontId="27" fillId="8" borderId="1" xfId="0" applyNumberFormat="1" applyFont="1" applyFill="1" applyBorder="1" applyAlignment="1">
      <alignment horizontal="center" vertical="center"/>
    </xf>
    <xf numFmtId="10" fontId="26" fillId="8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3" borderId="0" xfId="0" applyFill="1"/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1" xfId="0" applyFont="1" applyBorder="1" applyAlignment="1">
      <alignment horizontal="center" vertical="center"/>
    </xf>
    <xf numFmtId="10" fontId="9" fillId="6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9" fillId="6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10" fontId="10" fillId="0" borderId="6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0" fillId="0" borderId="0" xfId="0" applyAlignment="1"/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4" applyFont="1" applyAlignment="1">
      <alignment horizontal="left" vertical="center"/>
    </xf>
    <xf numFmtId="49" fontId="1" fillId="0" borderId="0" xfId="4" applyNumberFormat="1" applyFont="1" applyAlignment="1" applyProtection="1">
      <alignment horizontal="left" vertical="center"/>
      <protection locked="0" hidden="1"/>
    </xf>
    <xf numFmtId="0" fontId="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0" fontId="3" fillId="0" borderId="0" xfId="0" applyFont="1" applyAlignment="1"/>
    <xf numFmtId="0" fontId="9" fillId="2" borderId="1" xfId="0" applyFont="1" applyFill="1" applyBorder="1" applyAlignment="1">
      <alignment horizontal="center" wrapText="1"/>
    </xf>
    <xf numFmtId="4" fontId="11" fillId="2" borderId="1" xfId="0" applyNumberFormat="1" applyFont="1" applyFill="1" applyBorder="1" applyAlignment="1"/>
    <xf numFmtId="2" fontId="1" fillId="0" borderId="1" xfId="0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69" fontId="26" fillId="4" borderId="1" xfId="0" applyNumberFormat="1" applyFont="1" applyFill="1" applyBorder="1" applyAlignment="1">
      <alignment horizontal="center" vertical="center"/>
    </xf>
    <xf numFmtId="3" fontId="27" fillId="4" borderId="1" xfId="0" applyNumberFormat="1" applyFont="1" applyFill="1" applyBorder="1" applyAlignment="1">
      <alignment horizontal="center" vertical="center"/>
    </xf>
    <xf numFmtId="10" fontId="26" fillId="4" borderId="1" xfId="0" applyNumberFormat="1" applyFont="1" applyFill="1" applyBorder="1" applyAlignment="1">
      <alignment horizontal="center" vertical="center"/>
    </xf>
    <xf numFmtId="10" fontId="26" fillId="3" borderId="1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6" fillId="0" borderId="0" xfId="0" applyFont="1" applyBorder="1" applyAlignment="1" applyProtection="1">
      <alignment vertical="center"/>
      <protection locked="0"/>
    </xf>
    <xf numFmtId="0" fontId="40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173" fontId="41" fillId="0" borderId="0" xfId="1" applyFont="1" applyBorder="1" applyAlignment="1" applyProtection="1">
      <alignment vertical="center"/>
    </xf>
    <xf numFmtId="0" fontId="42" fillId="0" borderId="0" xfId="0" applyFont="1" applyAlignment="1">
      <alignment vertical="center"/>
    </xf>
    <xf numFmtId="173" fontId="41" fillId="0" borderId="0" xfId="1" applyFont="1" applyBorder="1" applyAlignment="1" applyProtection="1">
      <alignment vertical="center" wrapText="1"/>
    </xf>
    <xf numFmtId="0" fontId="42" fillId="0" borderId="0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4" fontId="43" fillId="3" borderId="1" xfId="0" applyNumberFormat="1" applyFont="1" applyFill="1" applyBorder="1" applyAlignment="1">
      <alignment horizontal="center" vertical="center" wrapText="1"/>
    </xf>
    <xf numFmtId="4" fontId="41" fillId="3" borderId="1" xfId="0" applyNumberFormat="1" applyFont="1" applyFill="1" applyBorder="1" applyAlignment="1">
      <alignment horizontal="center" vertical="center"/>
    </xf>
    <xf numFmtId="174" fontId="43" fillId="3" borderId="1" xfId="0" applyNumberFormat="1" applyFont="1" applyFill="1" applyBorder="1" applyAlignment="1">
      <alignment horizontal="center" vertical="center" wrapText="1"/>
    </xf>
    <xf numFmtId="0" fontId="41" fillId="11" borderId="1" xfId="0" applyFont="1" applyFill="1" applyBorder="1" applyAlignment="1" applyProtection="1">
      <alignment horizontal="center" vertical="center" wrapText="1"/>
      <protection locked="0"/>
    </xf>
    <xf numFmtId="0" fontId="41" fillId="11" borderId="1" xfId="0" applyFont="1" applyFill="1" applyBorder="1" applyAlignment="1">
      <alignment horizontal="center" vertical="center" wrapText="1"/>
    </xf>
    <xf numFmtId="0" fontId="41" fillId="11" borderId="1" xfId="0" applyFont="1" applyFill="1" applyBorder="1" applyAlignment="1">
      <alignment horizontal="center" vertical="center"/>
    </xf>
    <xf numFmtId="0" fontId="41" fillId="10" borderId="1" xfId="0" applyFont="1" applyFill="1" applyBorder="1" applyAlignment="1" applyProtection="1">
      <alignment horizontal="center" vertical="center" wrapText="1"/>
      <protection locked="0"/>
    </xf>
    <xf numFmtId="0" fontId="41" fillId="13" borderId="1" xfId="0" applyFont="1" applyFill="1" applyBorder="1" applyAlignment="1">
      <alignment horizontal="center" vertical="center"/>
    </xf>
    <xf numFmtId="4" fontId="41" fillId="13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/>
    </xf>
    <xf numFmtId="166" fontId="12" fillId="14" borderId="1" xfId="0" applyNumberFormat="1" applyFont="1" applyFill="1" applyBorder="1" applyAlignment="1">
      <alignment horizontal="center" vertical="center" wrapText="1"/>
    </xf>
    <xf numFmtId="166" fontId="12" fillId="14" borderId="1" xfId="2" applyNumberFormat="1" applyFont="1" applyFill="1" applyBorder="1" applyAlignment="1" applyProtection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166" fontId="13" fillId="15" borderId="1" xfId="0" applyNumberFormat="1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166" fontId="13" fillId="16" borderId="1" xfId="0" applyNumberFormat="1" applyFont="1" applyFill="1" applyBorder="1" applyAlignment="1">
      <alignment horizontal="center" vertical="center" wrapText="1"/>
    </xf>
    <xf numFmtId="166" fontId="13" fillId="0" borderId="1" xfId="2" applyNumberFormat="1" applyFont="1" applyFill="1" applyBorder="1" applyAlignment="1" applyProtection="1">
      <alignment horizontal="center" vertical="center"/>
    </xf>
    <xf numFmtId="0" fontId="3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justify" wrapText="1"/>
    </xf>
    <xf numFmtId="0" fontId="9" fillId="5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top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" fontId="19" fillId="0" borderId="1" xfId="0" applyNumberFormat="1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49" fontId="9" fillId="5" borderId="1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169" fontId="8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31" fillId="5" borderId="1" xfId="0" applyFont="1" applyFill="1" applyBorder="1" applyAlignment="1">
      <alignment vertical="center"/>
    </xf>
    <xf numFmtId="0" fontId="2" fillId="0" borderId="2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5" borderId="6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left" vertical="center" wrapText="1"/>
    </xf>
    <xf numFmtId="4" fontId="1" fillId="8" borderId="1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left" vertical="center" wrapText="1"/>
    </xf>
    <xf numFmtId="0" fontId="27" fillId="8" borderId="3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1" fillId="2" borderId="6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" fillId="3" borderId="7" xfId="0" applyFont="1" applyFill="1" applyBorder="1"/>
    <xf numFmtId="0" fontId="19" fillId="2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justify" wrapText="1"/>
    </xf>
    <xf numFmtId="0" fontId="23" fillId="5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170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wrapText="1"/>
    </xf>
    <xf numFmtId="0" fontId="2" fillId="9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1" fillId="13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1" fillId="11" borderId="1" xfId="0" applyFont="1" applyFill="1" applyBorder="1" applyAlignment="1">
      <alignment horizontal="center" vertical="center"/>
    </xf>
    <xf numFmtId="0" fontId="41" fillId="13" borderId="1" xfId="0" applyFont="1" applyFill="1" applyBorder="1" applyAlignment="1" applyProtection="1">
      <alignment horizontal="center" vertical="center" wrapText="1"/>
      <protection locked="0"/>
    </xf>
    <xf numFmtId="0" fontId="43" fillId="3" borderId="1" xfId="0" applyFont="1" applyFill="1" applyBorder="1" applyAlignment="1" applyProtection="1">
      <alignment horizontal="left" vertical="center"/>
      <protection locked="0"/>
    </xf>
    <xf numFmtId="0" fontId="41" fillId="13" borderId="1" xfId="0" applyFont="1" applyFill="1" applyBorder="1" applyAlignment="1" applyProtection="1">
      <alignment horizontal="center" vertical="center"/>
      <protection locked="0"/>
    </xf>
    <xf numFmtId="0" fontId="41" fillId="1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left" vertical="center" wrapText="1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 wrapText="1"/>
      <protection locked="0"/>
    </xf>
    <xf numFmtId="166" fontId="12" fillId="14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168" fontId="12" fillId="3" borderId="1" xfId="2" applyNumberFormat="1" applyFont="1" applyFill="1" applyBorder="1" applyAlignment="1" applyProtection="1">
      <alignment horizontal="center" vertical="center" wrapText="1"/>
    </xf>
    <xf numFmtId="166" fontId="13" fillId="1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43" fillId="17" borderId="1" xfId="0" applyNumberFormat="1" applyFont="1" applyFill="1" applyBorder="1" applyAlignment="1">
      <alignment horizontal="center" vertical="center" wrapText="1"/>
    </xf>
  </cellXfs>
  <cellStyles count="5">
    <cellStyle name="Moeda" xfId="2" builtinId="4"/>
    <cellStyle name="Moeda 2" xfId="3" xr:uid="{00000000-0005-0000-0000-000006000000}"/>
    <cellStyle name="Normal" xfId="0" builtinId="0"/>
    <cellStyle name="Normal 2" xfId="4" xr:uid="{00000000-0005-0000-0000-000007000000}"/>
    <cellStyle name="Vírgula" xfId="1" builtinId="3"/>
  </cellStyles>
  <dxfs count="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EEEEEE"/>
      <rgbColor rgb="FFEAEAEA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259920</xdr:colOff>
      <xdr:row>0</xdr:row>
      <xdr:rowOff>16560</xdr:rowOff>
    </xdr:from>
    <xdr:to>
      <xdr:col>1</xdr:col>
      <xdr:colOff>766800</xdr:colOff>
      <xdr:row>4</xdr:row>
      <xdr:rowOff>121680</xdr:rowOff>
    </xdr:to>
    <xdr:pic>
      <xdr:nvPicPr>
        <xdr:cNvPr id="2" name="Imagem 1" descr="logo_reitori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9920" y="16560"/>
          <a:ext cx="1520640" cy="755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23040</xdr:colOff>
      <xdr:row>0</xdr:row>
      <xdr:rowOff>38160</xdr:rowOff>
    </xdr:from>
    <xdr:to>
      <xdr:col>1</xdr:col>
      <xdr:colOff>678960</xdr:colOff>
      <xdr:row>3</xdr:row>
      <xdr:rowOff>135360</xdr:rowOff>
    </xdr:to>
    <xdr:pic>
      <xdr:nvPicPr>
        <xdr:cNvPr id="2" name="Imagem 1" descr="logo_reitori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3040" y="38160"/>
          <a:ext cx="1574640" cy="761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23040</xdr:colOff>
      <xdr:row>0</xdr:row>
      <xdr:rowOff>38160</xdr:rowOff>
    </xdr:from>
    <xdr:to>
      <xdr:col>1</xdr:col>
      <xdr:colOff>1145685</xdr:colOff>
      <xdr:row>4</xdr:row>
      <xdr:rowOff>144885</xdr:rowOff>
    </xdr:to>
    <xdr:pic>
      <xdr:nvPicPr>
        <xdr:cNvPr id="2" name="Imagem 1" descr="logo_reitoria">
          <a:extLst>
            <a:ext uri="{FF2B5EF4-FFF2-40B4-BE49-F238E27FC236}">
              <a16:creationId xmlns:a16="http://schemas.microsoft.com/office/drawing/2014/main" id="{7734C9FF-468A-40FB-B243-9F7E6781FA5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3040" y="38160"/>
          <a:ext cx="1522695" cy="75442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23040</xdr:colOff>
      <xdr:row>0</xdr:row>
      <xdr:rowOff>38160</xdr:rowOff>
    </xdr:from>
    <xdr:to>
      <xdr:col>2</xdr:col>
      <xdr:colOff>222480</xdr:colOff>
      <xdr:row>4</xdr:row>
      <xdr:rowOff>14400</xdr:rowOff>
    </xdr:to>
    <xdr:pic>
      <xdr:nvPicPr>
        <xdr:cNvPr id="2" name="Imagem 1" descr="logo_reitor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3040" y="38160"/>
          <a:ext cx="1780560" cy="862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92"/>
  <sheetViews>
    <sheetView topLeftCell="A145" zoomScale="110" zoomScaleNormal="110" workbookViewId="0">
      <selection activeCell="H144" sqref="H144"/>
    </sheetView>
  </sheetViews>
  <sheetFormatPr defaultColWidth="11.42578125" defaultRowHeight="12.75" x14ac:dyDescent="0.2"/>
  <cols>
    <col min="1" max="1" width="14.42578125" style="1" customWidth="1"/>
    <col min="2" max="2" width="15.5703125" style="1" customWidth="1"/>
    <col min="3" max="3" width="13.140625" style="1" customWidth="1"/>
    <col min="4" max="4" width="10" style="1" customWidth="1"/>
    <col min="5" max="5" width="12.28515625" style="1" customWidth="1"/>
    <col min="6" max="6" width="11.140625" style="1" customWidth="1"/>
    <col min="7" max="7" width="11" style="1" customWidth="1"/>
    <col min="8" max="8" width="14" style="1" customWidth="1"/>
    <col min="9" max="9" width="16" style="13" customWidth="1"/>
    <col min="248" max="248" width="13.140625" customWidth="1"/>
    <col min="249" max="249" width="11" customWidth="1"/>
    <col min="250" max="250" width="13.140625" customWidth="1"/>
    <col min="251" max="251" width="10" customWidth="1"/>
    <col min="252" max="252" width="12.28515625" customWidth="1"/>
    <col min="253" max="253" width="11.140625" customWidth="1"/>
    <col min="254" max="254" width="9.7109375" customWidth="1"/>
    <col min="255" max="255" width="13.28515625" customWidth="1"/>
    <col min="256" max="256" width="14.42578125" customWidth="1"/>
    <col min="504" max="504" width="13.140625" customWidth="1"/>
    <col min="505" max="505" width="11" customWidth="1"/>
    <col min="506" max="506" width="13.140625" customWidth="1"/>
    <col min="507" max="507" width="10" customWidth="1"/>
    <col min="508" max="508" width="12.28515625" customWidth="1"/>
    <col min="509" max="509" width="11.140625" customWidth="1"/>
    <col min="510" max="510" width="9.7109375" customWidth="1"/>
    <col min="511" max="511" width="13.28515625" customWidth="1"/>
    <col min="512" max="512" width="14.42578125" customWidth="1"/>
    <col min="760" max="760" width="13.140625" customWidth="1"/>
    <col min="761" max="761" width="11" customWidth="1"/>
    <col min="762" max="762" width="13.140625" customWidth="1"/>
    <col min="763" max="763" width="10" customWidth="1"/>
    <col min="764" max="764" width="12.28515625" customWidth="1"/>
    <col min="765" max="765" width="11.140625" customWidth="1"/>
    <col min="766" max="766" width="9.7109375" customWidth="1"/>
    <col min="767" max="767" width="13.28515625" customWidth="1"/>
    <col min="768" max="768" width="14.42578125" customWidth="1"/>
    <col min="1016" max="1016" width="13.140625" customWidth="1"/>
    <col min="1017" max="1017" width="11" customWidth="1"/>
    <col min="1018" max="1018" width="13.140625" customWidth="1"/>
    <col min="1019" max="1019" width="10" customWidth="1"/>
    <col min="1020" max="1020" width="12.28515625" customWidth="1"/>
    <col min="1021" max="1021" width="11.140625" customWidth="1"/>
    <col min="1022" max="1022" width="9.7109375" customWidth="1"/>
    <col min="1023" max="1023" width="13.28515625" customWidth="1"/>
    <col min="1024" max="1024" width="14.42578125" customWidth="1"/>
  </cols>
  <sheetData>
    <row r="1" spans="1:9" x14ac:dyDescent="0.2">
      <c r="B1"/>
      <c r="C1" s="14" t="s">
        <v>0</v>
      </c>
    </row>
    <row r="2" spans="1:9" x14ac:dyDescent="0.2">
      <c r="B2"/>
      <c r="C2" s="14" t="s">
        <v>1</v>
      </c>
    </row>
    <row r="3" spans="1:9" x14ac:dyDescent="0.2">
      <c r="B3"/>
      <c r="C3" s="14" t="s">
        <v>2</v>
      </c>
    </row>
    <row r="4" spans="1:9" x14ac:dyDescent="0.2">
      <c r="B4"/>
      <c r="C4" s="15" t="s">
        <v>3</v>
      </c>
    </row>
    <row r="5" spans="1:9" x14ac:dyDescent="0.2">
      <c r="C5" s="5"/>
    </row>
    <row r="6" spans="1:9" ht="14.45" customHeight="1" x14ac:dyDescent="0.2">
      <c r="A6"/>
      <c r="B6"/>
      <c r="C6"/>
      <c r="D6"/>
      <c r="E6" s="16"/>
      <c r="F6"/>
      <c r="G6"/>
      <c r="H6"/>
      <c r="I6"/>
    </row>
    <row r="7" spans="1:9" ht="20.25" customHeight="1" x14ac:dyDescent="0.2">
      <c r="A7" s="235" t="s">
        <v>247</v>
      </c>
      <c r="B7" s="235"/>
      <c r="C7" s="235"/>
      <c r="D7" s="235"/>
      <c r="E7" s="235"/>
      <c r="F7" s="235"/>
      <c r="G7" s="235"/>
      <c r="H7" s="235"/>
      <c r="I7" s="235"/>
    </row>
    <row r="8" spans="1:9" ht="16.899999999999999" customHeight="1" x14ac:dyDescent="0.2">
      <c r="A8" s="236" t="s">
        <v>32</v>
      </c>
      <c r="B8" s="236"/>
      <c r="C8" s="236"/>
      <c r="D8" s="236"/>
      <c r="E8" s="236"/>
      <c r="F8" s="236"/>
      <c r="G8" s="236"/>
      <c r="H8" s="236"/>
      <c r="I8" s="236"/>
    </row>
    <row r="9" spans="1:9" ht="19.149999999999999" customHeight="1" x14ac:dyDescent="0.2">
      <c r="A9" s="237" t="s">
        <v>33</v>
      </c>
      <c r="B9" s="237"/>
      <c r="C9" s="237"/>
      <c r="D9" s="237"/>
      <c r="E9" s="237"/>
      <c r="F9" s="237"/>
      <c r="G9" s="237"/>
      <c r="H9" s="237"/>
      <c r="I9" s="237"/>
    </row>
    <row r="10" spans="1:9" ht="21.95" customHeight="1" x14ac:dyDescent="0.2">
      <c r="A10" s="238" t="s">
        <v>34</v>
      </c>
      <c r="B10" s="238"/>
      <c r="C10" s="238"/>
      <c r="D10" s="238"/>
      <c r="E10" s="238"/>
      <c r="F10" s="238"/>
      <c r="G10" s="238"/>
      <c r="H10" s="238"/>
      <c r="I10" s="238"/>
    </row>
    <row r="11" spans="1:9" ht="16.899999999999999" customHeight="1" x14ac:dyDescent="0.2">
      <c r="A11" s="239" t="s">
        <v>5</v>
      </c>
      <c r="B11" s="239"/>
      <c r="C11" s="239"/>
      <c r="D11" s="239"/>
      <c r="E11" s="239"/>
      <c r="F11" s="239"/>
      <c r="G11" s="239"/>
      <c r="H11" s="239"/>
      <c r="I11" s="239"/>
    </row>
    <row r="12" spans="1:9" ht="11.45" customHeight="1" x14ac:dyDescent="0.2">
      <c r="A12" s="239"/>
      <c r="B12" s="239"/>
      <c r="C12" s="239"/>
      <c r="D12" s="239"/>
      <c r="E12" s="239"/>
      <c r="F12" s="239"/>
      <c r="G12" s="239"/>
      <c r="H12" s="239"/>
      <c r="I12" s="239"/>
    </row>
    <row r="13" spans="1:9" ht="14.65" customHeight="1" x14ac:dyDescent="0.2">
      <c r="A13" s="225" t="s">
        <v>6</v>
      </c>
      <c r="B13" s="225"/>
      <c r="C13" s="225"/>
      <c r="D13" s="225"/>
      <c r="E13" s="225"/>
      <c r="F13" s="233" t="s">
        <v>237</v>
      </c>
      <c r="G13" s="233"/>
      <c r="H13" s="233"/>
      <c r="I13" s="233"/>
    </row>
    <row r="14" spans="1:9" ht="14.65" customHeight="1" x14ac:dyDescent="0.2">
      <c r="A14" s="225" t="s">
        <v>7</v>
      </c>
      <c r="B14" s="225"/>
      <c r="C14" s="225"/>
      <c r="D14" s="225"/>
      <c r="E14" s="225"/>
      <c r="F14" s="233" t="s">
        <v>236</v>
      </c>
      <c r="G14" s="233"/>
      <c r="H14" s="233"/>
      <c r="I14" s="233"/>
    </row>
    <row r="15" spans="1:9" ht="14.65" customHeight="1" x14ac:dyDescent="0.2">
      <c r="A15" s="225" t="s">
        <v>8</v>
      </c>
      <c r="B15" s="225"/>
      <c r="C15" s="225"/>
      <c r="D15" s="225"/>
      <c r="E15" s="225"/>
      <c r="F15" s="227" t="s">
        <v>240</v>
      </c>
      <c r="G15" s="227"/>
      <c r="H15" s="227"/>
      <c r="I15" s="227"/>
    </row>
    <row r="16" spans="1:9" ht="15.75" customHeight="1" x14ac:dyDescent="0.2">
      <c r="A16" s="232" t="s">
        <v>9</v>
      </c>
      <c r="B16" s="232"/>
      <c r="C16" s="232"/>
      <c r="D16" s="232"/>
      <c r="E16" s="232"/>
      <c r="F16" s="232"/>
      <c r="G16" s="232"/>
      <c r="H16" s="232"/>
      <c r="I16" s="232"/>
    </row>
    <row r="17" spans="1:9" ht="14.65" customHeight="1" x14ac:dyDescent="0.2">
      <c r="A17" s="7" t="s">
        <v>10</v>
      </c>
      <c r="B17" s="225" t="s">
        <v>11</v>
      </c>
      <c r="C17" s="225"/>
      <c r="D17" s="225"/>
      <c r="E17" s="225"/>
      <c r="F17" s="225"/>
      <c r="G17" s="225"/>
      <c r="H17" s="227"/>
      <c r="I17" s="227"/>
    </row>
    <row r="18" spans="1:9" ht="14.65" customHeight="1" x14ac:dyDescent="0.2">
      <c r="A18" s="7" t="s">
        <v>12</v>
      </c>
      <c r="B18" s="225" t="s">
        <v>13</v>
      </c>
      <c r="C18" s="225"/>
      <c r="D18" s="225"/>
      <c r="E18" s="225"/>
      <c r="F18" s="225"/>
      <c r="G18" s="225"/>
      <c r="H18" s="233" t="s">
        <v>14</v>
      </c>
      <c r="I18" s="233"/>
    </row>
    <row r="19" spans="1:9" ht="13.15" customHeight="1" x14ac:dyDescent="0.2">
      <c r="A19" s="7" t="s">
        <v>15</v>
      </c>
      <c r="B19" s="225" t="s">
        <v>16</v>
      </c>
      <c r="C19" s="225"/>
      <c r="D19" s="225"/>
      <c r="E19" s="225"/>
      <c r="F19" s="225"/>
      <c r="G19" s="225"/>
      <c r="H19" s="234" t="s">
        <v>17</v>
      </c>
      <c r="I19" s="234"/>
    </row>
    <row r="20" spans="1:9" ht="12.75" customHeight="1" x14ac:dyDescent="0.2">
      <c r="A20" s="7" t="s">
        <v>18</v>
      </c>
      <c r="B20" s="225" t="s">
        <v>19</v>
      </c>
      <c r="C20" s="225"/>
      <c r="D20" s="225"/>
      <c r="E20" s="225"/>
      <c r="F20" s="225"/>
      <c r="G20" s="225"/>
      <c r="H20" s="140" t="s">
        <v>20</v>
      </c>
      <c r="I20" s="140"/>
    </row>
    <row r="21" spans="1:9" ht="14.65" customHeight="1" x14ac:dyDescent="0.2">
      <c r="A21" s="7" t="s">
        <v>35</v>
      </c>
      <c r="B21" s="225" t="s">
        <v>36</v>
      </c>
      <c r="C21" s="225"/>
      <c r="D21" s="225"/>
      <c r="E21" s="225"/>
      <c r="F21" s="225"/>
      <c r="G21" s="225"/>
      <c r="H21" s="140">
        <v>12</v>
      </c>
      <c r="I21" s="140"/>
    </row>
    <row r="22" spans="1:9" ht="15.75" customHeight="1" x14ac:dyDescent="0.2">
      <c r="A22" s="229" t="s">
        <v>37</v>
      </c>
      <c r="B22" s="229"/>
      <c r="C22" s="229"/>
      <c r="D22" s="229"/>
      <c r="E22" s="229"/>
      <c r="F22" s="229"/>
      <c r="G22" s="229"/>
      <c r="H22" s="229"/>
      <c r="I22" s="229"/>
    </row>
    <row r="23" spans="1:9" ht="38.25" customHeight="1" x14ac:dyDescent="0.2">
      <c r="A23" s="230" t="s">
        <v>38</v>
      </c>
      <c r="B23" s="230"/>
      <c r="C23" s="230"/>
      <c r="D23" s="230"/>
      <c r="E23" s="230"/>
      <c r="F23" s="230"/>
      <c r="G23" s="230"/>
      <c r="H23" s="230"/>
      <c r="I23" s="230"/>
    </row>
    <row r="24" spans="1:9" ht="20.65" customHeight="1" x14ac:dyDescent="0.2">
      <c r="A24" s="231"/>
      <c r="B24" s="231"/>
      <c r="C24" s="231"/>
      <c r="D24" s="231"/>
      <c r="E24" s="231"/>
      <c r="F24" s="231"/>
      <c r="G24" s="231"/>
      <c r="H24" s="231"/>
      <c r="I24" s="231"/>
    </row>
    <row r="25" spans="1:9" ht="15.75" customHeight="1" x14ac:dyDescent="0.2">
      <c r="A25" s="232" t="s">
        <v>39</v>
      </c>
      <c r="B25" s="232"/>
      <c r="C25" s="232"/>
      <c r="D25" s="232"/>
      <c r="E25" s="232"/>
      <c r="F25" s="232"/>
      <c r="G25" s="232"/>
      <c r="H25" s="232"/>
      <c r="I25" s="232"/>
    </row>
    <row r="26" spans="1:9" ht="15.75" customHeight="1" x14ac:dyDescent="0.2">
      <c r="A26" s="7">
        <v>1</v>
      </c>
      <c r="B26" s="225" t="s">
        <v>40</v>
      </c>
      <c r="C26" s="225"/>
      <c r="D26" s="225"/>
      <c r="E26" s="225"/>
      <c r="F26" s="225"/>
      <c r="G26" s="225"/>
      <c r="H26" s="228" t="s">
        <v>41</v>
      </c>
      <c r="I26" s="228"/>
    </row>
    <row r="27" spans="1:9" ht="15.75" customHeight="1" x14ac:dyDescent="0.2">
      <c r="A27" s="7">
        <v>2</v>
      </c>
      <c r="B27" s="225" t="s">
        <v>19</v>
      </c>
      <c r="C27" s="225"/>
      <c r="D27" s="225"/>
      <c r="E27" s="225"/>
      <c r="F27" s="225"/>
      <c r="G27" s="225"/>
      <c r="H27" s="226" t="s">
        <v>20</v>
      </c>
      <c r="I27" s="226"/>
    </row>
    <row r="28" spans="1:9" ht="15.75" customHeight="1" x14ac:dyDescent="0.2">
      <c r="A28" s="7">
        <v>3</v>
      </c>
      <c r="B28" s="225" t="s">
        <v>42</v>
      </c>
      <c r="C28" s="225"/>
      <c r="D28" s="225"/>
      <c r="E28" s="225"/>
      <c r="F28" s="225"/>
      <c r="G28" s="225"/>
      <c r="H28" s="227" t="s">
        <v>43</v>
      </c>
      <c r="I28" s="227"/>
    </row>
    <row r="29" spans="1:9" ht="15.75" customHeight="1" x14ac:dyDescent="0.2">
      <c r="A29" s="7">
        <v>4</v>
      </c>
      <c r="B29" s="225" t="s">
        <v>44</v>
      </c>
      <c r="C29" s="225"/>
      <c r="D29" s="225"/>
      <c r="E29" s="225"/>
      <c r="F29" s="225"/>
      <c r="G29" s="225"/>
      <c r="H29" s="228">
        <v>1426.75</v>
      </c>
      <c r="I29" s="228"/>
    </row>
    <row r="30" spans="1:9" ht="15.75" customHeight="1" x14ac:dyDescent="0.2">
      <c r="A30" s="7">
        <v>5</v>
      </c>
      <c r="B30" s="225" t="s">
        <v>45</v>
      </c>
      <c r="C30" s="225"/>
      <c r="D30" s="225"/>
      <c r="E30" s="225"/>
      <c r="F30" s="225"/>
      <c r="G30" s="225"/>
      <c r="H30" s="228">
        <f>ROUND(H29/220*150,2)</f>
        <v>972.78</v>
      </c>
      <c r="I30" s="228"/>
    </row>
    <row r="31" spans="1:9" ht="15.75" customHeight="1" x14ac:dyDescent="0.2">
      <c r="A31" s="7">
        <v>5</v>
      </c>
      <c r="B31" s="221" t="s">
        <v>46</v>
      </c>
      <c r="C31" s="221"/>
      <c r="D31" s="221"/>
      <c r="E31" s="221"/>
      <c r="F31" s="221"/>
      <c r="G31" s="221"/>
      <c r="H31" s="222">
        <v>1</v>
      </c>
      <c r="I31" s="222"/>
    </row>
    <row r="32" spans="1:9" ht="15.75" customHeight="1" x14ac:dyDescent="0.2">
      <c r="A32" s="7">
        <v>6</v>
      </c>
      <c r="B32" s="221" t="s">
        <v>47</v>
      </c>
      <c r="C32" s="221"/>
      <c r="D32" s="221"/>
      <c r="E32" s="221"/>
      <c r="F32" s="221"/>
      <c r="G32" s="221"/>
      <c r="H32" s="222">
        <v>4</v>
      </c>
      <c r="I32" s="222"/>
    </row>
    <row r="33" spans="1:9" ht="14.65" customHeight="1" x14ac:dyDescent="0.2">
      <c r="A33" s="223"/>
      <c r="B33" s="223"/>
      <c r="C33" s="223"/>
      <c r="D33" s="223"/>
      <c r="E33" s="223"/>
      <c r="F33" s="223"/>
      <c r="G33" s="223"/>
      <c r="H33" s="223"/>
      <c r="I33" s="223"/>
    </row>
    <row r="34" spans="1:9" ht="14.65" customHeight="1" x14ac:dyDescent="0.2">
      <c r="A34" s="203" t="s">
        <v>48</v>
      </c>
      <c r="B34" s="203"/>
      <c r="C34" s="203"/>
      <c r="D34" s="203"/>
      <c r="E34" s="203"/>
      <c r="F34" s="203"/>
      <c r="G34" s="203"/>
      <c r="H34" s="203"/>
      <c r="I34" s="203"/>
    </row>
    <row r="35" spans="1:9" ht="17.45" customHeight="1" x14ac:dyDescent="0.2">
      <c r="A35" s="194" t="s">
        <v>49</v>
      </c>
      <c r="B35" s="194"/>
      <c r="C35" s="194"/>
      <c r="D35" s="194"/>
      <c r="E35" s="194"/>
      <c r="F35" s="194"/>
      <c r="G35" s="194"/>
      <c r="H35" s="194"/>
      <c r="I35" s="194"/>
    </row>
    <row r="36" spans="1:9" ht="14.65" customHeight="1" x14ac:dyDescent="0.2">
      <c r="A36" s="224"/>
      <c r="B36" s="224"/>
      <c r="C36" s="224"/>
      <c r="D36" s="224"/>
      <c r="E36" s="224"/>
      <c r="F36" s="224"/>
      <c r="G36" s="224"/>
      <c r="H36" s="224"/>
      <c r="I36" s="224"/>
    </row>
    <row r="37" spans="1:9" ht="17.100000000000001" customHeight="1" x14ac:dyDescent="0.2">
      <c r="A37" s="177" t="s">
        <v>50</v>
      </c>
      <c r="B37" s="177"/>
      <c r="C37" s="177"/>
      <c r="D37" s="177"/>
      <c r="E37" s="177"/>
      <c r="F37" s="177"/>
      <c r="G37" s="177"/>
      <c r="H37" s="177"/>
      <c r="I37" s="177"/>
    </row>
    <row r="38" spans="1:9" ht="28.35" customHeight="1" x14ac:dyDescent="0.2">
      <c r="A38" s="18">
        <v>1</v>
      </c>
      <c r="B38" s="178" t="s">
        <v>51</v>
      </c>
      <c r="C38" s="178"/>
      <c r="D38" s="178"/>
      <c r="E38" s="178"/>
      <c r="F38" s="178"/>
      <c r="G38" s="178"/>
      <c r="H38" s="18" t="s">
        <v>52</v>
      </c>
      <c r="I38" s="18" t="s">
        <v>53</v>
      </c>
    </row>
    <row r="39" spans="1:9" s="21" customFormat="1" ht="26.85" customHeight="1" x14ac:dyDescent="0.2">
      <c r="A39" s="19" t="s">
        <v>10</v>
      </c>
      <c r="B39" s="171" t="s">
        <v>54</v>
      </c>
      <c r="C39" s="171"/>
      <c r="D39" s="171"/>
      <c r="E39" s="171"/>
      <c r="F39" s="171"/>
      <c r="G39" s="171"/>
      <c r="H39" s="171"/>
      <c r="I39" s="20">
        <f>H30</f>
        <v>972.78</v>
      </c>
    </row>
    <row r="40" spans="1:9" ht="19.149999999999999" customHeight="1" x14ac:dyDescent="0.2">
      <c r="A40" s="215" t="s">
        <v>55</v>
      </c>
      <c r="B40" s="215"/>
      <c r="C40" s="215"/>
      <c r="D40" s="215"/>
      <c r="E40" s="215"/>
      <c r="F40" s="215"/>
      <c r="G40" s="215"/>
      <c r="H40" s="22" t="s">
        <v>56</v>
      </c>
      <c r="I40" s="23">
        <f>SUM(I39:I39)</f>
        <v>972.78</v>
      </c>
    </row>
    <row r="41" spans="1:9" ht="14.65" customHeight="1" x14ac:dyDescent="0.2">
      <c r="A41" s="216"/>
      <c r="B41" s="216"/>
      <c r="C41" s="216"/>
      <c r="D41" s="216"/>
      <c r="E41" s="216"/>
      <c r="F41" s="216"/>
      <c r="G41" s="216"/>
      <c r="H41" s="216"/>
      <c r="I41" s="216"/>
    </row>
    <row r="42" spans="1:9" ht="14.65" customHeight="1" x14ac:dyDescent="0.2">
      <c r="A42" s="217" t="s">
        <v>57</v>
      </c>
      <c r="B42" s="217"/>
      <c r="C42" s="217"/>
      <c r="D42" s="217"/>
      <c r="E42" s="217"/>
      <c r="F42" s="217"/>
      <c r="G42" s="217"/>
      <c r="H42" s="217"/>
      <c r="I42" s="217"/>
    </row>
    <row r="43" spans="1:9" ht="14.65" customHeight="1" x14ac:dyDescent="0.2">
      <c r="A43" s="218"/>
      <c r="B43" s="218"/>
      <c r="C43" s="218"/>
      <c r="D43" s="218"/>
      <c r="E43" s="218"/>
      <c r="F43" s="218"/>
      <c r="G43" s="218"/>
      <c r="H43" s="218"/>
      <c r="I43" s="218"/>
    </row>
    <row r="44" spans="1:9" ht="17.100000000000001" customHeight="1" x14ac:dyDescent="0.2">
      <c r="A44" s="170" t="s">
        <v>58</v>
      </c>
      <c r="B44" s="170"/>
      <c r="C44" s="170"/>
      <c r="D44" s="170"/>
      <c r="E44" s="170"/>
      <c r="F44" s="170"/>
      <c r="G44" s="170"/>
      <c r="H44" s="170"/>
      <c r="I44" s="170"/>
    </row>
    <row r="45" spans="1:9" ht="15.75" customHeight="1" x14ac:dyDescent="0.2">
      <c r="A45" s="219" t="s">
        <v>59</v>
      </c>
      <c r="B45" s="219"/>
      <c r="C45" s="219"/>
      <c r="D45" s="219"/>
      <c r="E45" s="219"/>
      <c r="F45" s="219"/>
      <c r="G45" s="219"/>
      <c r="H45" s="219"/>
      <c r="I45" s="219"/>
    </row>
    <row r="46" spans="1:9" ht="15.75" customHeight="1" x14ac:dyDescent="0.2">
      <c r="A46" s="24" t="s">
        <v>60</v>
      </c>
      <c r="B46" s="220" t="s">
        <v>61</v>
      </c>
      <c r="C46" s="220"/>
      <c r="D46" s="220"/>
      <c r="E46" s="220"/>
      <c r="F46" s="220"/>
      <c r="G46" s="220"/>
      <c r="H46" s="220"/>
      <c r="I46" s="17" t="s">
        <v>62</v>
      </c>
    </row>
    <row r="47" spans="1:9" ht="14.65" customHeight="1" x14ac:dyDescent="0.2">
      <c r="A47" s="25" t="s">
        <v>10</v>
      </c>
      <c r="B47" s="179" t="s">
        <v>63</v>
      </c>
      <c r="C47" s="179"/>
      <c r="D47" s="179"/>
      <c r="E47" s="179"/>
      <c r="F47" s="179"/>
      <c r="G47" s="179"/>
      <c r="H47" s="179"/>
      <c r="I47" s="26">
        <f>ROUND($I$40/12,2)</f>
        <v>81.069999999999993</v>
      </c>
    </row>
    <row r="48" spans="1:9" ht="15.6" customHeight="1" x14ac:dyDescent="0.2">
      <c r="A48" s="25" t="s">
        <v>12</v>
      </c>
      <c r="B48" s="179" t="s">
        <v>64</v>
      </c>
      <c r="C48" s="179"/>
      <c r="D48" s="179"/>
      <c r="E48" s="179"/>
      <c r="F48" s="179"/>
      <c r="G48" s="179"/>
      <c r="H48" s="179"/>
      <c r="I48" s="26">
        <f>ROUND(($I$40/3)/12,2)</f>
        <v>27.02</v>
      </c>
    </row>
    <row r="49" spans="1:9" ht="14.65" customHeight="1" x14ac:dyDescent="0.2">
      <c r="A49" s="211" t="s">
        <v>56</v>
      </c>
      <c r="B49" s="211"/>
      <c r="C49" s="211"/>
      <c r="D49" s="211"/>
      <c r="E49" s="211"/>
      <c r="F49" s="211"/>
      <c r="G49" s="211"/>
      <c r="H49" s="211"/>
      <c r="I49" s="27">
        <f>SUM(I47+I48)</f>
        <v>108.08999999999999</v>
      </c>
    </row>
    <row r="50" spans="1:9" ht="12.75" customHeight="1" x14ac:dyDescent="0.2">
      <c r="A50" s="212"/>
      <c r="B50" s="212"/>
      <c r="C50" s="212"/>
      <c r="D50" s="212"/>
      <c r="E50" s="212"/>
      <c r="F50" s="212"/>
      <c r="G50" s="212"/>
      <c r="H50" s="212"/>
      <c r="I50" s="212"/>
    </row>
    <row r="51" spans="1:9" ht="21.95" customHeight="1" x14ac:dyDescent="0.2">
      <c r="A51" s="187" t="s">
        <v>65</v>
      </c>
      <c r="B51" s="187"/>
      <c r="C51" s="187"/>
      <c r="D51" s="187"/>
      <c r="E51" s="187"/>
      <c r="F51" s="187"/>
      <c r="G51" s="187"/>
      <c r="H51" s="187"/>
      <c r="I51" s="187"/>
    </row>
    <row r="52" spans="1:9" ht="25.7" customHeight="1" x14ac:dyDescent="0.2">
      <c r="A52" s="213" t="s">
        <v>66</v>
      </c>
      <c r="B52" s="213"/>
      <c r="C52" s="213"/>
      <c r="D52" s="213"/>
      <c r="E52" s="213"/>
      <c r="F52" s="213"/>
      <c r="G52" s="213"/>
      <c r="H52" s="213"/>
      <c r="I52" s="213"/>
    </row>
    <row r="53" spans="1:9" ht="14.65" customHeight="1" x14ac:dyDescent="0.2">
      <c r="A53" s="214"/>
      <c r="B53" s="214"/>
      <c r="C53" s="214"/>
      <c r="D53" s="214"/>
      <c r="E53" s="214"/>
      <c r="F53" s="214"/>
      <c r="G53" s="214"/>
      <c r="H53" s="214"/>
      <c r="I53" s="214"/>
    </row>
    <row r="54" spans="1:9" ht="28.35" customHeight="1" x14ac:dyDescent="0.2">
      <c r="A54" s="188" t="s">
        <v>67</v>
      </c>
      <c r="B54" s="188"/>
      <c r="C54" s="188"/>
      <c r="D54" s="188"/>
      <c r="E54" s="188"/>
      <c r="F54" s="188"/>
      <c r="G54" s="188"/>
      <c r="H54" s="188"/>
      <c r="I54" s="188"/>
    </row>
    <row r="55" spans="1:9" ht="28.35" customHeight="1" x14ac:dyDescent="0.2">
      <c r="A55" s="28" t="s">
        <v>68</v>
      </c>
      <c r="B55" s="178" t="s">
        <v>69</v>
      </c>
      <c r="C55" s="178"/>
      <c r="D55" s="178"/>
      <c r="E55" s="178"/>
      <c r="F55" s="178"/>
      <c r="G55" s="178"/>
      <c r="H55" s="8" t="s">
        <v>70</v>
      </c>
      <c r="I55" s="8" t="s">
        <v>71</v>
      </c>
    </row>
    <row r="56" spans="1:9" ht="14.65" customHeight="1" x14ac:dyDescent="0.2">
      <c r="A56" s="29" t="s">
        <v>10</v>
      </c>
      <c r="B56" s="171" t="s">
        <v>72</v>
      </c>
      <c r="C56" s="171"/>
      <c r="D56" s="171"/>
      <c r="E56" s="171"/>
      <c r="F56" s="171"/>
      <c r="G56" s="171"/>
      <c r="H56" s="30">
        <v>0.2</v>
      </c>
      <c r="I56" s="31">
        <f t="shared" ref="I56:I63" si="0">ROUND(($I$40+$I$49)*H56,2)</f>
        <v>216.17</v>
      </c>
    </row>
    <row r="57" spans="1:9" ht="14.65" customHeight="1" x14ac:dyDescent="0.2">
      <c r="A57" s="29" t="s">
        <v>12</v>
      </c>
      <c r="B57" s="171" t="s">
        <v>73</v>
      </c>
      <c r="C57" s="171"/>
      <c r="D57" s="171"/>
      <c r="E57" s="171"/>
      <c r="F57" s="171"/>
      <c r="G57" s="171"/>
      <c r="H57" s="30">
        <v>2.5000000000000001E-2</v>
      </c>
      <c r="I57" s="31">
        <f t="shared" si="0"/>
        <v>27.02</v>
      </c>
    </row>
    <row r="58" spans="1:9" ht="46.5" customHeight="1" x14ac:dyDescent="0.2">
      <c r="A58" s="29" t="s">
        <v>15</v>
      </c>
      <c r="B58" s="171" t="s">
        <v>74</v>
      </c>
      <c r="C58" s="171"/>
      <c r="D58" s="19" t="s">
        <v>75</v>
      </c>
      <c r="E58" s="32">
        <v>0.03</v>
      </c>
      <c r="F58" s="19" t="s">
        <v>76</v>
      </c>
      <c r="G58" s="33">
        <v>1</v>
      </c>
      <c r="H58" s="34">
        <f>ROUND((E58*G58),6)</f>
        <v>0.03</v>
      </c>
      <c r="I58" s="31">
        <f t="shared" si="0"/>
        <v>32.43</v>
      </c>
    </row>
    <row r="59" spans="1:9" ht="14.65" customHeight="1" x14ac:dyDescent="0.2">
      <c r="A59" s="29" t="s">
        <v>18</v>
      </c>
      <c r="B59" s="171" t="s">
        <v>77</v>
      </c>
      <c r="C59" s="171"/>
      <c r="D59" s="171"/>
      <c r="E59" s="171"/>
      <c r="F59" s="171"/>
      <c r="G59" s="171"/>
      <c r="H59" s="30">
        <v>1.4999999999999999E-2</v>
      </c>
      <c r="I59" s="31">
        <f t="shared" si="0"/>
        <v>16.21</v>
      </c>
    </row>
    <row r="60" spans="1:9" ht="14.65" customHeight="1" x14ac:dyDescent="0.2">
      <c r="A60" s="29" t="s">
        <v>35</v>
      </c>
      <c r="B60" s="171" t="s">
        <v>78</v>
      </c>
      <c r="C60" s="171"/>
      <c r="D60" s="171"/>
      <c r="E60" s="171"/>
      <c r="F60" s="171"/>
      <c r="G60" s="171"/>
      <c r="H60" s="30">
        <v>0.01</v>
      </c>
      <c r="I60" s="31">
        <f t="shared" si="0"/>
        <v>10.81</v>
      </c>
    </row>
    <row r="61" spans="1:9" ht="14.65" customHeight="1" x14ac:dyDescent="0.2">
      <c r="A61" s="29" t="s">
        <v>79</v>
      </c>
      <c r="B61" s="171" t="s">
        <v>80</v>
      </c>
      <c r="C61" s="171"/>
      <c r="D61" s="171"/>
      <c r="E61" s="171"/>
      <c r="F61" s="171"/>
      <c r="G61" s="171"/>
      <c r="H61" s="30">
        <v>6.0000000000000001E-3</v>
      </c>
      <c r="I61" s="31">
        <f t="shared" si="0"/>
        <v>6.49</v>
      </c>
    </row>
    <row r="62" spans="1:9" ht="14.65" customHeight="1" x14ac:dyDescent="0.2">
      <c r="A62" s="29" t="s">
        <v>81</v>
      </c>
      <c r="B62" s="171" t="s">
        <v>82</v>
      </c>
      <c r="C62" s="171"/>
      <c r="D62" s="171"/>
      <c r="E62" s="171"/>
      <c r="F62" s="171"/>
      <c r="G62" s="171"/>
      <c r="H62" s="30">
        <v>2E-3</v>
      </c>
      <c r="I62" s="31">
        <f t="shared" si="0"/>
        <v>2.16</v>
      </c>
    </row>
    <row r="63" spans="1:9" ht="14.65" customHeight="1" x14ac:dyDescent="0.2">
      <c r="A63" s="29" t="s">
        <v>83</v>
      </c>
      <c r="B63" s="171" t="s">
        <v>84</v>
      </c>
      <c r="C63" s="171"/>
      <c r="D63" s="171"/>
      <c r="E63" s="171"/>
      <c r="F63" s="171"/>
      <c r="G63" s="171"/>
      <c r="H63" s="30">
        <v>0.08</v>
      </c>
      <c r="I63" s="31">
        <f t="shared" si="0"/>
        <v>86.47</v>
      </c>
    </row>
    <row r="64" spans="1:9" ht="14.65" customHeight="1" x14ac:dyDescent="0.2">
      <c r="A64" s="145" t="s">
        <v>56</v>
      </c>
      <c r="B64" s="145"/>
      <c r="C64" s="145"/>
      <c r="D64" s="145"/>
      <c r="E64" s="145"/>
      <c r="F64" s="145"/>
      <c r="G64" s="145"/>
      <c r="H64" s="35">
        <f>SUM(H56:H63)</f>
        <v>0.36800000000000005</v>
      </c>
      <c r="I64" s="36">
        <f>SUM(I56:I63)</f>
        <v>397.76</v>
      </c>
    </row>
    <row r="65" spans="1:11" x14ac:dyDescent="0.2">
      <c r="A65" s="37"/>
      <c r="B65" s="38"/>
      <c r="C65" s="38"/>
      <c r="D65" s="38"/>
      <c r="E65" s="38"/>
      <c r="F65" s="38"/>
      <c r="G65" s="38"/>
      <c r="H65" s="39"/>
      <c r="I65" s="40"/>
    </row>
    <row r="66" spans="1:11" ht="12.75" customHeight="1" x14ac:dyDescent="0.2">
      <c r="A66" s="203" t="s">
        <v>85</v>
      </c>
      <c r="B66" s="203"/>
      <c r="C66" s="203"/>
      <c r="D66" s="203"/>
      <c r="E66" s="203"/>
      <c r="F66" s="203"/>
      <c r="G66" s="203"/>
      <c r="H66" s="203"/>
      <c r="I66" s="203"/>
    </row>
    <row r="67" spans="1:11" ht="12.75" customHeight="1" x14ac:dyDescent="0.2">
      <c r="A67" s="203" t="s">
        <v>86</v>
      </c>
      <c r="B67" s="203"/>
      <c r="C67" s="203"/>
      <c r="D67" s="203"/>
      <c r="E67" s="203"/>
      <c r="F67" s="203"/>
      <c r="G67" s="203"/>
      <c r="H67" s="203"/>
      <c r="I67" s="203"/>
    </row>
    <row r="68" spans="1:11" ht="12.75" customHeight="1" x14ac:dyDescent="0.2">
      <c r="A68" s="203" t="s">
        <v>87</v>
      </c>
      <c r="B68" s="203"/>
      <c r="C68" s="203"/>
      <c r="D68" s="203"/>
      <c r="E68" s="203"/>
      <c r="F68" s="203"/>
      <c r="G68" s="203"/>
      <c r="H68" s="203"/>
      <c r="I68" s="203"/>
    </row>
    <row r="69" spans="1:11" ht="14.65" customHeight="1" x14ac:dyDescent="0.2">
      <c r="A69" s="202"/>
      <c r="B69" s="202"/>
      <c r="C69" s="202"/>
      <c r="D69" s="202"/>
      <c r="E69" s="202"/>
      <c r="F69" s="202"/>
      <c r="G69" s="202"/>
      <c r="H69" s="202"/>
      <c r="I69" s="202"/>
    </row>
    <row r="70" spans="1:11" ht="15.75" customHeight="1" x14ac:dyDescent="0.2">
      <c r="A70" s="181" t="s">
        <v>88</v>
      </c>
      <c r="B70" s="181"/>
      <c r="C70" s="181"/>
      <c r="D70" s="181"/>
      <c r="E70" s="181"/>
      <c r="F70" s="181"/>
      <c r="G70" s="181"/>
      <c r="H70" s="181"/>
      <c r="I70" s="181"/>
    </row>
    <row r="71" spans="1:11" ht="15.75" customHeight="1" x14ac:dyDescent="0.2">
      <c r="A71" s="41" t="s">
        <v>89</v>
      </c>
      <c r="B71" s="204" t="s">
        <v>90</v>
      </c>
      <c r="C71" s="204"/>
      <c r="D71" s="204"/>
      <c r="E71" s="204"/>
      <c r="F71" s="204"/>
      <c r="G71" s="204"/>
      <c r="H71" s="204"/>
      <c r="I71" s="8" t="s">
        <v>62</v>
      </c>
    </row>
    <row r="72" spans="1:11" ht="14.65" customHeight="1" x14ac:dyDescent="0.2">
      <c r="A72" s="186" t="s">
        <v>10</v>
      </c>
      <c r="B72" s="205" t="s">
        <v>91</v>
      </c>
      <c r="C72" s="205"/>
      <c r="D72" s="205"/>
      <c r="E72" s="205"/>
      <c r="F72" s="205"/>
      <c r="G72" s="205"/>
      <c r="H72" s="205"/>
      <c r="I72" s="206">
        <f>IF(ROUND((H75*H73*H74)-(I39*H76),2)&lt;0,0,ROUND((H75*H73*H74)-(I39*H76),2))</f>
        <v>133.03</v>
      </c>
    </row>
    <row r="73" spans="1:11" ht="12.75" customHeight="1" x14ac:dyDescent="0.2">
      <c r="A73" s="186"/>
      <c r="B73" s="207" t="s">
        <v>92</v>
      </c>
      <c r="C73" s="207"/>
      <c r="D73" s="207"/>
      <c r="E73" s="207"/>
      <c r="F73" s="207"/>
      <c r="G73" s="207"/>
      <c r="H73" s="42">
        <v>4.3499999999999996</v>
      </c>
      <c r="I73" s="206"/>
    </row>
    <row r="74" spans="1:11" ht="14.65" customHeight="1" x14ac:dyDescent="0.2">
      <c r="A74" s="186"/>
      <c r="B74" s="208" t="s">
        <v>93</v>
      </c>
      <c r="C74" s="208"/>
      <c r="D74" s="208"/>
      <c r="E74" s="208"/>
      <c r="F74" s="208"/>
      <c r="G74" s="208"/>
      <c r="H74" s="43">
        <v>2</v>
      </c>
      <c r="I74" s="206"/>
    </row>
    <row r="75" spans="1:11" ht="14.65" customHeight="1" x14ac:dyDescent="0.2">
      <c r="A75" s="186"/>
      <c r="B75" s="209" t="s">
        <v>94</v>
      </c>
      <c r="C75" s="209"/>
      <c r="D75" s="209"/>
      <c r="E75" s="209"/>
      <c r="F75" s="209"/>
      <c r="G75" s="209"/>
      <c r="H75" s="44">
        <v>22</v>
      </c>
      <c r="I75" s="206"/>
    </row>
    <row r="76" spans="1:11" ht="11.45" customHeight="1" x14ac:dyDescent="0.2">
      <c r="A76" s="186"/>
      <c r="B76" s="210" t="s">
        <v>95</v>
      </c>
      <c r="C76" s="210"/>
      <c r="D76" s="210"/>
      <c r="E76" s="210"/>
      <c r="F76" s="210"/>
      <c r="G76" s="210"/>
      <c r="H76" s="45">
        <v>0.06</v>
      </c>
      <c r="I76" s="206"/>
    </row>
    <row r="77" spans="1:11" ht="14.65" customHeight="1" x14ac:dyDescent="0.2">
      <c r="A77" s="197" t="s">
        <v>12</v>
      </c>
      <c r="B77" s="198" t="s">
        <v>96</v>
      </c>
      <c r="C77" s="198"/>
      <c r="D77" s="198"/>
      <c r="E77" s="198"/>
      <c r="F77" s="198"/>
      <c r="G77" s="198"/>
      <c r="H77" s="198"/>
      <c r="I77" s="199">
        <f>ROUND(H79*H78*(1-H80),2)</f>
        <v>162.16</v>
      </c>
      <c r="K77" s="21" t="s">
        <v>97</v>
      </c>
    </row>
    <row r="78" spans="1:11" ht="14.65" customHeight="1" x14ac:dyDescent="0.2">
      <c r="A78" s="197"/>
      <c r="B78" s="200" t="s">
        <v>98</v>
      </c>
      <c r="C78" s="200"/>
      <c r="D78" s="200"/>
      <c r="E78" s="200"/>
      <c r="F78" s="200"/>
      <c r="G78" s="200"/>
      <c r="H78" s="46">
        <v>9.1</v>
      </c>
      <c r="I78" s="199"/>
    </row>
    <row r="79" spans="1:11" ht="14.65" customHeight="1" x14ac:dyDescent="0.2">
      <c r="A79" s="197"/>
      <c r="B79" s="201" t="s">
        <v>99</v>
      </c>
      <c r="C79" s="201"/>
      <c r="D79" s="201"/>
      <c r="E79" s="201"/>
      <c r="F79" s="201"/>
      <c r="G79" s="201"/>
      <c r="H79" s="47">
        <v>22</v>
      </c>
      <c r="I79" s="199"/>
    </row>
    <row r="80" spans="1:11" ht="14.65" customHeight="1" x14ac:dyDescent="0.2">
      <c r="A80" s="197"/>
      <c r="B80" s="200" t="s">
        <v>100</v>
      </c>
      <c r="C80" s="200"/>
      <c r="D80" s="200"/>
      <c r="E80" s="200"/>
      <c r="F80" s="200"/>
      <c r="G80" s="200"/>
      <c r="H80" s="48">
        <v>0.19</v>
      </c>
      <c r="I80" s="199"/>
    </row>
    <row r="81" spans="1:9" ht="14.65" customHeight="1" x14ac:dyDescent="0.2">
      <c r="A81" s="49" t="s">
        <v>15</v>
      </c>
      <c r="B81" s="194" t="s">
        <v>101</v>
      </c>
      <c r="C81" s="194"/>
      <c r="D81" s="194"/>
      <c r="E81" s="194"/>
      <c r="F81" s="194"/>
      <c r="G81" s="194"/>
      <c r="H81" s="194"/>
      <c r="I81" s="50">
        <v>15.62</v>
      </c>
    </row>
    <row r="82" spans="1:9" ht="14.65" customHeight="1" x14ac:dyDescent="0.2">
      <c r="A82" s="51"/>
      <c r="B82" s="145" t="s">
        <v>102</v>
      </c>
      <c r="C82" s="145"/>
      <c r="D82" s="145"/>
      <c r="E82" s="145"/>
      <c r="F82" s="145"/>
      <c r="G82" s="145"/>
      <c r="H82" s="145"/>
      <c r="I82" s="36">
        <f>SUM(I72+I77+I81)</f>
        <v>310.81</v>
      </c>
    </row>
    <row r="83" spans="1:9" ht="14.65" customHeight="1" x14ac:dyDescent="0.2">
      <c r="A83" s="202"/>
      <c r="B83" s="202"/>
      <c r="C83" s="202"/>
      <c r="D83" s="202"/>
      <c r="E83" s="202"/>
      <c r="F83" s="202"/>
      <c r="G83" s="202"/>
      <c r="H83" s="202"/>
      <c r="I83" s="202"/>
    </row>
    <row r="84" spans="1:9" ht="14.65" customHeight="1" x14ac:dyDescent="0.2">
      <c r="A84" s="194" t="s">
        <v>103</v>
      </c>
      <c r="B84" s="194"/>
      <c r="C84" s="194"/>
      <c r="D84" s="194"/>
      <c r="E84" s="194"/>
      <c r="F84" s="194"/>
      <c r="G84" s="194"/>
      <c r="H84" s="194"/>
      <c r="I84" s="194"/>
    </row>
    <row r="85" spans="1:9" ht="21.95" customHeight="1" x14ac:dyDescent="0.2">
      <c r="A85" s="195" t="s">
        <v>104</v>
      </c>
      <c r="B85" s="195"/>
      <c r="C85" s="195"/>
      <c r="D85" s="195"/>
      <c r="E85" s="195"/>
      <c r="F85" s="195"/>
      <c r="G85" s="195"/>
      <c r="H85" s="195"/>
      <c r="I85" s="195"/>
    </row>
    <row r="86" spans="1:9" ht="14.65" customHeight="1" x14ac:dyDescent="0.2">
      <c r="A86" s="196"/>
      <c r="B86" s="196"/>
      <c r="C86" s="196"/>
      <c r="D86" s="196"/>
      <c r="E86" s="196"/>
      <c r="F86" s="196"/>
      <c r="G86" s="196"/>
      <c r="H86" s="196"/>
      <c r="I86" s="196"/>
    </row>
    <row r="87" spans="1:9" ht="17.100000000000001" customHeight="1" x14ac:dyDescent="0.2">
      <c r="A87" s="177" t="s">
        <v>105</v>
      </c>
      <c r="B87" s="177"/>
      <c r="C87" s="177"/>
      <c r="D87" s="177"/>
      <c r="E87" s="177"/>
      <c r="F87" s="177"/>
      <c r="G87" s="177"/>
      <c r="H87" s="177"/>
      <c r="I87" s="177"/>
    </row>
    <row r="88" spans="1:9" ht="15.75" customHeight="1" x14ac:dyDescent="0.2">
      <c r="A88" s="8">
        <v>2</v>
      </c>
      <c r="B88" s="178" t="s">
        <v>106</v>
      </c>
      <c r="C88" s="178"/>
      <c r="D88" s="178"/>
      <c r="E88" s="178"/>
      <c r="F88" s="178"/>
      <c r="G88" s="178"/>
      <c r="H88" s="178"/>
      <c r="I88" s="8" t="s">
        <v>62</v>
      </c>
    </row>
    <row r="89" spans="1:9" s="21" customFormat="1" ht="14.65" customHeight="1" x14ac:dyDescent="0.2">
      <c r="A89" s="19" t="s">
        <v>60</v>
      </c>
      <c r="B89" s="171" t="s">
        <v>107</v>
      </c>
      <c r="C89" s="171"/>
      <c r="D89" s="171"/>
      <c r="E89" s="171"/>
      <c r="F89" s="171"/>
      <c r="G89" s="171"/>
      <c r="H89" s="171"/>
      <c r="I89" s="53">
        <f>I49</f>
        <v>108.08999999999999</v>
      </c>
    </row>
    <row r="90" spans="1:9" s="21" customFormat="1" ht="14.65" customHeight="1" x14ac:dyDescent="0.2">
      <c r="A90" s="19" t="s">
        <v>68</v>
      </c>
      <c r="B90" s="171" t="s">
        <v>69</v>
      </c>
      <c r="C90" s="171"/>
      <c r="D90" s="171"/>
      <c r="E90" s="171"/>
      <c r="F90" s="171"/>
      <c r="G90" s="171"/>
      <c r="H90" s="171"/>
      <c r="I90" s="53">
        <f>I64</f>
        <v>397.76</v>
      </c>
    </row>
    <row r="91" spans="1:9" s="21" customFormat="1" ht="14.65" customHeight="1" x14ac:dyDescent="0.2">
      <c r="A91" s="19" t="s">
        <v>89</v>
      </c>
      <c r="B91" s="171" t="s">
        <v>90</v>
      </c>
      <c r="C91" s="171"/>
      <c r="D91" s="171"/>
      <c r="E91" s="171"/>
      <c r="F91" s="171"/>
      <c r="G91" s="171"/>
      <c r="H91" s="171"/>
      <c r="I91" s="53">
        <f>I82</f>
        <v>310.81</v>
      </c>
    </row>
    <row r="92" spans="1:9" ht="14.65" customHeight="1" x14ac:dyDescent="0.2">
      <c r="A92" s="146" t="s">
        <v>56</v>
      </c>
      <c r="B92" s="146"/>
      <c r="C92" s="146"/>
      <c r="D92" s="146"/>
      <c r="E92" s="146"/>
      <c r="F92" s="146"/>
      <c r="G92" s="146"/>
      <c r="H92" s="146"/>
      <c r="I92" s="54">
        <f>SUM(I89+I90+I91)</f>
        <v>816.66</v>
      </c>
    </row>
    <row r="93" spans="1:9" ht="14.65" customHeight="1" x14ac:dyDescent="0.2">
      <c r="A93" s="193"/>
      <c r="B93" s="193"/>
      <c r="C93" s="193"/>
      <c r="D93" s="193"/>
      <c r="E93" s="193"/>
      <c r="F93" s="193"/>
      <c r="G93" s="193"/>
      <c r="H93" s="193"/>
      <c r="I93" s="193"/>
    </row>
    <row r="94" spans="1:9" ht="17.100000000000001" customHeight="1" x14ac:dyDescent="0.2">
      <c r="A94" s="170" t="s">
        <v>108</v>
      </c>
      <c r="B94" s="170"/>
      <c r="C94" s="170"/>
      <c r="D94" s="170"/>
      <c r="E94" s="170"/>
      <c r="F94" s="170"/>
      <c r="G94" s="170"/>
      <c r="H94" s="170"/>
      <c r="I94" s="170"/>
    </row>
    <row r="95" spans="1:9" ht="15.75" customHeight="1" x14ac:dyDescent="0.2">
      <c r="A95" s="55">
        <v>3</v>
      </c>
      <c r="B95" s="176" t="s">
        <v>109</v>
      </c>
      <c r="C95" s="176"/>
      <c r="D95" s="176"/>
      <c r="E95" s="176"/>
      <c r="F95" s="176"/>
      <c r="G95" s="176"/>
      <c r="H95" s="176"/>
      <c r="I95" s="55" t="s">
        <v>110</v>
      </c>
    </row>
    <row r="96" spans="1:9" s="21" customFormat="1" ht="46.5" customHeight="1" x14ac:dyDescent="0.2">
      <c r="A96" s="25" t="s">
        <v>10</v>
      </c>
      <c r="B96" s="171" t="s">
        <v>111</v>
      </c>
      <c r="C96" s="171"/>
      <c r="D96" s="171"/>
      <c r="E96" s="171"/>
      <c r="F96" s="171"/>
      <c r="G96" s="171"/>
      <c r="H96" s="171"/>
      <c r="I96" s="31">
        <f>ROUND((($I$40/12)+($I$47/12)+($I$40/12/12)+($I$48/12))*(30/30)*0.05,2)</f>
        <v>4.84</v>
      </c>
    </row>
    <row r="97" spans="1:9" s="21" customFormat="1" ht="14.25" customHeight="1" x14ac:dyDescent="0.2">
      <c r="A97" s="25" t="s">
        <v>12</v>
      </c>
      <c r="B97" s="179" t="s">
        <v>112</v>
      </c>
      <c r="C97" s="179"/>
      <c r="D97" s="179"/>
      <c r="E97" s="179"/>
      <c r="F97" s="179"/>
      <c r="G97" s="179"/>
      <c r="H97" s="179"/>
      <c r="I97" s="31">
        <f>ROUND($I$96*H63,2)</f>
        <v>0.39</v>
      </c>
    </row>
    <row r="98" spans="1:9" s="21" customFormat="1" ht="25.35" customHeight="1" x14ac:dyDescent="0.2">
      <c r="A98" s="25" t="s">
        <v>15</v>
      </c>
      <c r="B98" s="171" t="s">
        <v>113</v>
      </c>
      <c r="C98" s="171"/>
      <c r="D98" s="171"/>
      <c r="E98" s="171"/>
      <c r="F98" s="171"/>
      <c r="G98" s="171"/>
      <c r="H98" s="171"/>
      <c r="I98" s="31">
        <f>ROUND(0.08*0.4*($I$40+$I$47+($I$40/12)+$I$48)*0.05,2)</f>
        <v>1.86</v>
      </c>
    </row>
    <row r="99" spans="1:9" s="21" customFormat="1" ht="26.1" customHeight="1" x14ac:dyDescent="0.2">
      <c r="A99" s="25" t="s">
        <v>18</v>
      </c>
      <c r="B99" s="171" t="s">
        <v>114</v>
      </c>
      <c r="C99" s="171"/>
      <c r="D99" s="171"/>
      <c r="E99" s="171"/>
      <c r="F99" s="171"/>
      <c r="G99" s="171"/>
      <c r="H99" s="171"/>
      <c r="I99" s="31">
        <f>ROUND(((($I$40/30)*7)/$H$21)*1,2)</f>
        <v>18.920000000000002</v>
      </c>
    </row>
    <row r="100" spans="1:9" s="21" customFormat="1" ht="14.65" customHeight="1" x14ac:dyDescent="0.2">
      <c r="A100" s="25" t="s">
        <v>35</v>
      </c>
      <c r="B100" s="179" t="s">
        <v>115</v>
      </c>
      <c r="C100" s="179"/>
      <c r="D100" s="179"/>
      <c r="E100" s="179"/>
      <c r="F100" s="179"/>
      <c r="G100" s="179"/>
      <c r="H100" s="179"/>
      <c r="I100" s="31">
        <f>ROUND($H$64*I99,2)</f>
        <v>6.96</v>
      </c>
    </row>
    <row r="101" spans="1:9" s="21" customFormat="1" ht="25.35" customHeight="1" x14ac:dyDescent="0.2">
      <c r="A101" s="25" t="s">
        <v>79</v>
      </c>
      <c r="B101" s="171" t="s">
        <v>116</v>
      </c>
      <c r="C101" s="171"/>
      <c r="D101" s="171"/>
      <c r="E101" s="171"/>
      <c r="F101" s="171"/>
      <c r="G101" s="171"/>
      <c r="H101" s="171"/>
      <c r="I101" s="31">
        <f>ROUND(0.08*0.4*($I$40+$I$47+($I$40/12)+$I$48)*1,2)</f>
        <v>37.18</v>
      </c>
    </row>
    <row r="102" spans="1:9" ht="14.65" customHeight="1" x14ac:dyDescent="0.2">
      <c r="A102" s="145" t="s">
        <v>56</v>
      </c>
      <c r="B102" s="145"/>
      <c r="C102" s="145"/>
      <c r="D102" s="145"/>
      <c r="E102" s="145"/>
      <c r="F102" s="145"/>
      <c r="G102" s="145"/>
      <c r="H102" s="145"/>
      <c r="I102" s="36">
        <f>SUM(I96:I101)</f>
        <v>70.150000000000006</v>
      </c>
    </row>
    <row r="103" spans="1:9" s="56" customFormat="1" ht="14.65" customHeight="1" x14ac:dyDescent="0.2">
      <c r="A103" s="186"/>
      <c r="B103" s="186"/>
      <c r="C103" s="186"/>
      <c r="D103" s="186"/>
      <c r="E103" s="186"/>
      <c r="F103" s="186"/>
      <c r="G103" s="186"/>
      <c r="H103" s="186"/>
      <c r="I103" s="186"/>
    </row>
    <row r="104" spans="1:9" ht="17.100000000000001" customHeight="1" x14ac:dyDescent="0.2">
      <c r="A104" s="177" t="s">
        <v>117</v>
      </c>
      <c r="B104" s="177"/>
      <c r="C104" s="177"/>
      <c r="D104" s="177"/>
      <c r="E104" s="177"/>
      <c r="F104" s="177"/>
      <c r="G104" s="177"/>
      <c r="H104" s="177"/>
      <c r="I104" s="177"/>
    </row>
    <row r="105" spans="1:9" ht="25.5" customHeight="1" x14ac:dyDescent="0.2">
      <c r="A105" s="187" t="s">
        <v>118</v>
      </c>
      <c r="B105" s="187"/>
      <c r="C105" s="187"/>
      <c r="D105" s="187"/>
      <c r="E105" s="187"/>
      <c r="F105" s="187"/>
      <c r="G105" s="187"/>
      <c r="H105" s="187"/>
      <c r="I105" s="187"/>
    </row>
    <row r="106" spans="1:9" ht="36.200000000000003" customHeight="1" x14ac:dyDescent="0.2">
      <c r="A106" s="188" t="s">
        <v>119</v>
      </c>
      <c r="B106" s="188"/>
      <c r="C106" s="188"/>
      <c r="D106" s="188"/>
      <c r="E106" s="188"/>
      <c r="F106" s="188"/>
      <c r="G106" s="188"/>
      <c r="H106" s="188"/>
      <c r="I106" s="188"/>
    </row>
    <row r="107" spans="1:9" ht="15.75" customHeight="1" x14ac:dyDescent="0.2">
      <c r="A107" s="189"/>
      <c r="B107" s="189"/>
      <c r="C107" s="189"/>
      <c r="D107" s="189"/>
      <c r="E107" s="189"/>
      <c r="F107" s="189"/>
      <c r="G107" s="189"/>
      <c r="H107" s="189"/>
      <c r="I107" s="189"/>
    </row>
    <row r="108" spans="1:9" ht="40.5" x14ac:dyDescent="0.2">
      <c r="A108" s="57" t="s">
        <v>120</v>
      </c>
      <c r="B108" s="58">
        <f>I40</f>
        <v>972.78</v>
      </c>
      <c r="C108" s="59"/>
      <c r="D108" s="57" t="s">
        <v>121</v>
      </c>
      <c r="E108" s="58">
        <f>I92-I72-I77</f>
        <v>521.47</v>
      </c>
      <c r="F108" s="59"/>
      <c r="G108" s="57" t="s">
        <v>122</v>
      </c>
      <c r="H108" s="58">
        <f>I102</f>
        <v>70.150000000000006</v>
      </c>
      <c r="I108" s="60">
        <f>B108+E108+H108</f>
        <v>1564.4</v>
      </c>
    </row>
    <row r="109" spans="1:9" ht="15.6" customHeight="1" x14ac:dyDescent="0.2">
      <c r="A109" s="190" t="s">
        <v>123</v>
      </c>
      <c r="B109" s="190"/>
      <c r="C109" s="190"/>
      <c r="D109" s="190"/>
      <c r="E109" s="190"/>
      <c r="F109" s="190"/>
      <c r="G109" s="190"/>
      <c r="H109" s="190"/>
      <c r="I109" s="61">
        <f>ROUND(I108/30,2)</f>
        <v>52.15</v>
      </c>
    </row>
    <row r="110" spans="1:9" ht="15.75" customHeight="1" x14ac:dyDescent="0.2">
      <c r="A110" s="191"/>
      <c r="B110" s="191"/>
      <c r="C110" s="191"/>
      <c r="D110" s="191"/>
      <c r="E110" s="191"/>
      <c r="F110" s="191"/>
      <c r="G110" s="191"/>
      <c r="H110" s="191"/>
      <c r="I110" s="191"/>
    </row>
    <row r="111" spans="1:9" ht="20.45" customHeight="1" x14ac:dyDescent="0.2">
      <c r="A111" s="192" t="s">
        <v>124</v>
      </c>
      <c r="B111" s="192"/>
      <c r="C111" s="192"/>
      <c r="D111" s="192"/>
      <c r="E111" s="192"/>
      <c r="F111" s="192"/>
      <c r="G111" s="192"/>
      <c r="H111" s="192"/>
      <c r="I111" s="192"/>
    </row>
    <row r="112" spans="1:9" ht="15.75" customHeight="1" x14ac:dyDescent="0.25">
      <c r="A112" s="62" t="s">
        <v>125</v>
      </c>
      <c r="B112" s="176" t="s">
        <v>126</v>
      </c>
      <c r="C112" s="176"/>
      <c r="D112" s="176"/>
      <c r="E112" s="176"/>
      <c r="F112" s="176"/>
      <c r="G112" s="176"/>
      <c r="H112" s="176"/>
      <c r="I112" s="62" t="s">
        <v>62</v>
      </c>
    </row>
    <row r="113" spans="1:9" s="21" customFormat="1" ht="14.65" customHeight="1" x14ac:dyDescent="0.2">
      <c r="A113" s="63" t="s">
        <v>10</v>
      </c>
      <c r="B113" s="184" t="s">
        <v>127</v>
      </c>
      <c r="C113" s="184"/>
      <c r="D113" s="184"/>
      <c r="E113" s="184"/>
      <c r="F113" s="184"/>
      <c r="G113" s="184"/>
      <c r="H113" s="184"/>
      <c r="I113" s="64">
        <f>ROUND($I$108/12,2)</f>
        <v>130.37</v>
      </c>
    </row>
    <row r="114" spans="1:9" s="21" customFormat="1" ht="14.65" customHeight="1" x14ac:dyDescent="0.2">
      <c r="A114" s="25" t="s">
        <v>12</v>
      </c>
      <c r="B114" s="171" t="s">
        <v>128</v>
      </c>
      <c r="C114" s="171"/>
      <c r="D114" s="171"/>
      <c r="E114" s="171"/>
      <c r="F114" s="171"/>
      <c r="G114" s="171"/>
      <c r="H114" s="171"/>
      <c r="I114" s="31">
        <f>ROUND((($I$108/30)*1)/12,2)</f>
        <v>4.3499999999999996</v>
      </c>
    </row>
    <row r="115" spans="1:9" s="21" customFormat="1" ht="12.75" customHeight="1" x14ac:dyDescent="0.2">
      <c r="A115" s="25" t="s">
        <v>15</v>
      </c>
      <c r="B115" s="171" t="s">
        <v>129</v>
      </c>
      <c r="C115" s="171"/>
      <c r="D115" s="171"/>
      <c r="E115" s="171"/>
      <c r="F115" s="171"/>
      <c r="G115" s="171"/>
      <c r="H115" s="171"/>
      <c r="I115" s="31">
        <f>ROUND(((($I$108/30)*5)/12)*0.015,2)</f>
        <v>0.33</v>
      </c>
    </row>
    <row r="116" spans="1:9" s="21" customFormat="1" ht="25.35" customHeight="1" x14ac:dyDescent="0.2">
      <c r="A116" s="25" t="s">
        <v>18</v>
      </c>
      <c r="B116" s="171" t="s">
        <v>130</v>
      </c>
      <c r="C116" s="171"/>
      <c r="D116" s="171"/>
      <c r="E116" s="171"/>
      <c r="F116" s="171"/>
      <c r="G116" s="171"/>
      <c r="H116" s="171"/>
      <c r="I116" s="31">
        <f>ROUND(((($I$108/30)*15)/12)*0.0078,2)</f>
        <v>0.51</v>
      </c>
    </row>
    <row r="117" spans="1:9" s="21" customFormat="1" ht="26.85" customHeight="1" x14ac:dyDescent="0.2">
      <c r="A117" s="25" t="s">
        <v>35</v>
      </c>
      <c r="B117" s="171" t="s">
        <v>131</v>
      </c>
      <c r="C117" s="171"/>
      <c r="D117" s="171"/>
      <c r="E117" s="171"/>
      <c r="F117" s="171"/>
      <c r="G117" s="171"/>
      <c r="H117" s="171"/>
      <c r="I117" s="31">
        <f>ROUND(((((B108+B108/3)/12)+(I64+I82-I72-I77+I102))*(4/12))*0.02,2)</f>
        <v>3.94</v>
      </c>
    </row>
    <row r="118" spans="1:9" s="21" customFormat="1" ht="18" customHeight="1" x14ac:dyDescent="0.2">
      <c r="A118" s="65" t="s">
        <v>79</v>
      </c>
      <c r="B118" s="171" t="s">
        <v>132</v>
      </c>
      <c r="C118" s="171"/>
      <c r="D118" s="171"/>
      <c r="E118" s="171"/>
      <c r="F118" s="171"/>
      <c r="G118" s="171"/>
      <c r="H118" s="171"/>
      <c r="I118" s="31">
        <f>ROUND(((($I$108/30)*5)/12),2)</f>
        <v>21.73</v>
      </c>
    </row>
    <row r="119" spans="1:9" ht="14.65" customHeight="1" x14ac:dyDescent="0.2">
      <c r="A119" s="145" t="s">
        <v>56</v>
      </c>
      <c r="B119" s="145"/>
      <c r="C119" s="145"/>
      <c r="D119" s="145"/>
      <c r="E119" s="145"/>
      <c r="F119" s="145"/>
      <c r="G119" s="145"/>
      <c r="H119" s="145"/>
      <c r="I119" s="66">
        <f>SUM(I113:I118)</f>
        <v>161.22999999999999</v>
      </c>
    </row>
    <row r="120" spans="1:9" s="56" customFormat="1" ht="14.65" customHeight="1" x14ac:dyDescent="0.2">
      <c r="A120" s="185"/>
      <c r="B120" s="185"/>
      <c r="C120" s="185"/>
      <c r="D120" s="185"/>
      <c r="E120" s="185"/>
      <c r="F120" s="185"/>
      <c r="G120" s="185"/>
      <c r="H120" s="185"/>
      <c r="I120" s="185"/>
    </row>
    <row r="121" spans="1:9" ht="15.75" customHeight="1" x14ac:dyDescent="0.2">
      <c r="A121" s="181" t="s">
        <v>133</v>
      </c>
      <c r="B121" s="181"/>
      <c r="C121" s="181"/>
      <c r="D121" s="181"/>
      <c r="E121" s="181"/>
      <c r="F121" s="181"/>
      <c r="G121" s="181"/>
      <c r="H121" s="181"/>
      <c r="I121" s="181"/>
    </row>
    <row r="122" spans="1:9" ht="15.75" customHeight="1" x14ac:dyDescent="0.2">
      <c r="A122" s="55" t="s">
        <v>134</v>
      </c>
      <c r="B122" s="176" t="s">
        <v>135</v>
      </c>
      <c r="C122" s="176"/>
      <c r="D122" s="176"/>
      <c r="E122" s="176"/>
      <c r="F122" s="176"/>
      <c r="G122" s="176"/>
      <c r="H122" s="176"/>
      <c r="I122" s="67" t="s">
        <v>62</v>
      </c>
    </row>
    <row r="123" spans="1:9" ht="14.65" customHeight="1" x14ac:dyDescent="0.2">
      <c r="A123" s="25" t="s">
        <v>10</v>
      </c>
      <c r="B123" s="179" t="s">
        <v>136</v>
      </c>
      <c r="C123" s="179"/>
      <c r="D123" s="179"/>
      <c r="E123" s="179"/>
      <c r="F123" s="179"/>
      <c r="G123" s="179"/>
      <c r="H123" s="179"/>
      <c r="I123" s="31">
        <v>0</v>
      </c>
    </row>
    <row r="124" spans="1:9" ht="14.65" customHeight="1" x14ac:dyDescent="0.2">
      <c r="A124" s="182" t="s">
        <v>56</v>
      </c>
      <c r="B124" s="182"/>
      <c r="C124" s="182"/>
      <c r="D124" s="182"/>
      <c r="E124" s="182"/>
      <c r="F124" s="182"/>
      <c r="G124" s="182"/>
      <c r="H124" s="182"/>
      <c r="I124" s="69">
        <v>0</v>
      </c>
    </row>
    <row r="125" spans="1:9" ht="14.65" customHeight="1" x14ac:dyDescent="0.2">
      <c r="A125" s="183"/>
      <c r="B125" s="183"/>
      <c r="C125" s="183"/>
      <c r="D125" s="183"/>
      <c r="E125" s="183"/>
      <c r="F125" s="183"/>
      <c r="G125" s="183"/>
      <c r="H125" s="183"/>
      <c r="I125" s="183"/>
    </row>
    <row r="126" spans="1:9" ht="17.100000000000001" customHeight="1" x14ac:dyDescent="0.2">
      <c r="A126" s="177" t="s">
        <v>137</v>
      </c>
      <c r="B126" s="177"/>
      <c r="C126" s="177"/>
      <c r="D126" s="177"/>
      <c r="E126" s="177"/>
      <c r="F126" s="177"/>
      <c r="G126" s="177"/>
      <c r="H126" s="177"/>
      <c r="I126" s="177"/>
    </row>
    <row r="127" spans="1:9" ht="15.75" customHeight="1" x14ac:dyDescent="0.2">
      <c r="A127" s="8">
        <v>4</v>
      </c>
      <c r="B127" s="176" t="s">
        <v>138</v>
      </c>
      <c r="C127" s="176"/>
      <c r="D127" s="176"/>
      <c r="E127" s="176"/>
      <c r="F127" s="176"/>
      <c r="G127" s="176"/>
      <c r="H127" s="176"/>
      <c r="I127" s="67" t="s">
        <v>62</v>
      </c>
    </row>
    <row r="128" spans="1:9" s="21" customFormat="1" ht="14.65" customHeight="1" x14ac:dyDescent="0.2">
      <c r="A128" s="19" t="s">
        <v>125</v>
      </c>
      <c r="B128" s="179" t="s">
        <v>126</v>
      </c>
      <c r="C128" s="179"/>
      <c r="D128" s="179"/>
      <c r="E128" s="179"/>
      <c r="F128" s="179"/>
      <c r="G128" s="179"/>
      <c r="H128" s="179"/>
      <c r="I128" s="31">
        <f>I119</f>
        <v>161.22999999999999</v>
      </c>
    </row>
    <row r="129" spans="1:9" s="21" customFormat="1" ht="14.65" customHeight="1" x14ac:dyDescent="0.2">
      <c r="A129" s="19" t="s">
        <v>139</v>
      </c>
      <c r="B129" s="179" t="s">
        <v>135</v>
      </c>
      <c r="C129" s="179"/>
      <c r="D129" s="179"/>
      <c r="E129" s="179"/>
      <c r="F129" s="179"/>
      <c r="G129" s="179"/>
      <c r="H129" s="179"/>
      <c r="I129" s="31">
        <f>I124</f>
        <v>0</v>
      </c>
    </row>
    <row r="130" spans="1:9" ht="14.65" customHeight="1" x14ac:dyDescent="0.2">
      <c r="A130" s="146" t="s">
        <v>56</v>
      </c>
      <c r="B130" s="146"/>
      <c r="C130" s="146"/>
      <c r="D130" s="146"/>
      <c r="E130" s="146"/>
      <c r="F130" s="146"/>
      <c r="G130" s="146"/>
      <c r="H130" s="146"/>
      <c r="I130" s="36">
        <f>SUM(I128+I129)</f>
        <v>161.22999999999999</v>
      </c>
    </row>
    <row r="131" spans="1:9" ht="14.65" customHeight="1" x14ac:dyDescent="0.2">
      <c r="A131" s="159"/>
      <c r="B131" s="159"/>
      <c r="C131" s="159"/>
      <c r="D131" s="159"/>
      <c r="E131" s="159"/>
      <c r="F131" s="159"/>
      <c r="G131" s="159"/>
      <c r="H131" s="159"/>
      <c r="I131" s="159"/>
    </row>
    <row r="132" spans="1:9" ht="17.100000000000001" customHeight="1" x14ac:dyDescent="0.2">
      <c r="A132" s="177" t="s">
        <v>140</v>
      </c>
      <c r="B132" s="177"/>
      <c r="C132" s="177"/>
      <c r="D132" s="177"/>
      <c r="E132" s="177"/>
      <c r="F132" s="177"/>
      <c r="G132" s="177"/>
      <c r="H132" s="177"/>
      <c r="I132" s="177"/>
    </row>
    <row r="133" spans="1:9" ht="15.75" customHeight="1" x14ac:dyDescent="0.2">
      <c r="A133" s="55">
        <v>5</v>
      </c>
      <c r="B133" s="178" t="s">
        <v>141</v>
      </c>
      <c r="C133" s="178"/>
      <c r="D133" s="178"/>
      <c r="E133" s="178"/>
      <c r="F133" s="178"/>
      <c r="G133" s="178"/>
      <c r="H133" s="178"/>
      <c r="I133" s="55" t="s">
        <v>62</v>
      </c>
    </row>
    <row r="134" spans="1:9" s="21" customFormat="1" ht="14.65" customHeight="1" x14ac:dyDescent="0.2">
      <c r="A134" s="25" t="s">
        <v>10</v>
      </c>
      <c r="B134" s="171" t="s">
        <v>142</v>
      </c>
      <c r="C134" s="171"/>
      <c r="D134" s="171"/>
      <c r="E134" s="171"/>
      <c r="F134" s="171"/>
      <c r="G134" s="171"/>
      <c r="H134" s="171"/>
      <c r="I134" s="31">
        <f>INSUMOS!I44</f>
        <v>109.44999999999999</v>
      </c>
    </row>
    <row r="135" spans="1:9" s="21" customFormat="1" ht="14.65" customHeight="1" x14ac:dyDescent="0.2">
      <c r="A135" s="25" t="s">
        <v>12</v>
      </c>
      <c r="B135" s="171" t="s">
        <v>143</v>
      </c>
      <c r="C135" s="171"/>
      <c r="D135" s="171"/>
      <c r="E135" s="171"/>
      <c r="F135" s="171"/>
      <c r="G135" s="171"/>
      <c r="H135" s="171"/>
      <c r="I135" s="31">
        <f>INSUMOS!I45</f>
        <v>0.62</v>
      </c>
    </row>
    <row r="136" spans="1:9" s="21" customFormat="1" ht="14.65" customHeight="1" x14ac:dyDescent="0.2">
      <c r="A136" s="25" t="s">
        <v>15</v>
      </c>
      <c r="B136" s="179" t="s">
        <v>144</v>
      </c>
      <c r="C136" s="179"/>
      <c r="D136" s="179"/>
      <c r="E136" s="179"/>
      <c r="F136" s="179"/>
      <c r="G136" s="179"/>
      <c r="H136" s="179"/>
      <c r="I136" s="31">
        <f>INSUMOS!I46</f>
        <v>5.22</v>
      </c>
    </row>
    <row r="137" spans="1:9" ht="14.65" customHeight="1" x14ac:dyDescent="0.2">
      <c r="A137" s="145" t="s">
        <v>102</v>
      </c>
      <c r="B137" s="145"/>
      <c r="C137" s="145"/>
      <c r="D137" s="145"/>
      <c r="E137" s="145"/>
      <c r="F137" s="145"/>
      <c r="G137" s="145"/>
      <c r="H137" s="145"/>
      <c r="I137" s="54">
        <f>SUM(I134:I136)</f>
        <v>115.28999999999999</v>
      </c>
    </row>
    <row r="138" spans="1:9" ht="19.350000000000001" customHeight="1" x14ac:dyDescent="0.2">
      <c r="A138" s="180"/>
      <c r="B138" s="180"/>
      <c r="C138" s="180"/>
      <c r="D138" s="180"/>
      <c r="E138" s="180"/>
      <c r="F138" s="180"/>
      <c r="G138" s="180"/>
      <c r="H138" s="180"/>
      <c r="I138" s="180"/>
    </row>
    <row r="139" spans="1:9" ht="14.65" customHeight="1" x14ac:dyDescent="0.2">
      <c r="A139" s="175" t="s">
        <v>145</v>
      </c>
      <c r="B139" s="175"/>
      <c r="C139" s="175"/>
      <c r="D139" s="175"/>
      <c r="E139" s="175"/>
      <c r="F139" s="175"/>
      <c r="G139" s="175"/>
      <c r="H139" s="175"/>
      <c r="I139" s="175"/>
    </row>
    <row r="140" spans="1:9" ht="18" x14ac:dyDescent="0.2">
      <c r="A140" s="70"/>
      <c r="B140" s="71"/>
      <c r="C140" s="71"/>
      <c r="D140" s="71"/>
      <c r="E140" s="71"/>
      <c r="F140" s="71"/>
      <c r="G140" s="71"/>
      <c r="H140" s="71"/>
      <c r="I140" s="72"/>
    </row>
    <row r="141" spans="1:9" ht="17.100000000000001" customHeight="1" x14ac:dyDescent="0.2">
      <c r="A141" s="170" t="s">
        <v>146</v>
      </c>
      <c r="B141" s="170"/>
      <c r="C141" s="170"/>
      <c r="D141" s="170"/>
      <c r="E141" s="170"/>
      <c r="F141" s="170"/>
      <c r="G141" s="170"/>
      <c r="H141" s="170"/>
      <c r="I141" s="170"/>
    </row>
    <row r="142" spans="1:9" ht="28.35" customHeight="1" x14ac:dyDescent="0.2">
      <c r="A142" s="55">
        <v>6</v>
      </c>
      <c r="B142" s="176" t="s">
        <v>147</v>
      </c>
      <c r="C142" s="176"/>
      <c r="D142" s="176"/>
      <c r="E142" s="176"/>
      <c r="F142" s="176"/>
      <c r="G142" s="176"/>
      <c r="H142" s="8" t="s">
        <v>70</v>
      </c>
      <c r="I142" s="73" t="s">
        <v>148</v>
      </c>
    </row>
    <row r="143" spans="1:9" s="74" customFormat="1" ht="55.15" customHeight="1" x14ac:dyDescent="0.2">
      <c r="A143" s="172" t="s">
        <v>149</v>
      </c>
      <c r="B143" s="172"/>
      <c r="C143" s="172"/>
      <c r="D143" s="172"/>
      <c r="E143" s="172"/>
      <c r="F143" s="172"/>
      <c r="G143" s="172"/>
      <c r="H143" s="25" t="s">
        <v>150</v>
      </c>
      <c r="I143" s="31">
        <f>SUM(I40+I92+I102+I130+I137)</f>
        <v>2136.11</v>
      </c>
    </row>
    <row r="144" spans="1:9" ht="17.100000000000001" customHeight="1" x14ac:dyDescent="0.2">
      <c r="A144" s="75" t="s">
        <v>10</v>
      </c>
      <c r="B144" s="170" t="s">
        <v>151</v>
      </c>
      <c r="C144" s="170"/>
      <c r="D144" s="170"/>
      <c r="E144" s="170"/>
      <c r="F144" s="170"/>
      <c r="G144" s="170"/>
      <c r="H144" s="76">
        <v>0.03</v>
      </c>
      <c r="I144" s="69">
        <f>ROUND(H144*I143,2)</f>
        <v>64.08</v>
      </c>
    </row>
    <row r="145" spans="1:9" s="74" customFormat="1" ht="50.25" customHeight="1" x14ac:dyDescent="0.2">
      <c r="A145" s="172" t="s">
        <v>152</v>
      </c>
      <c r="B145" s="172"/>
      <c r="C145" s="172"/>
      <c r="D145" s="172"/>
      <c r="E145" s="172"/>
      <c r="F145" s="172"/>
      <c r="G145" s="172"/>
      <c r="H145" s="30" t="s">
        <v>150</v>
      </c>
      <c r="I145" s="31">
        <f>SUM(I40+I92+I102+I130+I137+I144)</f>
        <v>2200.19</v>
      </c>
    </row>
    <row r="146" spans="1:9" ht="17.100000000000001" customHeight="1" x14ac:dyDescent="0.2">
      <c r="A146" s="75" t="s">
        <v>12</v>
      </c>
      <c r="B146" s="170" t="s">
        <v>153</v>
      </c>
      <c r="C146" s="170"/>
      <c r="D146" s="170"/>
      <c r="E146" s="170"/>
      <c r="F146" s="170"/>
      <c r="G146" s="170"/>
      <c r="H146" s="76">
        <v>0.04</v>
      </c>
      <c r="I146" s="69">
        <f>ROUND(H146*I145,2)</f>
        <v>88.01</v>
      </c>
    </row>
    <row r="147" spans="1:9" s="74" customFormat="1" ht="53.25" customHeight="1" x14ac:dyDescent="0.2">
      <c r="A147" s="172" t="s">
        <v>154</v>
      </c>
      <c r="B147" s="172"/>
      <c r="C147" s="172"/>
      <c r="D147" s="172"/>
      <c r="E147" s="172"/>
      <c r="F147" s="172"/>
      <c r="G147" s="172"/>
      <c r="H147" s="30" t="s">
        <v>150</v>
      </c>
      <c r="I147" s="31">
        <f>SUM(I40+I92+I102+I130+I137+I144+I146)</f>
        <v>2288.2000000000003</v>
      </c>
    </row>
    <row r="148" spans="1:9" ht="17.100000000000001" customHeight="1" x14ac:dyDescent="0.2">
      <c r="A148" s="75" t="s">
        <v>15</v>
      </c>
      <c r="B148" s="170" t="s">
        <v>155</v>
      </c>
      <c r="C148" s="170"/>
      <c r="D148" s="170"/>
      <c r="E148" s="170"/>
      <c r="F148" s="170"/>
      <c r="G148" s="170"/>
      <c r="H148" s="77" t="s">
        <v>150</v>
      </c>
      <c r="I148" s="69" t="s">
        <v>150</v>
      </c>
    </row>
    <row r="149" spans="1:9" ht="17.100000000000001" customHeight="1" x14ac:dyDescent="0.2">
      <c r="A149" s="68"/>
      <c r="B149" s="170" t="s">
        <v>156</v>
      </c>
      <c r="C149" s="170"/>
      <c r="D149" s="170"/>
      <c r="E149" s="170"/>
      <c r="F149" s="170"/>
      <c r="G149" s="170"/>
      <c r="H149" s="77" t="s">
        <v>150</v>
      </c>
      <c r="I149" s="69" t="s">
        <v>150</v>
      </c>
    </row>
    <row r="150" spans="1:9" s="21" customFormat="1" ht="17.100000000000001" customHeight="1" x14ac:dyDescent="0.2">
      <c r="A150" s="25"/>
      <c r="B150" s="171" t="s">
        <v>157</v>
      </c>
      <c r="C150" s="171"/>
      <c r="D150" s="171"/>
      <c r="E150" s="171"/>
      <c r="F150" s="171"/>
      <c r="G150" s="171"/>
      <c r="H150" s="78">
        <v>7.5999999999999998E-2</v>
      </c>
      <c r="I150" s="31">
        <f>ROUND(($I$147/(1-$H$159))*H150,2)</f>
        <v>200.46</v>
      </c>
    </row>
    <row r="151" spans="1:9" s="21" customFormat="1" ht="26.1" customHeight="1" x14ac:dyDescent="0.2">
      <c r="A151" s="25"/>
      <c r="B151" s="171" t="s">
        <v>158</v>
      </c>
      <c r="C151" s="171"/>
      <c r="D151" s="171"/>
      <c r="E151" s="171"/>
      <c r="F151" s="171"/>
      <c r="G151" s="171"/>
      <c r="H151" s="78">
        <v>1.6500000000000001E-2</v>
      </c>
      <c r="I151" s="31">
        <f>ROUND(($I$147/(1-$H$159))*H151,2)</f>
        <v>43.52</v>
      </c>
    </row>
    <row r="152" spans="1:9" s="21" customFormat="1" ht="26.1" customHeight="1" x14ac:dyDescent="0.2">
      <c r="A152" s="25"/>
      <c r="B152" s="172" t="s">
        <v>159</v>
      </c>
      <c r="C152" s="172"/>
      <c r="D152" s="172"/>
      <c r="E152" s="172"/>
      <c r="F152" s="172"/>
      <c r="G152" s="172"/>
      <c r="H152" s="79" t="s">
        <v>150</v>
      </c>
      <c r="I152" s="31" t="s">
        <v>150</v>
      </c>
    </row>
    <row r="153" spans="1:9" s="21" customFormat="1" ht="26.1" customHeight="1" x14ac:dyDescent="0.2">
      <c r="A153" s="25"/>
      <c r="B153" s="172" t="s">
        <v>160</v>
      </c>
      <c r="C153" s="172"/>
      <c r="D153" s="172"/>
      <c r="E153" s="172"/>
      <c r="F153" s="172"/>
      <c r="G153" s="172"/>
      <c r="H153" s="79" t="s">
        <v>150</v>
      </c>
      <c r="I153" s="31" t="s">
        <v>150</v>
      </c>
    </row>
    <row r="154" spans="1:9" s="81" customFormat="1" ht="14.65" customHeight="1" x14ac:dyDescent="0.2">
      <c r="A154" s="68"/>
      <c r="B154" s="173" t="s">
        <v>161</v>
      </c>
      <c r="C154" s="173"/>
      <c r="D154" s="173"/>
      <c r="E154" s="173"/>
      <c r="F154" s="173"/>
      <c r="G154" s="173"/>
      <c r="H154" s="80" t="s">
        <v>150</v>
      </c>
      <c r="I154" s="69" t="s">
        <v>150</v>
      </c>
    </row>
    <row r="155" spans="1:9" s="21" customFormat="1" ht="17.100000000000001" customHeight="1" x14ac:dyDescent="0.2">
      <c r="A155" s="68"/>
      <c r="B155" s="174" t="s">
        <v>162</v>
      </c>
      <c r="C155" s="174"/>
      <c r="D155" s="174"/>
      <c r="E155" s="174"/>
      <c r="F155" s="174"/>
      <c r="G155" s="174"/>
      <c r="H155" s="80" t="s">
        <v>150</v>
      </c>
      <c r="I155" s="69" t="s">
        <v>150</v>
      </c>
    </row>
    <row r="156" spans="1:9" s="21" customFormat="1" ht="12.75" customHeight="1" x14ac:dyDescent="0.2">
      <c r="A156" s="25"/>
      <c r="B156" s="171" t="s">
        <v>163</v>
      </c>
      <c r="C156" s="171"/>
      <c r="D156" s="171"/>
      <c r="E156" s="171"/>
      <c r="F156" s="171"/>
      <c r="G156" s="171"/>
      <c r="H156" s="80">
        <v>0.04</v>
      </c>
      <c r="I156" s="31">
        <f>ROUND(($I$147/(1-$H$159))*H156,2)</f>
        <v>105.51</v>
      </c>
    </row>
    <row r="157" spans="1:9" s="21" customFormat="1" ht="14.65" customHeight="1" x14ac:dyDescent="0.2">
      <c r="A157" s="145" t="s">
        <v>56</v>
      </c>
      <c r="B157" s="145"/>
      <c r="C157" s="145"/>
      <c r="D157" s="145"/>
      <c r="E157" s="145"/>
      <c r="F157" s="145"/>
      <c r="G157" s="145"/>
      <c r="H157" s="145"/>
      <c r="I157" s="36">
        <f>SUM(I144+I146+I150+I151+I156)</f>
        <v>501.58</v>
      </c>
    </row>
    <row r="158" spans="1:9" ht="14.65" customHeight="1" x14ac:dyDescent="0.2">
      <c r="A158" s="159"/>
      <c r="B158" s="159"/>
      <c r="C158" s="159"/>
      <c r="D158" s="159"/>
      <c r="E158" s="159"/>
      <c r="F158" s="159"/>
      <c r="G158" s="159"/>
      <c r="H158" s="159"/>
      <c r="I158" s="159"/>
    </row>
    <row r="159" spans="1:9" ht="14.65" customHeight="1" x14ac:dyDescent="0.2">
      <c r="A159" s="163" t="s">
        <v>164</v>
      </c>
      <c r="B159" s="163"/>
      <c r="C159" s="163"/>
      <c r="D159" s="163"/>
      <c r="E159" s="163"/>
      <c r="F159" s="163"/>
      <c r="G159" s="163"/>
      <c r="H159" s="82">
        <f>SUM(H150:H156)</f>
        <v>0.13250000000000001</v>
      </c>
      <c r="I159" s="83">
        <f>SUM(I150:I156)</f>
        <v>349.49</v>
      </c>
    </row>
    <row r="160" spans="1:9" ht="14.65" customHeight="1" x14ac:dyDescent="0.2">
      <c r="A160" s="164" t="s">
        <v>165</v>
      </c>
      <c r="B160" s="164"/>
      <c r="C160" s="165" t="s">
        <v>166</v>
      </c>
      <c r="D160" s="165"/>
      <c r="E160" s="165"/>
      <c r="F160" s="165"/>
      <c r="G160" s="165"/>
      <c r="H160" s="165"/>
      <c r="I160" s="165"/>
    </row>
    <row r="161" spans="1:9" ht="14.65" customHeight="1" x14ac:dyDescent="0.2">
      <c r="A161" s="164"/>
      <c r="B161" s="164"/>
      <c r="C161" s="166" t="s">
        <v>167</v>
      </c>
      <c r="D161" s="166"/>
      <c r="E161" s="166"/>
      <c r="F161" s="166"/>
      <c r="G161" s="166"/>
      <c r="H161" s="166"/>
      <c r="I161" s="166"/>
    </row>
    <row r="162" spans="1:9" ht="14.65" customHeight="1" x14ac:dyDescent="0.2">
      <c r="A162" s="164"/>
      <c r="B162" s="164"/>
      <c r="C162" s="167" t="s">
        <v>168</v>
      </c>
      <c r="D162" s="167"/>
      <c r="E162" s="167"/>
      <c r="F162" s="167"/>
      <c r="G162" s="167"/>
      <c r="H162" s="167"/>
      <c r="I162" s="167"/>
    </row>
    <row r="163" spans="1:9" ht="14.65" customHeight="1" x14ac:dyDescent="0.2">
      <c r="A163" s="168"/>
      <c r="B163" s="168"/>
      <c r="C163" s="168"/>
      <c r="D163" s="168"/>
      <c r="E163" s="168"/>
      <c r="F163" s="168"/>
      <c r="G163" s="168"/>
      <c r="H163" s="168"/>
      <c r="I163" s="168"/>
    </row>
    <row r="164" spans="1:9" s="84" customFormat="1" ht="12.75" customHeight="1" x14ac:dyDescent="0.2">
      <c r="A164" s="169" t="s">
        <v>169</v>
      </c>
      <c r="B164" s="169"/>
      <c r="C164" s="169"/>
      <c r="D164" s="169"/>
      <c r="E164" s="169"/>
      <c r="F164" s="169"/>
      <c r="G164" s="169"/>
      <c r="H164" s="169"/>
      <c r="I164" s="169"/>
    </row>
    <row r="165" spans="1:9" s="84" customFormat="1" ht="12.75" customHeight="1" x14ac:dyDescent="0.2">
      <c r="A165" s="169" t="s">
        <v>170</v>
      </c>
      <c r="B165" s="169"/>
      <c r="C165" s="169"/>
      <c r="D165" s="169"/>
      <c r="E165" s="169"/>
      <c r="F165" s="169"/>
      <c r="G165" s="169"/>
      <c r="H165" s="169"/>
      <c r="I165" s="169"/>
    </row>
    <row r="166" spans="1:9" ht="14.65" customHeight="1" x14ac:dyDescent="0.2">
      <c r="A166" s="159"/>
      <c r="B166" s="159"/>
      <c r="C166" s="159"/>
      <c r="D166" s="159"/>
      <c r="E166" s="159"/>
      <c r="F166" s="159"/>
      <c r="G166" s="159"/>
      <c r="H166" s="159"/>
      <c r="I166" s="159"/>
    </row>
    <row r="167" spans="1:9" ht="18.600000000000001" customHeight="1" x14ac:dyDescent="0.2">
      <c r="A167" s="160" t="s">
        <v>171</v>
      </c>
      <c r="B167" s="160"/>
      <c r="C167" s="160"/>
      <c r="D167" s="160"/>
      <c r="E167" s="160"/>
      <c r="F167" s="160"/>
      <c r="G167" s="160"/>
      <c r="H167" s="160"/>
      <c r="I167" s="160"/>
    </row>
    <row r="168" spans="1:9" ht="15.75" customHeight="1" x14ac:dyDescent="0.2">
      <c r="A168" s="161" t="s">
        <v>172</v>
      </c>
      <c r="B168" s="161"/>
      <c r="C168" s="161"/>
      <c r="D168" s="161"/>
      <c r="E168" s="161"/>
      <c r="F168" s="161"/>
      <c r="G168" s="161"/>
      <c r="H168" s="161"/>
      <c r="I168" s="52" t="s">
        <v>62</v>
      </c>
    </row>
    <row r="169" spans="1:9" s="21" customFormat="1" ht="14.65" customHeight="1" x14ac:dyDescent="0.2">
      <c r="A169" s="85" t="s">
        <v>10</v>
      </c>
      <c r="B169" s="150" t="s">
        <v>173</v>
      </c>
      <c r="C169" s="150"/>
      <c r="D169" s="150"/>
      <c r="E169" s="150"/>
      <c r="F169" s="150"/>
      <c r="G169" s="150"/>
      <c r="H169" s="150"/>
      <c r="I169" s="86">
        <f>I40</f>
        <v>972.78</v>
      </c>
    </row>
    <row r="170" spans="1:9" s="21" customFormat="1" ht="14.65" customHeight="1" x14ac:dyDescent="0.2">
      <c r="A170" s="85" t="s">
        <v>12</v>
      </c>
      <c r="B170" s="150" t="s">
        <v>58</v>
      </c>
      <c r="C170" s="150"/>
      <c r="D170" s="150"/>
      <c r="E170" s="150"/>
      <c r="F170" s="150"/>
      <c r="G170" s="150"/>
      <c r="H170" s="150"/>
      <c r="I170" s="86">
        <f>I92</f>
        <v>816.66</v>
      </c>
    </row>
    <row r="171" spans="1:9" s="21" customFormat="1" ht="14.65" customHeight="1" x14ac:dyDescent="0.2">
      <c r="A171" s="85" t="s">
        <v>15</v>
      </c>
      <c r="B171" s="150" t="s">
        <v>174</v>
      </c>
      <c r="C171" s="150"/>
      <c r="D171" s="150"/>
      <c r="E171" s="150"/>
      <c r="F171" s="150"/>
      <c r="G171" s="150"/>
      <c r="H171" s="150"/>
      <c r="I171" s="87">
        <f>I102</f>
        <v>70.150000000000006</v>
      </c>
    </row>
    <row r="172" spans="1:9" s="21" customFormat="1" ht="14.65" customHeight="1" x14ac:dyDescent="0.2">
      <c r="A172" s="85" t="s">
        <v>18</v>
      </c>
      <c r="B172" s="150" t="s">
        <v>175</v>
      </c>
      <c r="C172" s="150"/>
      <c r="D172" s="150"/>
      <c r="E172" s="150"/>
      <c r="F172" s="150"/>
      <c r="G172" s="150"/>
      <c r="H172" s="150"/>
      <c r="I172" s="86">
        <f>I130</f>
        <v>161.22999999999999</v>
      </c>
    </row>
    <row r="173" spans="1:9" s="21" customFormat="1" ht="14.65" customHeight="1" x14ac:dyDescent="0.2">
      <c r="A173" s="85" t="s">
        <v>35</v>
      </c>
      <c r="B173" s="150" t="s">
        <v>176</v>
      </c>
      <c r="C173" s="150"/>
      <c r="D173" s="150"/>
      <c r="E173" s="150"/>
      <c r="F173" s="150"/>
      <c r="G173" s="150"/>
      <c r="H173" s="150"/>
      <c r="I173" s="86">
        <f>I137</f>
        <v>115.28999999999999</v>
      </c>
    </row>
    <row r="174" spans="1:9" ht="14.65" customHeight="1" x14ac:dyDescent="0.2">
      <c r="A174" s="162" t="s">
        <v>177</v>
      </c>
      <c r="B174" s="162"/>
      <c r="C174" s="162"/>
      <c r="D174" s="162"/>
      <c r="E174" s="162"/>
      <c r="F174" s="162"/>
      <c r="G174" s="162"/>
      <c r="H174" s="162"/>
      <c r="I174" s="88">
        <f>SUM(I169:I173)</f>
        <v>2136.11</v>
      </c>
    </row>
    <row r="175" spans="1:9" s="21" customFormat="1" ht="14.65" customHeight="1" x14ac:dyDescent="0.2">
      <c r="A175" s="89" t="s">
        <v>79</v>
      </c>
      <c r="B175" s="150" t="s">
        <v>178</v>
      </c>
      <c r="C175" s="150"/>
      <c r="D175" s="150"/>
      <c r="E175" s="150"/>
      <c r="F175" s="150"/>
      <c r="G175" s="150"/>
      <c r="H175" s="150"/>
      <c r="I175" s="86">
        <f>I157</f>
        <v>501.58</v>
      </c>
    </row>
    <row r="176" spans="1:9" ht="14.65" customHeight="1" x14ac:dyDescent="0.2">
      <c r="A176" s="151" t="s">
        <v>179</v>
      </c>
      <c r="B176" s="151"/>
      <c r="C176" s="151"/>
      <c r="D176" s="151"/>
      <c r="E176" s="151"/>
      <c r="F176" s="151"/>
      <c r="G176" s="151"/>
      <c r="H176" s="151"/>
      <c r="I176" s="88">
        <f>SUM(I174:I175)</f>
        <v>2637.69</v>
      </c>
    </row>
    <row r="177" spans="1:9" ht="14.65" customHeight="1" x14ac:dyDescent="0.2">
      <c r="A177" s="152" t="s">
        <v>180</v>
      </c>
      <c r="B177" s="152"/>
      <c r="C177" s="152"/>
      <c r="D177" s="152"/>
      <c r="E177" s="152"/>
      <c r="F177" s="152"/>
      <c r="G177" s="152"/>
      <c r="H177" s="152"/>
      <c r="I177" s="90">
        <f>H32</f>
        <v>4</v>
      </c>
    </row>
    <row r="178" spans="1:9" s="92" customFormat="1" ht="19.350000000000001" customHeight="1" x14ac:dyDescent="0.2">
      <c r="A178" s="153" t="s">
        <v>181</v>
      </c>
      <c r="B178" s="153"/>
      <c r="C178" s="153"/>
      <c r="D178" s="153"/>
      <c r="E178" s="153"/>
      <c r="F178" s="153"/>
      <c r="G178" s="153"/>
      <c r="H178" s="153"/>
      <c r="I178" s="91">
        <f>I176*I177</f>
        <v>10550.76</v>
      </c>
    </row>
    <row r="179" spans="1:9" s="92" customFormat="1" ht="19.350000000000001" customHeight="1" x14ac:dyDescent="0.2">
      <c r="A179" s="154" t="s">
        <v>182</v>
      </c>
      <c r="B179" s="154"/>
      <c r="C179" s="154"/>
      <c r="D179" s="154"/>
      <c r="E179" s="154"/>
      <c r="F179" s="154"/>
      <c r="G179" s="155">
        <f>H21</f>
        <v>12</v>
      </c>
      <c r="H179" s="155"/>
      <c r="I179" s="155"/>
    </row>
    <row r="180" spans="1:9" ht="19.350000000000001" customHeight="1" x14ac:dyDescent="0.2">
      <c r="A180" s="156"/>
      <c r="B180" s="156"/>
      <c r="C180" s="156"/>
      <c r="D180" s="156"/>
      <c r="E180" s="156"/>
      <c r="F180" s="156"/>
      <c r="G180" s="156"/>
      <c r="H180" s="156"/>
      <c r="I180" s="156"/>
    </row>
    <row r="181" spans="1:9" ht="29.85" customHeight="1" x14ac:dyDescent="0.2">
      <c r="A181" s="157" t="s">
        <v>183</v>
      </c>
      <c r="B181" s="157"/>
      <c r="C181" s="157"/>
      <c r="D181" s="157"/>
      <c r="E181" s="157"/>
      <c r="F181" s="157"/>
      <c r="G181" s="158">
        <f>I178*G179</f>
        <v>126609.12</v>
      </c>
      <c r="H181" s="158"/>
      <c r="I181" s="158"/>
    </row>
    <row r="182" spans="1:9" ht="14.65" customHeight="1" x14ac:dyDescent="0.2">
      <c r="A182" s="143"/>
      <c r="B182" s="143"/>
      <c r="C182" s="143"/>
      <c r="D182" s="143"/>
      <c r="E182" s="143"/>
      <c r="F182" s="143"/>
      <c r="G182" s="143"/>
      <c r="H182" s="143"/>
      <c r="I182" s="143"/>
    </row>
    <row r="183" spans="1:9" ht="25.35" customHeight="1" x14ac:dyDescent="0.2">
      <c r="A183" s="144" t="s">
        <v>184</v>
      </c>
      <c r="B183" s="144"/>
      <c r="C183" s="144"/>
      <c r="D183" s="144"/>
      <c r="E183" s="144"/>
      <c r="F183" s="144"/>
      <c r="G183" s="144"/>
      <c r="H183" s="144"/>
      <c r="I183" s="144"/>
    </row>
    <row r="184" spans="1:9" ht="14.65" customHeight="1" x14ac:dyDescent="0.2">
      <c r="A184" s="145" t="s">
        <v>185</v>
      </c>
      <c r="B184" s="145"/>
      <c r="C184" s="145"/>
      <c r="D184" s="145"/>
      <c r="E184" s="145"/>
      <c r="F184" s="145"/>
      <c r="G184" s="145"/>
      <c r="H184" s="146" t="s">
        <v>186</v>
      </c>
      <c r="I184" s="146"/>
    </row>
    <row r="185" spans="1:9" x14ac:dyDescent="0.2">
      <c r="A185" s="145"/>
      <c r="B185" s="145"/>
      <c r="C185" s="145"/>
      <c r="D185" s="145"/>
      <c r="E185" s="145"/>
      <c r="F185" s="145"/>
      <c r="G185" s="145"/>
      <c r="H185" s="146"/>
      <c r="I185" s="146"/>
    </row>
    <row r="186" spans="1:9" ht="14.65" customHeight="1" x14ac:dyDescent="0.2">
      <c r="A186" s="147" t="s">
        <v>241</v>
      </c>
      <c r="B186" s="147"/>
      <c r="C186" s="147"/>
      <c r="D186" s="147"/>
      <c r="E186" s="147"/>
      <c r="F186" s="147"/>
      <c r="G186" s="147"/>
      <c r="H186" s="148">
        <f>I177</f>
        <v>4</v>
      </c>
      <c r="I186" s="148"/>
    </row>
    <row r="187" spans="1:9" x14ac:dyDescent="0.2">
      <c r="A187" s="149"/>
      <c r="B187" s="149"/>
      <c r="C187" s="149"/>
      <c r="D187" s="149"/>
      <c r="E187" s="149"/>
      <c r="F187" s="149"/>
      <c r="G187" s="149"/>
      <c r="H187" s="149"/>
      <c r="I187" s="149"/>
    </row>
    <row r="188" spans="1:9" ht="28.5" customHeight="1" x14ac:dyDescent="0.2">
      <c r="A188" s="144" t="s">
        <v>187</v>
      </c>
      <c r="B188" s="144"/>
      <c r="C188" s="144"/>
      <c r="D188" s="144"/>
      <c r="E188" s="144"/>
      <c r="F188" s="144"/>
      <c r="G188" s="144"/>
      <c r="H188" s="144"/>
      <c r="I188" s="144"/>
    </row>
    <row r="189" spans="1:9" ht="14.65" customHeight="1" x14ac:dyDescent="0.2">
      <c r="A189" s="146" t="s">
        <v>188</v>
      </c>
      <c r="B189" s="146"/>
      <c r="C189" s="146"/>
      <c r="D189" s="146"/>
      <c r="E189" s="146"/>
      <c r="F189" s="146"/>
      <c r="G189" s="146"/>
      <c r="H189" s="146" t="s">
        <v>189</v>
      </c>
      <c r="I189" s="146"/>
    </row>
    <row r="190" spans="1:9" ht="15.75" customHeight="1" x14ac:dyDescent="0.25">
      <c r="A190" s="139"/>
      <c r="B190" s="139"/>
      <c r="C190" s="139"/>
      <c r="D190" s="139"/>
      <c r="E190" s="139"/>
      <c r="F190" s="139"/>
      <c r="G190" s="139"/>
      <c r="H190" s="140"/>
      <c r="I190" s="140"/>
    </row>
    <row r="191" spans="1:9" ht="14.65" customHeight="1" x14ac:dyDescent="0.2">
      <c r="A191" s="141"/>
      <c r="B191" s="141"/>
      <c r="C191" s="141"/>
      <c r="D191" s="141"/>
      <c r="E191" s="141"/>
      <c r="F191" s="141"/>
      <c r="G191" s="141"/>
      <c r="H191" s="140"/>
      <c r="I191" s="140"/>
    </row>
    <row r="192" spans="1:9" ht="14.65" customHeight="1" x14ac:dyDescent="0.2">
      <c r="A192" s="142"/>
      <c r="B192" s="142"/>
      <c r="C192" s="142"/>
      <c r="D192" s="142"/>
      <c r="E192" s="142"/>
      <c r="F192" s="142"/>
      <c r="G192" s="142"/>
      <c r="H192" s="140"/>
      <c r="I192" s="140"/>
    </row>
  </sheetData>
  <mergeCells count="209">
    <mergeCell ref="A7:I7"/>
    <mergeCell ref="A8:I8"/>
    <mergeCell ref="A9:I9"/>
    <mergeCell ref="A10:I10"/>
    <mergeCell ref="A11:I12"/>
    <mergeCell ref="A13:E13"/>
    <mergeCell ref="F13:I13"/>
    <mergeCell ref="A14:E14"/>
    <mergeCell ref="F14:I14"/>
    <mergeCell ref="A15:E15"/>
    <mergeCell ref="F15:I15"/>
    <mergeCell ref="A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A22:I22"/>
    <mergeCell ref="A23:I23"/>
    <mergeCell ref="A24:I24"/>
    <mergeCell ref="A25:I25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A33:I33"/>
    <mergeCell ref="A34:I34"/>
    <mergeCell ref="A35:I35"/>
    <mergeCell ref="A36:I36"/>
    <mergeCell ref="A37:I37"/>
    <mergeCell ref="B38:G38"/>
    <mergeCell ref="B39:H39"/>
    <mergeCell ref="A40:G40"/>
    <mergeCell ref="A41:I41"/>
    <mergeCell ref="A42:I42"/>
    <mergeCell ref="A43:I43"/>
    <mergeCell ref="A44:I44"/>
    <mergeCell ref="A45:I45"/>
    <mergeCell ref="B46:H46"/>
    <mergeCell ref="B47:H47"/>
    <mergeCell ref="B48:H48"/>
    <mergeCell ref="A49:H49"/>
    <mergeCell ref="A50:I50"/>
    <mergeCell ref="A51:I51"/>
    <mergeCell ref="A52:I52"/>
    <mergeCell ref="A53:I53"/>
    <mergeCell ref="A54:I54"/>
    <mergeCell ref="B55:G55"/>
    <mergeCell ref="B56:G56"/>
    <mergeCell ref="B57:G57"/>
    <mergeCell ref="B58:C58"/>
    <mergeCell ref="B59:G59"/>
    <mergeCell ref="B60:G60"/>
    <mergeCell ref="B61:G61"/>
    <mergeCell ref="B62:G62"/>
    <mergeCell ref="B63:G63"/>
    <mergeCell ref="A64:G64"/>
    <mergeCell ref="A66:I66"/>
    <mergeCell ref="A67:I67"/>
    <mergeCell ref="A68:I68"/>
    <mergeCell ref="A69:I69"/>
    <mergeCell ref="A70:I70"/>
    <mergeCell ref="B71:H71"/>
    <mergeCell ref="A72:A76"/>
    <mergeCell ref="B72:H72"/>
    <mergeCell ref="I72:I76"/>
    <mergeCell ref="B73:G73"/>
    <mergeCell ref="B74:G74"/>
    <mergeCell ref="B75:G75"/>
    <mergeCell ref="B76:G76"/>
    <mergeCell ref="A77:A80"/>
    <mergeCell ref="B77:H77"/>
    <mergeCell ref="I77:I80"/>
    <mergeCell ref="B78:G78"/>
    <mergeCell ref="B79:G79"/>
    <mergeCell ref="B80:G80"/>
    <mergeCell ref="B81:H81"/>
    <mergeCell ref="B82:H82"/>
    <mergeCell ref="A83:I83"/>
    <mergeCell ref="A84:I84"/>
    <mergeCell ref="A85:I85"/>
    <mergeCell ref="A86:I86"/>
    <mergeCell ref="A87:I87"/>
    <mergeCell ref="B88:H88"/>
    <mergeCell ref="B89:H89"/>
    <mergeCell ref="B90:H90"/>
    <mergeCell ref="B91:H91"/>
    <mergeCell ref="A92:H92"/>
    <mergeCell ref="A93:I93"/>
    <mergeCell ref="A94:I94"/>
    <mergeCell ref="B95:H95"/>
    <mergeCell ref="B96:H96"/>
    <mergeCell ref="B97:H97"/>
    <mergeCell ref="B98:H98"/>
    <mergeCell ref="B99:H99"/>
    <mergeCell ref="B100:H100"/>
    <mergeCell ref="B101:H101"/>
    <mergeCell ref="A102:H102"/>
    <mergeCell ref="A103:I103"/>
    <mergeCell ref="A104:I104"/>
    <mergeCell ref="A105:I105"/>
    <mergeCell ref="A106:I106"/>
    <mergeCell ref="A107:I107"/>
    <mergeCell ref="A109:H109"/>
    <mergeCell ref="A110:I110"/>
    <mergeCell ref="A111:I111"/>
    <mergeCell ref="B112:H112"/>
    <mergeCell ref="B113:H113"/>
    <mergeCell ref="B114:H114"/>
    <mergeCell ref="B115:H115"/>
    <mergeCell ref="B116:H116"/>
    <mergeCell ref="B117:H117"/>
    <mergeCell ref="B118:H118"/>
    <mergeCell ref="A119:H119"/>
    <mergeCell ref="A120:I120"/>
    <mergeCell ref="A121:I121"/>
    <mergeCell ref="B122:H122"/>
    <mergeCell ref="B123:H123"/>
    <mergeCell ref="A124:H124"/>
    <mergeCell ref="A125:I125"/>
    <mergeCell ref="A126:I126"/>
    <mergeCell ref="B127:H127"/>
    <mergeCell ref="B128:H128"/>
    <mergeCell ref="B129:H129"/>
    <mergeCell ref="A130:H130"/>
    <mergeCell ref="A131:I131"/>
    <mergeCell ref="A132:I132"/>
    <mergeCell ref="B133:H133"/>
    <mergeCell ref="B134:H134"/>
    <mergeCell ref="B135:H135"/>
    <mergeCell ref="B136:H136"/>
    <mergeCell ref="A137:H137"/>
    <mergeCell ref="A138:I138"/>
    <mergeCell ref="A139:I139"/>
    <mergeCell ref="A141:I141"/>
    <mergeCell ref="B142:G142"/>
    <mergeCell ref="A143:G143"/>
    <mergeCell ref="B144:G144"/>
    <mergeCell ref="A145:G145"/>
    <mergeCell ref="B146:G146"/>
    <mergeCell ref="A147:G147"/>
    <mergeCell ref="B148:G148"/>
    <mergeCell ref="B149:G149"/>
    <mergeCell ref="B150:G150"/>
    <mergeCell ref="B151:G151"/>
    <mergeCell ref="B152:G152"/>
    <mergeCell ref="B153:G153"/>
    <mergeCell ref="B154:G154"/>
    <mergeCell ref="B155:G155"/>
    <mergeCell ref="B156:G156"/>
    <mergeCell ref="A157:H157"/>
    <mergeCell ref="A158:I158"/>
    <mergeCell ref="A159:G159"/>
    <mergeCell ref="A160:B162"/>
    <mergeCell ref="C160:I160"/>
    <mergeCell ref="C161:I161"/>
    <mergeCell ref="C162:I162"/>
    <mergeCell ref="A163:I163"/>
    <mergeCell ref="A164:I164"/>
    <mergeCell ref="A165:I165"/>
    <mergeCell ref="A166:I166"/>
    <mergeCell ref="A167:I167"/>
    <mergeCell ref="A168:H168"/>
    <mergeCell ref="B169:H169"/>
    <mergeCell ref="B170:H170"/>
    <mergeCell ref="B171:H171"/>
    <mergeCell ref="B172:H172"/>
    <mergeCell ref="B173:H173"/>
    <mergeCell ref="A174:H174"/>
    <mergeCell ref="B175:H175"/>
    <mergeCell ref="A176:H176"/>
    <mergeCell ref="A177:H177"/>
    <mergeCell ref="A178:H178"/>
    <mergeCell ref="A179:F179"/>
    <mergeCell ref="G179:I179"/>
    <mergeCell ref="A180:I180"/>
    <mergeCell ref="A181:F181"/>
    <mergeCell ref="G181:I181"/>
    <mergeCell ref="A190:G190"/>
    <mergeCell ref="H190:I190"/>
    <mergeCell ref="A191:G191"/>
    <mergeCell ref="H191:I191"/>
    <mergeCell ref="A192:G192"/>
    <mergeCell ref="H192:I192"/>
    <mergeCell ref="A182:I182"/>
    <mergeCell ref="A183:I183"/>
    <mergeCell ref="A184:G185"/>
    <mergeCell ref="H184:I185"/>
    <mergeCell ref="A186:G186"/>
    <mergeCell ref="H186:I186"/>
    <mergeCell ref="A187:I187"/>
    <mergeCell ref="A188:I188"/>
    <mergeCell ref="A189:G189"/>
    <mergeCell ref="H189:I189"/>
  </mergeCells>
  <conditionalFormatting sqref="C4">
    <cfRule type="expression" dxfId="7" priority="2">
      <formula>LEN(TRIM(C4))=0</formula>
    </cfRule>
    <cfRule type="expression" dxfId="6" priority="3">
      <formula>LEN(TRIM(C4))=0</formula>
    </cfRule>
  </conditionalFormatting>
  <pageMargins left="0.70866141732283472" right="0.70866141732283472" top="0.74803149606299213" bottom="0.74803149606299213" header="0.51181102362204722" footer="0"/>
  <pageSetup paperSize="9" scale="75" fitToHeight="0" orientation="portrait" horizontalDpi="300" verticalDpi="300" r:id="rId1"/>
  <headerFooter>
    <oddFooter>&amp;CANEXO II - Planilha de Custos e Formação de Preços
Processo n.º 23370.000415/2021-11
Pregão Eletrônico 045/2021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7"/>
  <sheetViews>
    <sheetView topLeftCell="A49" zoomScale="110" zoomScaleNormal="110" workbookViewId="0">
      <selection activeCell="A10" sqref="A10:I11"/>
    </sheetView>
  </sheetViews>
  <sheetFormatPr defaultColWidth="11.42578125" defaultRowHeight="12.75" x14ac:dyDescent="0.2"/>
  <cols>
    <col min="1" max="1" width="13" style="1" customWidth="1"/>
    <col min="2" max="2" width="12.28515625" style="1" customWidth="1"/>
    <col min="3" max="3" width="13.140625" style="1" customWidth="1"/>
    <col min="4" max="4" width="10" style="1" customWidth="1"/>
    <col min="5" max="5" width="12.28515625" style="1" customWidth="1"/>
    <col min="6" max="6" width="11.140625" style="1" customWidth="1"/>
    <col min="7" max="7" width="11" style="1" customWidth="1"/>
    <col min="8" max="8" width="14" style="1" customWidth="1"/>
    <col min="9" max="9" width="17.5703125" style="13" customWidth="1"/>
    <col min="10" max="10" width="8" customWidth="1"/>
    <col min="248" max="248" width="13.140625" customWidth="1"/>
    <col min="249" max="249" width="11" customWidth="1"/>
    <col min="250" max="250" width="13.140625" customWidth="1"/>
    <col min="251" max="251" width="10" customWidth="1"/>
    <col min="252" max="252" width="12.28515625" customWidth="1"/>
    <col min="253" max="253" width="11.140625" customWidth="1"/>
    <col min="254" max="254" width="9.7109375" customWidth="1"/>
    <col min="255" max="255" width="13.28515625" customWidth="1"/>
    <col min="256" max="256" width="14.42578125" customWidth="1"/>
    <col min="504" max="504" width="13.140625" customWidth="1"/>
    <col min="505" max="505" width="11" customWidth="1"/>
    <col min="506" max="506" width="13.140625" customWidth="1"/>
    <col min="507" max="507" width="10" customWidth="1"/>
    <col min="508" max="508" width="12.28515625" customWidth="1"/>
    <col min="509" max="509" width="11.140625" customWidth="1"/>
    <col min="510" max="510" width="9.7109375" customWidth="1"/>
    <col min="511" max="511" width="13.28515625" customWidth="1"/>
    <col min="512" max="512" width="14.42578125" customWidth="1"/>
    <col min="760" max="760" width="13.140625" customWidth="1"/>
    <col min="761" max="761" width="11" customWidth="1"/>
    <col min="762" max="762" width="13.140625" customWidth="1"/>
    <col min="763" max="763" width="10" customWidth="1"/>
    <col min="764" max="764" width="12.28515625" customWidth="1"/>
    <col min="765" max="765" width="11.140625" customWidth="1"/>
    <col min="766" max="766" width="9.7109375" customWidth="1"/>
    <col min="767" max="767" width="13.28515625" customWidth="1"/>
    <col min="768" max="768" width="14.42578125" customWidth="1"/>
    <col min="1016" max="1016" width="13.140625" customWidth="1"/>
    <col min="1017" max="1017" width="11" customWidth="1"/>
    <col min="1018" max="1018" width="13.140625" customWidth="1"/>
    <col min="1019" max="1019" width="10" customWidth="1"/>
    <col min="1020" max="1020" width="12.28515625" customWidth="1"/>
    <col min="1021" max="1021" width="11.140625" customWidth="1"/>
    <col min="1022" max="1022" width="9.7109375" customWidth="1"/>
    <col min="1023" max="1023" width="13.28515625" customWidth="1"/>
    <col min="1024" max="1024" width="14.42578125" customWidth="1"/>
  </cols>
  <sheetData>
    <row r="1" spans="1:9" ht="17.45" customHeight="1" x14ac:dyDescent="0.2">
      <c r="C1" s="93" t="s">
        <v>0</v>
      </c>
    </row>
    <row r="2" spans="1:9" ht="17.45" customHeight="1" x14ac:dyDescent="0.2">
      <c r="C2" s="93" t="s">
        <v>1</v>
      </c>
    </row>
    <row r="3" spans="1:9" ht="17.45" customHeight="1" x14ac:dyDescent="0.2">
      <c r="C3" s="93" t="s">
        <v>2</v>
      </c>
    </row>
    <row r="4" spans="1:9" ht="17.45" customHeight="1" x14ac:dyDescent="0.2">
      <c r="C4" s="94" t="s">
        <v>3</v>
      </c>
    </row>
    <row r="5" spans="1:9" ht="14.45" customHeight="1" x14ac:dyDescent="0.2">
      <c r="C5" s="5"/>
    </row>
    <row r="6" spans="1:9" ht="19.149999999999999" customHeight="1" x14ac:dyDescent="0.2">
      <c r="A6" s="235" t="s">
        <v>247</v>
      </c>
      <c r="B6" s="235"/>
      <c r="C6" s="235"/>
      <c r="D6" s="235"/>
      <c r="E6" s="235"/>
      <c r="F6" s="235"/>
      <c r="G6" s="235"/>
      <c r="H6" s="235"/>
      <c r="I6" s="235"/>
    </row>
    <row r="7" spans="1:9" ht="19.149999999999999" customHeight="1" x14ac:dyDescent="0.2">
      <c r="A7" s="236" t="s">
        <v>190</v>
      </c>
      <c r="B7" s="236"/>
      <c r="C7" s="236"/>
      <c r="D7" s="236"/>
      <c r="E7" s="236"/>
      <c r="F7" s="236"/>
      <c r="G7" s="236"/>
      <c r="H7" s="236"/>
      <c r="I7" s="236"/>
    </row>
    <row r="8" spans="1:9" ht="19.149999999999999" customHeight="1" x14ac:dyDescent="0.2">
      <c r="A8" s="237" t="s">
        <v>33</v>
      </c>
      <c r="B8" s="237"/>
      <c r="C8" s="237"/>
      <c r="D8" s="237"/>
      <c r="E8" s="237"/>
      <c r="F8" s="237"/>
      <c r="G8" s="237"/>
      <c r="H8" s="237"/>
      <c r="I8" s="237"/>
    </row>
    <row r="9" spans="1:9" ht="19.149999999999999" customHeight="1" x14ac:dyDescent="0.2">
      <c r="A9" s="238" t="s">
        <v>191</v>
      </c>
      <c r="B9" s="238"/>
      <c r="C9" s="238"/>
      <c r="D9" s="238"/>
      <c r="E9" s="238"/>
      <c r="F9" s="238"/>
      <c r="G9" s="238"/>
      <c r="H9" s="238"/>
      <c r="I9" s="238"/>
    </row>
    <row r="10" spans="1:9" ht="13.15" customHeight="1" x14ac:dyDescent="0.2">
      <c r="A10" s="239" t="s">
        <v>5</v>
      </c>
      <c r="B10" s="239"/>
      <c r="C10" s="239"/>
      <c r="D10" s="239"/>
      <c r="E10" s="239"/>
      <c r="F10" s="239"/>
      <c r="G10" s="239"/>
      <c r="H10" s="239"/>
      <c r="I10" s="239"/>
    </row>
    <row r="11" spans="1:9" ht="13.15" customHeight="1" x14ac:dyDescent="0.2">
      <c r="A11" s="239"/>
      <c r="B11" s="239"/>
      <c r="C11" s="239"/>
      <c r="D11" s="239"/>
      <c r="E11" s="239"/>
      <c r="F11" s="239"/>
      <c r="G11" s="239"/>
      <c r="H11" s="239"/>
      <c r="I11" s="239"/>
    </row>
    <row r="12" spans="1:9" ht="14.65" customHeight="1" x14ac:dyDescent="0.2">
      <c r="A12" s="225" t="s">
        <v>6</v>
      </c>
      <c r="B12" s="225"/>
      <c r="C12" s="225"/>
      <c r="D12" s="225"/>
      <c r="E12" s="225"/>
      <c r="F12" s="233" t="s">
        <v>237</v>
      </c>
      <c r="G12" s="233"/>
      <c r="H12" s="233"/>
      <c r="I12" s="233"/>
    </row>
    <row r="13" spans="1:9" ht="14.65" customHeight="1" x14ac:dyDescent="0.2">
      <c r="A13" s="225" t="s">
        <v>7</v>
      </c>
      <c r="B13" s="225"/>
      <c r="C13" s="225"/>
      <c r="D13" s="225"/>
      <c r="E13" s="225"/>
      <c r="F13" s="233" t="s">
        <v>236</v>
      </c>
      <c r="G13" s="233"/>
      <c r="H13" s="233"/>
      <c r="I13" s="233"/>
    </row>
    <row r="14" spans="1:9" ht="14.65" customHeight="1" x14ac:dyDescent="0.2">
      <c r="A14" s="225" t="s">
        <v>8</v>
      </c>
      <c r="B14" s="225"/>
      <c r="C14" s="225"/>
      <c r="D14" s="225"/>
      <c r="E14" s="225"/>
      <c r="F14" s="227" t="s">
        <v>240</v>
      </c>
      <c r="G14" s="227"/>
      <c r="H14" s="227"/>
      <c r="I14" s="227"/>
    </row>
    <row r="15" spans="1:9" ht="15.75" customHeight="1" x14ac:dyDescent="0.2">
      <c r="A15" s="232" t="s">
        <v>9</v>
      </c>
      <c r="B15" s="232"/>
      <c r="C15" s="232"/>
      <c r="D15" s="232"/>
      <c r="E15" s="232"/>
      <c r="F15" s="232"/>
      <c r="G15" s="232"/>
      <c r="H15" s="232"/>
      <c r="I15" s="232"/>
    </row>
    <row r="16" spans="1:9" ht="14.65" customHeight="1" x14ac:dyDescent="0.2">
      <c r="A16" s="7" t="s">
        <v>10</v>
      </c>
      <c r="B16" s="225" t="s">
        <v>11</v>
      </c>
      <c r="C16" s="225"/>
      <c r="D16" s="225"/>
      <c r="E16" s="225"/>
      <c r="F16" s="225"/>
      <c r="G16" s="225"/>
      <c r="H16" s="227"/>
      <c r="I16" s="227"/>
    </row>
    <row r="17" spans="1:9" ht="14.65" customHeight="1" x14ac:dyDescent="0.2">
      <c r="A17" s="7" t="s">
        <v>12</v>
      </c>
      <c r="B17" s="225" t="s">
        <v>13</v>
      </c>
      <c r="C17" s="225"/>
      <c r="D17" s="225"/>
      <c r="E17" s="225"/>
      <c r="F17" s="225"/>
      <c r="G17" s="225"/>
      <c r="H17" s="233" t="s">
        <v>14</v>
      </c>
      <c r="I17" s="233"/>
    </row>
    <row r="18" spans="1:9" ht="13.15" customHeight="1" x14ac:dyDescent="0.2">
      <c r="A18" s="7" t="s">
        <v>15</v>
      </c>
      <c r="B18" s="225" t="s">
        <v>16</v>
      </c>
      <c r="C18" s="225"/>
      <c r="D18" s="225"/>
      <c r="E18" s="225"/>
      <c r="F18" s="225"/>
      <c r="G18" s="225"/>
      <c r="H18" s="234" t="s">
        <v>17</v>
      </c>
      <c r="I18" s="234"/>
    </row>
    <row r="19" spans="1:9" ht="12.75" customHeight="1" x14ac:dyDescent="0.2">
      <c r="A19" s="7" t="s">
        <v>18</v>
      </c>
      <c r="B19" s="225" t="s">
        <v>19</v>
      </c>
      <c r="C19" s="225"/>
      <c r="D19" s="225"/>
      <c r="E19" s="225"/>
      <c r="F19" s="225"/>
      <c r="G19" s="225"/>
      <c r="H19" s="233" t="s">
        <v>20</v>
      </c>
      <c r="I19" s="233"/>
    </row>
    <row r="20" spans="1:9" ht="14.65" customHeight="1" x14ac:dyDescent="0.2">
      <c r="A20" s="7" t="s">
        <v>35</v>
      </c>
      <c r="B20" s="225" t="s">
        <v>36</v>
      </c>
      <c r="C20" s="225"/>
      <c r="D20" s="225"/>
      <c r="E20" s="225"/>
      <c r="F20" s="225"/>
      <c r="G20" s="225"/>
      <c r="H20" s="233">
        <v>12</v>
      </c>
      <c r="I20" s="233"/>
    </row>
    <row r="21" spans="1:9" ht="15.75" customHeight="1" x14ac:dyDescent="0.2">
      <c r="A21" s="229" t="s">
        <v>37</v>
      </c>
      <c r="B21" s="229"/>
      <c r="C21" s="229"/>
      <c r="D21" s="229"/>
      <c r="E21" s="229"/>
      <c r="F21" s="229"/>
      <c r="G21" s="229"/>
      <c r="H21" s="229"/>
      <c r="I21" s="229"/>
    </row>
    <row r="22" spans="1:9" ht="25.7" customHeight="1" x14ac:dyDescent="0.2">
      <c r="A22" s="230" t="s">
        <v>38</v>
      </c>
      <c r="B22" s="230"/>
      <c r="C22" s="230"/>
      <c r="D22" s="230"/>
      <c r="E22" s="230"/>
      <c r="F22" s="230"/>
      <c r="G22" s="230"/>
      <c r="H22" s="230"/>
      <c r="I22" s="230"/>
    </row>
    <row r="23" spans="1:9" ht="20.65" customHeight="1" x14ac:dyDescent="0.2">
      <c r="A23" s="231"/>
      <c r="B23" s="231"/>
      <c r="C23" s="231"/>
      <c r="D23" s="231"/>
      <c r="E23" s="231"/>
      <c r="F23" s="231"/>
      <c r="G23" s="231"/>
      <c r="H23" s="231"/>
      <c r="I23" s="231"/>
    </row>
    <row r="24" spans="1:9" ht="15.75" customHeight="1" x14ac:dyDescent="0.2">
      <c r="A24" s="257" t="s">
        <v>39</v>
      </c>
      <c r="B24" s="257"/>
      <c r="C24" s="257"/>
      <c r="D24" s="257"/>
      <c r="E24" s="257"/>
      <c r="F24" s="257"/>
      <c r="G24" s="257"/>
      <c r="H24" s="257"/>
      <c r="I24" s="257"/>
    </row>
    <row r="25" spans="1:9" s="81" customFormat="1" ht="15.75" customHeight="1" x14ac:dyDescent="0.2">
      <c r="A25" s="7">
        <v>1</v>
      </c>
      <c r="B25" s="225" t="s">
        <v>40</v>
      </c>
      <c r="C25" s="225"/>
      <c r="D25" s="225"/>
      <c r="E25" s="225"/>
      <c r="F25" s="225"/>
      <c r="G25" s="225"/>
      <c r="H25" s="228" t="s">
        <v>192</v>
      </c>
      <c r="I25" s="228"/>
    </row>
    <row r="26" spans="1:9" s="81" customFormat="1" ht="15.75" customHeight="1" x14ac:dyDescent="0.2">
      <c r="A26" s="7">
        <v>2</v>
      </c>
      <c r="B26" s="225" t="s">
        <v>19</v>
      </c>
      <c r="C26" s="225"/>
      <c r="D26" s="225"/>
      <c r="E26" s="225"/>
      <c r="F26" s="225"/>
      <c r="G26" s="225"/>
      <c r="H26" s="226" t="s">
        <v>20</v>
      </c>
      <c r="I26" s="226"/>
    </row>
    <row r="27" spans="1:9" s="81" customFormat="1" ht="15.75" customHeight="1" x14ac:dyDescent="0.2">
      <c r="A27" s="7">
        <v>3</v>
      </c>
      <c r="B27" s="225" t="s">
        <v>42</v>
      </c>
      <c r="C27" s="225"/>
      <c r="D27" s="225"/>
      <c r="E27" s="225"/>
      <c r="F27" s="225"/>
      <c r="G27" s="225"/>
      <c r="H27" s="227" t="s">
        <v>43</v>
      </c>
      <c r="I27" s="227"/>
    </row>
    <row r="28" spans="1:9" s="81" customFormat="1" ht="15.75" customHeight="1" x14ac:dyDescent="0.2">
      <c r="A28" s="7">
        <v>4</v>
      </c>
      <c r="B28" s="225" t="s">
        <v>44</v>
      </c>
      <c r="C28" s="225"/>
      <c r="D28" s="225"/>
      <c r="E28" s="225"/>
      <c r="F28" s="225"/>
      <c r="G28" s="225"/>
      <c r="H28" s="228">
        <v>1426.75</v>
      </c>
      <c r="I28" s="228"/>
    </row>
    <row r="29" spans="1:9" s="81" customFormat="1" ht="15.75" customHeight="1" x14ac:dyDescent="0.2">
      <c r="A29" s="7">
        <v>5</v>
      </c>
      <c r="B29" s="221" t="s">
        <v>46</v>
      </c>
      <c r="C29" s="221"/>
      <c r="D29" s="221"/>
      <c r="E29" s="221"/>
      <c r="F29" s="221"/>
      <c r="G29" s="221"/>
      <c r="H29" s="222">
        <v>1</v>
      </c>
      <c r="I29" s="222"/>
    </row>
    <row r="30" spans="1:9" s="81" customFormat="1" ht="15.75" customHeight="1" x14ac:dyDescent="0.2">
      <c r="A30" s="7">
        <v>6</v>
      </c>
      <c r="B30" s="221" t="s">
        <v>47</v>
      </c>
      <c r="C30" s="221"/>
      <c r="D30" s="221"/>
      <c r="E30" s="221"/>
      <c r="F30" s="221"/>
      <c r="G30" s="221"/>
      <c r="H30" s="222">
        <v>3</v>
      </c>
      <c r="I30" s="222"/>
    </row>
    <row r="31" spans="1:9" ht="14.65" customHeight="1" x14ac:dyDescent="0.2">
      <c r="A31" s="255"/>
      <c r="B31" s="255"/>
      <c r="C31" s="255"/>
      <c r="D31" s="255"/>
      <c r="E31" s="255"/>
      <c r="F31" s="255"/>
      <c r="G31" s="255"/>
      <c r="H31" s="255"/>
      <c r="I31" s="255"/>
    </row>
    <row r="32" spans="1:9" ht="14.65" customHeight="1" x14ac:dyDescent="0.2">
      <c r="A32" s="256" t="s">
        <v>193</v>
      </c>
      <c r="B32" s="256"/>
      <c r="C32" s="256"/>
      <c r="D32" s="256"/>
      <c r="E32" s="256"/>
      <c r="F32" s="256"/>
      <c r="G32" s="256"/>
      <c r="H32" s="256"/>
      <c r="I32" s="256"/>
    </row>
    <row r="33" spans="1:12" ht="16.899999999999999" customHeight="1" x14ac:dyDescent="0.2">
      <c r="A33" s="203" t="s">
        <v>194</v>
      </c>
      <c r="B33" s="203"/>
      <c r="C33" s="203"/>
      <c r="D33" s="203"/>
      <c r="E33" s="203"/>
      <c r="F33" s="203"/>
      <c r="G33" s="203"/>
      <c r="H33" s="203"/>
      <c r="I33" s="203"/>
    </row>
    <row r="34" spans="1:12" ht="14.65" customHeight="1" x14ac:dyDescent="0.2">
      <c r="A34" s="224"/>
      <c r="B34" s="224"/>
      <c r="C34" s="224"/>
      <c r="D34" s="224"/>
      <c r="E34" s="224"/>
      <c r="F34" s="224"/>
      <c r="G34" s="224"/>
      <c r="H34" s="224"/>
      <c r="I34" s="224"/>
    </row>
    <row r="35" spans="1:12" ht="17.100000000000001" customHeight="1" x14ac:dyDescent="0.2">
      <c r="A35" s="177" t="s">
        <v>50</v>
      </c>
      <c r="B35" s="177"/>
      <c r="C35" s="177"/>
      <c r="D35" s="177"/>
      <c r="E35" s="177"/>
      <c r="F35" s="177"/>
      <c r="G35" s="177"/>
      <c r="H35" s="177"/>
      <c r="I35" s="177"/>
    </row>
    <row r="36" spans="1:12" ht="28.35" customHeight="1" x14ac:dyDescent="0.2">
      <c r="A36" s="18">
        <v>1</v>
      </c>
      <c r="B36" s="178" t="s">
        <v>51</v>
      </c>
      <c r="C36" s="178"/>
      <c r="D36" s="178"/>
      <c r="E36" s="178"/>
      <c r="F36" s="178"/>
      <c r="G36" s="178"/>
      <c r="H36" s="18" t="s">
        <v>52</v>
      </c>
      <c r="I36" s="18" t="s">
        <v>53</v>
      </c>
    </row>
    <row r="37" spans="1:12" s="21" customFormat="1" ht="26.85" customHeight="1" x14ac:dyDescent="0.2">
      <c r="A37" s="19" t="s">
        <v>10</v>
      </c>
      <c r="B37" s="171" t="s">
        <v>195</v>
      </c>
      <c r="C37" s="171"/>
      <c r="D37" s="171"/>
      <c r="E37" s="171"/>
      <c r="F37" s="171"/>
      <c r="G37" s="171"/>
      <c r="H37" s="171"/>
      <c r="I37" s="20">
        <f>H28</f>
        <v>1426.75</v>
      </c>
    </row>
    <row r="38" spans="1:12" s="21" customFormat="1" ht="26.85" customHeight="1" x14ac:dyDescent="0.2">
      <c r="A38" s="19" t="s">
        <v>12</v>
      </c>
      <c r="B38" s="171" t="s">
        <v>196</v>
      </c>
      <c r="C38" s="171"/>
      <c r="D38" s="171"/>
      <c r="E38" s="171"/>
      <c r="F38" s="171"/>
      <c r="G38" s="171"/>
      <c r="H38" s="171"/>
      <c r="I38" s="20">
        <f>ROUND($I$37/220*20%*1*20,2)</f>
        <v>25.94</v>
      </c>
    </row>
    <row r="39" spans="1:12" s="21" customFormat="1" ht="26.85" customHeight="1" x14ac:dyDescent="0.2">
      <c r="A39" s="19" t="s">
        <v>15</v>
      </c>
      <c r="B39" s="171" t="s">
        <v>197</v>
      </c>
      <c r="C39" s="171"/>
      <c r="D39" s="171"/>
      <c r="E39" s="171"/>
      <c r="F39" s="171"/>
      <c r="G39" s="171"/>
      <c r="H39" s="171"/>
      <c r="I39" s="20">
        <f>ROUND($I$37/220*1*0.2*2.5,2)</f>
        <v>3.24</v>
      </c>
    </row>
    <row r="40" spans="1:12" s="21" customFormat="1" ht="26.85" customHeight="1" x14ac:dyDescent="0.2">
      <c r="A40" s="95" t="s">
        <v>15</v>
      </c>
      <c r="B40" s="171" t="s">
        <v>198</v>
      </c>
      <c r="C40" s="171"/>
      <c r="D40" s="171"/>
      <c r="E40" s="171"/>
      <c r="F40" s="171"/>
      <c r="G40" s="171"/>
      <c r="H40" s="171"/>
      <c r="I40" s="96">
        <f>ROUND(I39/25*5,2)</f>
        <v>0.65</v>
      </c>
      <c r="L40" s="97"/>
    </row>
    <row r="41" spans="1:12" s="84" customFormat="1" ht="20.25" customHeight="1" x14ac:dyDescent="0.25">
      <c r="A41" s="254" t="s">
        <v>199</v>
      </c>
      <c r="B41" s="254"/>
      <c r="C41" s="254"/>
      <c r="D41" s="254"/>
      <c r="E41" s="254"/>
      <c r="F41" s="254"/>
      <c r="G41" s="254"/>
      <c r="H41" s="98" t="s">
        <v>56</v>
      </c>
      <c r="I41" s="99">
        <f>SUM(I37:I40)</f>
        <v>1456.5800000000002</v>
      </c>
    </row>
    <row r="42" spans="1:12" ht="14.6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</row>
    <row r="43" spans="1:12" ht="14.65" customHeight="1" x14ac:dyDescent="0.2">
      <c r="A43" s="217" t="s">
        <v>57</v>
      </c>
      <c r="B43" s="217"/>
      <c r="C43" s="217"/>
      <c r="D43" s="217"/>
      <c r="E43" s="217"/>
      <c r="F43" s="217"/>
      <c r="G43" s="217"/>
      <c r="H43" s="217"/>
      <c r="I43" s="217"/>
    </row>
    <row r="44" spans="1:12" ht="14.65" customHeight="1" x14ac:dyDescent="0.2">
      <c r="A44" s="218"/>
      <c r="B44" s="218"/>
      <c r="C44" s="218"/>
      <c r="D44" s="218"/>
      <c r="E44" s="218"/>
      <c r="F44" s="218"/>
      <c r="G44" s="218"/>
      <c r="H44" s="218"/>
      <c r="I44" s="218"/>
    </row>
    <row r="45" spans="1:12" ht="17.100000000000001" customHeight="1" x14ac:dyDescent="0.2">
      <c r="A45" s="170" t="s">
        <v>58</v>
      </c>
      <c r="B45" s="170"/>
      <c r="C45" s="170"/>
      <c r="D45" s="170"/>
      <c r="E45" s="170"/>
      <c r="F45" s="170"/>
      <c r="G45" s="170"/>
      <c r="H45" s="170"/>
      <c r="I45" s="170"/>
    </row>
    <row r="46" spans="1:12" ht="15.75" customHeight="1" x14ac:dyDescent="0.2">
      <c r="A46" s="219" t="s">
        <v>59</v>
      </c>
      <c r="B46" s="219"/>
      <c r="C46" s="219"/>
      <c r="D46" s="219"/>
      <c r="E46" s="219"/>
      <c r="F46" s="219"/>
      <c r="G46" s="219"/>
      <c r="H46" s="219"/>
      <c r="I46" s="219"/>
    </row>
    <row r="47" spans="1:12" ht="15.75" customHeight="1" x14ac:dyDescent="0.2">
      <c r="A47" s="24" t="s">
        <v>60</v>
      </c>
      <c r="B47" s="220" t="s">
        <v>61</v>
      </c>
      <c r="C47" s="220"/>
      <c r="D47" s="220"/>
      <c r="E47" s="220"/>
      <c r="F47" s="220"/>
      <c r="G47" s="220"/>
      <c r="H47" s="220"/>
      <c r="I47" s="17" t="s">
        <v>62</v>
      </c>
    </row>
    <row r="48" spans="1:12" ht="14.65" customHeight="1" x14ac:dyDescent="0.2">
      <c r="A48" s="25" t="s">
        <v>10</v>
      </c>
      <c r="B48" s="179" t="s">
        <v>63</v>
      </c>
      <c r="C48" s="179"/>
      <c r="D48" s="179"/>
      <c r="E48" s="179"/>
      <c r="F48" s="179"/>
      <c r="G48" s="179"/>
      <c r="H48" s="179"/>
      <c r="I48" s="100">
        <f>ROUND($I$41/12,2)</f>
        <v>121.38</v>
      </c>
    </row>
    <row r="49" spans="1:9" ht="15.6" customHeight="1" x14ac:dyDescent="0.2">
      <c r="A49" s="25" t="s">
        <v>12</v>
      </c>
      <c r="B49" s="179" t="s">
        <v>64</v>
      </c>
      <c r="C49" s="179"/>
      <c r="D49" s="179"/>
      <c r="E49" s="179"/>
      <c r="F49" s="179"/>
      <c r="G49" s="179"/>
      <c r="H49" s="179"/>
      <c r="I49" s="100">
        <f>ROUND(($I$41/3)/12,2)</f>
        <v>40.46</v>
      </c>
    </row>
    <row r="50" spans="1:9" ht="14.65" customHeight="1" x14ac:dyDescent="0.2">
      <c r="A50" s="211" t="s">
        <v>56</v>
      </c>
      <c r="B50" s="211"/>
      <c r="C50" s="211"/>
      <c r="D50" s="211"/>
      <c r="E50" s="211"/>
      <c r="F50" s="211"/>
      <c r="G50" s="211"/>
      <c r="H50" s="211"/>
      <c r="I50" s="101">
        <f>SUM(I48+I49)</f>
        <v>161.84</v>
      </c>
    </row>
    <row r="51" spans="1:9" ht="12.75" customHeight="1" x14ac:dyDescent="0.2">
      <c r="A51" s="212"/>
      <c r="B51" s="212"/>
      <c r="C51" s="212"/>
      <c r="D51" s="212"/>
      <c r="E51" s="212"/>
      <c r="F51" s="212"/>
      <c r="G51" s="212"/>
      <c r="H51" s="212"/>
      <c r="I51" s="212"/>
    </row>
    <row r="52" spans="1:9" s="84" customFormat="1" ht="24.6" customHeight="1" x14ac:dyDescent="0.2">
      <c r="A52" s="213" t="s">
        <v>65</v>
      </c>
      <c r="B52" s="213"/>
      <c r="C52" s="213"/>
      <c r="D52" s="213"/>
      <c r="E52" s="213"/>
      <c r="F52" s="213"/>
      <c r="G52" s="213"/>
      <c r="H52" s="213"/>
      <c r="I52" s="213"/>
    </row>
    <row r="53" spans="1:9" s="84" customFormat="1" ht="23.1" customHeight="1" x14ac:dyDescent="0.2">
      <c r="A53" s="213" t="s">
        <v>66</v>
      </c>
      <c r="B53" s="213"/>
      <c r="C53" s="213"/>
      <c r="D53" s="213"/>
      <c r="E53" s="213"/>
      <c r="F53" s="213"/>
      <c r="G53" s="213"/>
      <c r="H53" s="213"/>
      <c r="I53" s="213"/>
    </row>
    <row r="54" spans="1:9" ht="14.65" customHeight="1" x14ac:dyDescent="0.2">
      <c r="A54" s="214"/>
      <c r="B54" s="214"/>
      <c r="C54" s="214"/>
      <c r="D54" s="214"/>
      <c r="E54" s="214"/>
      <c r="F54" s="214"/>
      <c r="G54" s="214"/>
      <c r="H54" s="214"/>
      <c r="I54" s="214"/>
    </row>
    <row r="55" spans="1:9" ht="28.35" customHeight="1" x14ac:dyDescent="0.2">
      <c r="A55" s="188" t="s">
        <v>67</v>
      </c>
      <c r="B55" s="188"/>
      <c r="C55" s="188"/>
      <c r="D55" s="188"/>
      <c r="E55" s="188"/>
      <c r="F55" s="188"/>
      <c r="G55" s="188"/>
      <c r="H55" s="188"/>
      <c r="I55" s="188"/>
    </row>
    <row r="56" spans="1:9" ht="28.35" customHeight="1" x14ac:dyDescent="0.2">
      <c r="A56" s="28" t="s">
        <v>68</v>
      </c>
      <c r="B56" s="178" t="s">
        <v>69</v>
      </c>
      <c r="C56" s="178"/>
      <c r="D56" s="178"/>
      <c r="E56" s="178"/>
      <c r="F56" s="178"/>
      <c r="G56" s="178"/>
      <c r="H56" s="8" t="s">
        <v>70</v>
      </c>
      <c r="I56" s="8" t="s">
        <v>71</v>
      </c>
    </row>
    <row r="57" spans="1:9" ht="14.65" customHeight="1" x14ac:dyDescent="0.2">
      <c r="A57" s="29" t="s">
        <v>10</v>
      </c>
      <c r="B57" s="171" t="s">
        <v>72</v>
      </c>
      <c r="C57" s="171"/>
      <c r="D57" s="171"/>
      <c r="E57" s="171"/>
      <c r="F57" s="171"/>
      <c r="G57" s="171"/>
      <c r="H57" s="30">
        <v>0.2</v>
      </c>
      <c r="I57" s="31">
        <f t="shared" ref="I57:I64" si="0">ROUND(($I$41+$I$50)*H57,2)</f>
        <v>323.68</v>
      </c>
    </row>
    <row r="58" spans="1:9" ht="14.65" customHeight="1" x14ac:dyDescent="0.2">
      <c r="A58" s="29" t="s">
        <v>12</v>
      </c>
      <c r="B58" s="171" t="s">
        <v>73</v>
      </c>
      <c r="C58" s="171"/>
      <c r="D58" s="171"/>
      <c r="E58" s="171"/>
      <c r="F58" s="171"/>
      <c r="G58" s="171"/>
      <c r="H58" s="30">
        <v>0</v>
      </c>
      <c r="I58" s="31">
        <f t="shared" si="0"/>
        <v>0</v>
      </c>
    </row>
    <row r="59" spans="1:9" ht="46.5" customHeight="1" x14ac:dyDescent="0.2">
      <c r="A59" s="29" t="s">
        <v>15</v>
      </c>
      <c r="B59" s="171" t="s">
        <v>74</v>
      </c>
      <c r="C59" s="171"/>
      <c r="D59" s="19" t="s">
        <v>75</v>
      </c>
      <c r="E59" s="32">
        <v>0.03</v>
      </c>
      <c r="F59" s="19" t="s">
        <v>76</v>
      </c>
      <c r="G59" s="33">
        <v>1</v>
      </c>
      <c r="H59" s="34">
        <f>ROUND((E59*G59),6)</f>
        <v>0.03</v>
      </c>
      <c r="I59" s="31">
        <f t="shared" si="0"/>
        <v>48.55</v>
      </c>
    </row>
    <row r="60" spans="1:9" ht="14.65" customHeight="1" x14ac:dyDescent="0.2">
      <c r="A60" s="29" t="s">
        <v>18</v>
      </c>
      <c r="B60" s="171" t="s">
        <v>77</v>
      </c>
      <c r="C60" s="171"/>
      <c r="D60" s="171"/>
      <c r="E60" s="171"/>
      <c r="F60" s="171"/>
      <c r="G60" s="171"/>
      <c r="H60" s="30">
        <v>0</v>
      </c>
      <c r="I60" s="31">
        <f t="shared" si="0"/>
        <v>0</v>
      </c>
    </row>
    <row r="61" spans="1:9" ht="14.65" customHeight="1" x14ac:dyDescent="0.2">
      <c r="A61" s="29" t="s">
        <v>35</v>
      </c>
      <c r="B61" s="171" t="s">
        <v>78</v>
      </c>
      <c r="C61" s="171"/>
      <c r="D61" s="171"/>
      <c r="E61" s="171"/>
      <c r="F61" s="171"/>
      <c r="G61" s="171"/>
      <c r="H61" s="30">
        <v>0</v>
      </c>
      <c r="I61" s="31">
        <f t="shared" si="0"/>
        <v>0</v>
      </c>
    </row>
    <row r="62" spans="1:9" ht="14.65" customHeight="1" x14ac:dyDescent="0.2">
      <c r="A62" s="29" t="s">
        <v>79</v>
      </c>
      <c r="B62" s="171" t="s">
        <v>80</v>
      </c>
      <c r="C62" s="171"/>
      <c r="D62" s="171"/>
      <c r="E62" s="171"/>
      <c r="F62" s="171"/>
      <c r="G62" s="171"/>
      <c r="H62" s="30">
        <v>0</v>
      </c>
      <c r="I62" s="31">
        <f t="shared" si="0"/>
        <v>0</v>
      </c>
    </row>
    <row r="63" spans="1:9" ht="14.65" customHeight="1" x14ac:dyDescent="0.2">
      <c r="A63" s="29" t="s">
        <v>81</v>
      </c>
      <c r="B63" s="171" t="s">
        <v>82</v>
      </c>
      <c r="C63" s="171"/>
      <c r="D63" s="171"/>
      <c r="E63" s="171"/>
      <c r="F63" s="171"/>
      <c r="G63" s="171"/>
      <c r="H63" s="30">
        <v>0</v>
      </c>
      <c r="I63" s="31">
        <f t="shared" si="0"/>
        <v>0</v>
      </c>
    </row>
    <row r="64" spans="1:9" ht="14.65" customHeight="1" x14ac:dyDescent="0.2">
      <c r="A64" s="29" t="s">
        <v>83</v>
      </c>
      <c r="B64" s="171" t="s">
        <v>84</v>
      </c>
      <c r="C64" s="171"/>
      <c r="D64" s="171"/>
      <c r="E64" s="171"/>
      <c r="F64" s="171"/>
      <c r="G64" s="171"/>
      <c r="H64" s="30">
        <v>0.08</v>
      </c>
      <c r="I64" s="31">
        <f t="shared" si="0"/>
        <v>129.47</v>
      </c>
    </row>
    <row r="65" spans="1:9" ht="14.65" customHeight="1" x14ac:dyDescent="0.2">
      <c r="A65" s="253" t="s">
        <v>56</v>
      </c>
      <c r="B65" s="253"/>
      <c r="C65" s="253"/>
      <c r="D65" s="253"/>
      <c r="E65" s="253"/>
      <c r="F65" s="253"/>
      <c r="G65" s="253"/>
      <c r="H65" s="35">
        <f>SUM(H57:H64)</f>
        <v>0.31</v>
      </c>
      <c r="I65" s="36">
        <f>SUM(I57:I64)</f>
        <v>501.70000000000005</v>
      </c>
    </row>
    <row r="66" spans="1:9" x14ac:dyDescent="0.2">
      <c r="A66" s="37"/>
      <c r="B66" s="38"/>
      <c r="C66" s="38"/>
      <c r="D66" s="38"/>
      <c r="E66" s="38"/>
      <c r="F66" s="38"/>
      <c r="G66" s="38"/>
      <c r="H66" s="39"/>
      <c r="I66" s="40"/>
    </row>
    <row r="67" spans="1:9" s="16" customFormat="1" ht="16.350000000000001" customHeight="1" x14ac:dyDescent="0.2">
      <c r="A67" s="203" t="s">
        <v>85</v>
      </c>
      <c r="B67" s="203"/>
      <c r="C67" s="203"/>
      <c r="D67" s="203"/>
      <c r="E67" s="203"/>
      <c r="F67" s="203"/>
      <c r="G67" s="203"/>
      <c r="H67" s="203"/>
      <c r="I67" s="203"/>
    </row>
    <row r="68" spans="1:9" s="16" customFormat="1" ht="16.350000000000001" customHeight="1" x14ac:dyDescent="0.2">
      <c r="A68" s="203" t="s">
        <v>86</v>
      </c>
      <c r="B68" s="203"/>
      <c r="C68" s="203"/>
      <c r="D68" s="203"/>
      <c r="E68" s="203"/>
      <c r="F68" s="203"/>
      <c r="G68" s="203"/>
      <c r="H68" s="203"/>
      <c r="I68" s="203"/>
    </row>
    <row r="69" spans="1:9" s="16" customFormat="1" ht="16.350000000000001" customHeight="1" x14ac:dyDescent="0.2">
      <c r="A69" s="203" t="s">
        <v>87</v>
      </c>
      <c r="B69" s="203"/>
      <c r="C69" s="203"/>
      <c r="D69" s="203"/>
      <c r="E69" s="203"/>
      <c r="F69" s="203"/>
      <c r="G69" s="203"/>
      <c r="H69" s="203"/>
      <c r="I69" s="203"/>
    </row>
    <row r="70" spans="1:9" ht="14.65" customHeight="1" x14ac:dyDescent="0.2">
      <c r="A70" s="202"/>
      <c r="B70" s="202"/>
      <c r="C70" s="202"/>
      <c r="D70" s="202"/>
      <c r="E70" s="202"/>
      <c r="F70" s="202"/>
      <c r="G70" s="202"/>
      <c r="H70" s="202"/>
      <c r="I70" s="202"/>
    </row>
    <row r="71" spans="1:9" ht="15.75" customHeight="1" x14ac:dyDescent="0.2">
      <c r="A71" s="181" t="s">
        <v>88</v>
      </c>
      <c r="B71" s="181"/>
      <c r="C71" s="181"/>
      <c r="D71" s="181"/>
      <c r="E71" s="181"/>
      <c r="F71" s="181"/>
      <c r="G71" s="181"/>
      <c r="H71" s="181"/>
      <c r="I71" s="181"/>
    </row>
    <row r="72" spans="1:9" ht="15.75" customHeight="1" x14ac:dyDescent="0.2">
      <c r="A72" s="41" t="s">
        <v>89</v>
      </c>
      <c r="B72" s="204" t="s">
        <v>90</v>
      </c>
      <c r="C72" s="204"/>
      <c r="D72" s="204"/>
      <c r="E72" s="204"/>
      <c r="F72" s="204"/>
      <c r="G72" s="204"/>
      <c r="H72" s="204"/>
      <c r="I72" s="8" t="s">
        <v>62</v>
      </c>
    </row>
    <row r="73" spans="1:9" ht="14.65" customHeight="1" x14ac:dyDescent="0.2">
      <c r="A73" s="186" t="s">
        <v>10</v>
      </c>
      <c r="B73" s="205" t="s">
        <v>91</v>
      </c>
      <c r="C73" s="205"/>
      <c r="D73" s="205"/>
      <c r="E73" s="205"/>
      <c r="F73" s="205"/>
      <c r="G73" s="205"/>
      <c r="H73" s="205"/>
      <c r="I73" s="206">
        <f>IF(ROUND((H76*H74*H75)-(I37*H77),2)&lt;0,0,ROUND((H76*H74*H75)-(I37*H77),2))</f>
        <v>140.6</v>
      </c>
    </row>
    <row r="74" spans="1:9" ht="12.75" customHeight="1" x14ac:dyDescent="0.2">
      <c r="A74" s="186"/>
      <c r="B74" s="207" t="s">
        <v>92</v>
      </c>
      <c r="C74" s="207"/>
      <c r="D74" s="207"/>
      <c r="E74" s="207"/>
      <c r="F74" s="207"/>
      <c r="G74" s="207"/>
      <c r="H74" s="42">
        <v>4.3499999999999996</v>
      </c>
      <c r="I74" s="206"/>
    </row>
    <row r="75" spans="1:9" ht="14.65" customHeight="1" x14ac:dyDescent="0.2">
      <c r="A75" s="186"/>
      <c r="B75" s="208" t="s">
        <v>93</v>
      </c>
      <c r="C75" s="208"/>
      <c r="D75" s="208"/>
      <c r="E75" s="208"/>
      <c r="F75" s="208"/>
      <c r="G75" s="208"/>
      <c r="H75" s="43">
        <v>2</v>
      </c>
      <c r="I75" s="206"/>
    </row>
    <row r="76" spans="1:9" ht="14.65" customHeight="1" x14ac:dyDescent="0.2">
      <c r="A76" s="186"/>
      <c r="B76" s="209" t="s">
        <v>94</v>
      </c>
      <c r="C76" s="209"/>
      <c r="D76" s="209"/>
      <c r="E76" s="209"/>
      <c r="F76" s="209"/>
      <c r="G76" s="209"/>
      <c r="H76" s="44">
        <v>26</v>
      </c>
      <c r="I76" s="206"/>
    </row>
    <row r="77" spans="1:9" ht="11.45" customHeight="1" x14ac:dyDescent="0.2">
      <c r="A77" s="186"/>
      <c r="B77" s="210" t="s">
        <v>95</v>
      </c>
      <c r="C77" s="210"/>
      <c r="D77" s="210"/>
      <c r="E77" s="210"/>
      <c r="F77" s="210"/>
      <c r="G77" s="210"/>
      <c r="H77" s="45">
        <v>0.06</v>
      </c>
      <c r="I77" s="206"/>
    </row>
    <row r="78" spans="1:9" ht="14.65" customHeight="1" x14ac:dyDescent="0.2">
      <c r="A78" s="244" t="s">
        <v>12</v>
      </c>
      <c r="B78" s="245" t="s">
        <v>96</v>
      </c>
      <c r="C78" s="245"/>
      <c r="D78" s="245"/>
      <c r="E78" s="245"/>
      <c r="F78" s="245"/>
      <c r="G78" s="245"/>
      <c r="H78" s="245"/>
      <c r="I78" s="246">
        <f>ROUND(H80*H79*(1-H81),2)</f>
        <v>324.32</v>
      </c>
    </row>
    <row r="79" spans="1:9" ht="14.65" customHeight="1" x14ac:dyDescent="0.2">
      <c r="A79" s="244"/>
      <c r="B79" s="247" t="s">
        <v>200</v>
      </c>
      <c r="C79" s="247"/>
      <c r="D79" s="247"/>
      <c r="E79" s="247"/>
      <c r="F79" s="247"/>
      <c r="G79" s="247"/>
      <c r="H79" s="102">
        <v>18.2</v>
      </c>
      <c r="I79" s="246"/>
    </row>
    <row r="80" spans="1:9" ht="14.65" customHeight="1" x14ac:dyDescent="0.2">
      <c r="A80" s="244"/>
      <c r="B80" s="248" t="s">
        <v>201</v>
      </c>
      <c r="C80" s="248"/>
      <c r="D80" s="248"/>
      <c r="E80" s="248"/>
      <c r="F80" s="248"/>
      <c r="G80" s="248"/>
      <c r="H80" s="103">
        <v>22</v>
      </c>
      <c r="I80" s="246"/>
    </row>
    <row r="81" spans="1:9" ht="14.65" customHeight="1" x14ac:dyDescent="0.2">
      <c r="A81" s="244"/>
      <c r="B81" s="247" t="s">
        <v>100</v>
      </c>
      <c r="C81" s="247"/>
      <c r="D81" s="247"/>
      <c r="E81" s="247"/>
      <c r="F81" s="247"/>
      <c r="G81" s="247"/>
      <c r="H81" s="104">
        <v>0.19</v>
      </c>
      <c r="I81" s="246"/>
    </row>
    <row r="82" spans="1:9" ht="14.65" customHeight="1" x14ac:dyDescent="0.2">
      <c r="A82" s="249" t="s">
        <v>15</v>
      </c>
      <c r="B82" s="250" t="s">
        <v>202</v>
      </c>
      <c r="C82" s="250"/>
      <c r="D82" s="250"/>
      <c r="E82" s="250"/>
      <c r="F82" s="250"/>
      <c r="G82" s="250"/>
      <c r="H82" s="250"/>
      <c r="I82" s="251">
        <f>ROUND(H84*H83*(1-H85),2)</f>
        <v>29.48</v>
      </c>
    </row>
    <row r="83" spans="1:9" ht="14.65" customHeight="1" x14ac:dyDescent="0.2">
      <c r="A83" s="249"/>
      <c r="B83" s="207" t="s">
        <v>203</v>
      </c>
      <c r="C83" s="207"/>
      <c r="D83" s="207"/>
      <c r="E83" s="207"/>
      <c r="F83" s="207"/>
      <c r="G83" s="207"/>
      <c r="H83" s="42">
        <v>9.1</v>
      </c>
      <c r="I83" s="251"/>
    </row>
    <row r="84" spans="1:9" ht="14.65" customHeight="1" x14ac:dyDescent="0.2">
      <c r="A84" s="249"/>
      <c r="B84" s="252" t="s">
        <v>204</v>
      </c>
      <c r="C84" s="252"/>
      <c r="D84" s="252"/>
      <c r="E84" s="252"/>
      <c r="F84" s="252"/>
      <c r="G84" s="252"/>
      <c r="H84" s="44">
        <v>4</v>
      </c>
      <c r="I84" s="251"/>
    </row>
    <row r="85" spans="1:9" ht="14.65" customHeight="1" x14ac:dyDescent="0.2">
      <c r="A85" s="249"/>
      <c r="B85" s="207" t="s">
        <v>205</v>
      </c>
      <c r="C85" s="207"/>
      <c r="D85" s="207"/>
      <c r="E85" s="207"/>
      <c r="F85" s="207"/>
      <c r="G85" s="207"/>
      <c r="H85" s="105">
        <v>0.19</v>
      </c>
      <c r="I85" s="251"/>
    </row>
    <row r="86" spans="1:9" ht="14.65" customHeight="1" x14ac:dyDescent="0.2">
      <c r="A86" s="106" t="s">
        <v>18</v>
      </c>
      <c r="B86" s="242" t="s">
        <v>101</v>
      </c>
      <c r="C86" s="242"/>
      <c r="D86" s="242"/>
      <c r="E86" s="242"/>
      <c r="F86" s="242"/>
      <c r="G86" s="242"/>
      <c r="H86" s="242"/>
      <c r="I86" s="107">
        <v>15.62</v>
      </c>
    </row>
    <row r="87" spans="1:9" ht="14.65" customHeight="1" x14ac:dyDescent="0.2">
      <c r="A87" s="51"/>
      <c r="B87" s="145" t="s">
        <v>102</v>
      </c>
      <c r="C87" s="145"/>
      <c r="D87" s="145"/>
      <c r="E87" s="145"/>
      <c r="F87" s="145"/>
      <c r="G87" s="145"/>
      <c r="H87" s="145"/>
      <c r="I87" s="36">
        <f>SUM(I73+I78+I82)</f>
        <v>494.4</v>
      </c>
    </row>
    <row r="88" spans="1:9" ht="14.65" customHeight="1" x14ac:dyDescent="0.2">
      <c r="A88" s="202"/>
      <c r="B88" s="202"/>
      <c r="C88" s="202"/>
      <c r="D88" s="202"/>
      <c r="E88" s="202"/>
      <c r="F88" s="202"/>
      <c r="G88" s="202"/>
      <c r="H88" s="202"/>
      <c r="I88" s="202"/>
    </row>
    <row r="89" spans="1:9" ht="14.65" customHeight="1" x14ac:dyDescent="0.2">
      <c r="A89" s="194" t="s">
        <v>103</v>
      </c>
      <c r="B89" s="194"/>
      <c r="C89" s="194"/>
      <c r="D89" s="194"/>
      <c r="E89" s="194"/>
      <c r="F89" s="194"/>
      <c r="G89" s="194"/>
      <c r="H89" s="194"/>
      <c r="I89" s="194"/>
    </row>
    <row r="90" spans="1:9" ht="21.95" customHeight="1" x14ac:dyDescent="0.2">
      <c r="A90" s="195" t="s">
        <v>104</v>
      </c>
      <c r="B90" s="195"/>
      <c r="C90" s="195"/>
      <c r="D90" s="195"/>
      <c r="E90" s="195"/>
      <c r="F90" s="195"/>
      <c r="G90" s="195"/>
      <c r="H90" s="195"/>
      <c r="I90" s="195"/>
    </row>
    <row r="91" spans="1:9" ht="15.95" customHeight="1" x14ac:dyDescent="0.2">
      <c r="A91" s="243"/>
      <c r="B91" s="243"/>
      <c r="C91" s="243"/>
      <c r="D91" s="243"/>
      <c r="E91" s="243"/>
      <c r="F91" s="243"/>
      <c r="G91" s="243"/>
      <c r="H91" s="243"/>
      <c r="I91" s="243"/>
    </row>
    <row r="92" spans="1:9" ht="17.100000000000001" customHeight="1" x14ac:dyDescent="0.2">
      <c r="A92" s="177" t="s">
        <v>105</v>
      </c>
      <c r="B92" s="177"/>
      <c r="C92" s="177"/>
      <c r="D92" s="177"/>
      <c r="E92" s="177"/>
      <c r="F92" s="177"/>
      <c r="G92" s="177"/>
      <c r="H92" s="177"/>
      <c r="I92" s="177"/>
    </row>
    <row r="93" spans="1:9" ht="15.75" customHeight="1" x14ac:dyDescent="0.2">
      <c r="A93" s="8">
        <v>2</v>
      </c>
      <c r="B93" s="178" t="s">
        <v>106</v>
      </c>
      <c r="C93" s="178"/>
      <c r="D93" s="178"/>
      <c r="E93" s="178"/>
      <c r="F93" s="178"/>
      <c r="G93" s="178"/>
      <c r="H93" s="178"/>
      <c r="I93" s="8" t="s">
        <v>62</v>
      </c>
    </row>
    <row r="94" spans="1:9" s="21" customFormat="1" ht="14.65" customHeight="1" x14ac:dyDescent="0.2">
      <c r="A94" s="19" t="s">
        <v>60</v>
      </c>
      <c r="B94" s="171" t="s">
        <v>107</v>
      </c>
      <c r="C94" s="171"/>
      <c r="D94" s="171"/>
      <c r="E94" s="171"/>
      <c r="F94" s="171"/>
      <c r="G94" s="171"/>
      <c r="H94" s="171"/>
      <c r="I94" s="53">
        <f>I50</f>
        <v>161.84</v>
      </c>
    </row>
    <row r="95" spans="1:9" s="21" customFormat="1" ht="14.65" customHeight="1" x14ac:dyDescent="0.2">
      <c r="A95" s="19" t="s">
        <v>68</v>
      </c>
      <c r="B95" s="171" t="s">
        <v>69</v>
      </c>
      <c r="C95" s="171"/>
      <c r="D95" s="171"/>
      <c r="E95" s="171"/>
      <c r="F95" s="171"/>
      <c r="G95" s="171"/>
      <c r="H95" s="171"/>
      <c r="I95" s="53">
        <f>I65</f>
        <v>501.70000000000005</v>
      </c>
    </row>
    <row r="96" spans="1:9" s="21" customFormat="1" ht="14.65" customHeight="1" x14ac:dyDescent="0.2">
      <c r="A96" s="19" t="s">
        <v>89</v>
      </c>
      <c r="B96" s="171" t="s">
        <v>90</v>
      </c>
      <c r="C96" s="171"/>
      <c r="D96" s="171"/>
      <c r="E96" s="171"/>
      <c r="F96" s="171"/>
      <c r="G96" s="171"/>
      <c r="H96" s="171"/>
      <c r="I96" s="53">
        <f>I87</f>
        <v>494.4</v>
      </c>
    </row>
    <row r="97" spans="1:9" ht="14.65" customHeight="1" x14ac:dyDescent="0.2">
      <c r="A97" s="146" t="s">
        <v>56</v>
      </c>
      <c r="B97" s="146"/>
      <c r="C97" s="146"/>
      <c r="D97" s="146"/>
      <c r="E97" s="146"/>
      <c r="F97" s="146"/>
      <c r="G97" s="146"/>
      <c r="H97" s="146"/>
      <c r="I97" s="54">
        <f>SUM(I94+I95+I96)</f>
        <v>1157.94</v>
      </c>
    </row>
    <row r="98" spans="1:9" ht="14.65" customHeight="1" x14ac:dyDescent="0.2">
      <c r="A98" s="193"/>
      <c r="B98" s="193"/>
      <c r="C98" s="193"/>
      <c r="D98" s="193"/>
      <c r="E98" s="193"/>
      <c r="F98" s="193"/>
      <c r="G98" s="193"/>
      <c r="H98" s="193"/>
      <c r="I98" s="193"/>
    </row>
    <row r="99" spans="1:9" ht="17.100000000000001" customHeight="1" x14ac:dyDescent="0.2">
      <c r="A99" s="170" t="s">
        <v>108</v>
      </c>
      <c r="B99" s="170"/>
      <c r="C99" s="170"/>
      <c r="D99" s="170"/>
      <c r="E99" s="170"/>
      <c r="F99" s="170"/>
      <c r="G99" s="170"/>
      <c r="H99" s="170"/>
      <c r="I99" s="170"/>
    </row>
    <row r="100" spans="1:9" ht="15.75" customHeight="1" x14ac:dyDescent="0.2">
      <c r="A100" s="55">
        <v>3</v>
      </c>
      <c r="B100" s="176" t="s">
        <v>109</v>
      </c>
      <c r="C100" s="176"/>
      <c r="D100" s="176"/>
      <c r="E100" s="176"/>
      <c r="F100" s="176"/>
      <c r="G100" s="176"/>
      <c r="H100" s="176"/>
      <c r="I100" s="55" t="s">
        <v>110</v>
      </c>
    </row>
    <row r="101" spans="1:9" s="21" customFormat="1" ht="44.45" customHeight="1" x14ac:dyDescent="0.2">
      <c r="A101" s="25" t="s">
        <v>10</v>
      </c>
      <c r="B101" s="171" t="s">
        <v>111</v>
      </c>
      <c r="C101" s="171"/>
      <c r="D101" s="171"/>
      <c r="E101" s="171"/>
      <c r="F101" s="171"/>
      <c r="G101" s="171"/>
      <c r="H101" s="171"/>
      <c r="I101" s="31">
        <f>ROUND((($I$41/12)+($I$48/12)+($I$41/12/12)+($I$49/12))*(30/30)*0.05,2)</f>
        <v>7.25</v>
      </c>
    </row>
    <row r="102" spans="1:9" s="21" customFormat="1" ht="14.25" customHeight="1" x14ac:dyDescent="0.2">
      <c r="A102" s="25" t="s">
        <v>12</v>
      </c>
      <c r="B102" s="179" t="s">
        <v>112</v>
      </c>
      <c r="C102" s="179"/>
      <c r="D102" s="179"/>
      <c r="E102" s="179"/>
      <c r="F102" s="179"/>
      <c r="G102" s="179"/>
      <c r="H102" s="179"/>
      <c r="I102" s="31">
        <f>ROUND($I$101*H64,2)</f>
        <v>0.57999999999999996</v>
      </c>
    </row>
    <row r="103" spans="1:9" s="21" customFormat="1" ht="25.35" customHeight="1" x14ac:dyDescent="0.2">
      <c r="A103" s="25" t="s">
        <v>15</v>
      </c>
      <c r="B103" s="171" t="s">
        <v>113</v>
      </c>
      <c r="C103" s="171"/>
      <c r="D103" s="171"/>
      <c r="E103" s="171"/>
      <c r="F103" s="171"/>
      <c r="G103" s="171"/>
      <c r="H103" s="171"/>
      <c r="I103" s="31">
        <f>ROUND(0.08*0.4*($I$41+$I$48+($I$41/12)+$I$49)*0.05,2)</f>
        <v>2.78</v>
      </c>
    </row>
    <row r="104" spans="1:9" s="21" customFormat="1" ht="26.1" customHeight="1" x14ac:dyDescent="0.2">
      <c r="A104" s="25" t="s">
        <v>18</v>
      </c>
      <c r="B104" s="171" t="s">
        <v>114</v>
      </c>
      <c r="C104" s="171"/>
      <c r="D104" s="171"/>
      <c r="E104" s="171"/>
      <c r="F104" s="171"/>
      <c r="G104" s="171"/>
      <c r="H104" s="171"/>
      <c r="I104" s="31">
        <f>ROUND(((($I$41/30)*7)/$H$20)*1,2)</f>
        <v>28.32</v>
      </c>
    </row>
    <row r="105" spans="1:9" s="21" customFormat="1" ht="14.65" customHeight="1" x14ac:dyDescent="0.2">
      <c r="A105" s="25" t="s">
        <v>35</v>
      </c>
      <c r="B105" s="179" t="s">
        <v>115</v>
      </c>
      <c r="C105" s="179"/>
      <c r="D105" s="179"/>
      <c r="E105" s="179"/>
      <c r="F105" s="179"/>
      <c r="G105" s="179"/>
      <c r="H105" s="179"/>
      <c r="I105" s="31">
        <f>ROUND($H$65*I104,2)</f>
        <v>8.7799999999999994</v>
      </c>
    </row>
    <row r="106" spans="1:9" s="21" customFormat="1" ht="25.35" customHeight="1" x14ac:dyDescent="0.2">
      <c r="A106" s="25" t="s">
        <v>79</v>
      </c>
      <c r="B106" s="171" t="s">
        <v>116</v>
      </c>
      <c r="C106" s="171"/>
      <c r="D106" s="171"/>
      <c r="E106" s="171"/>
      <c r="F106" s="171"/>
      <c r="G106" s="171"/>
      <c r="H106" s="171"/>
      <c r="I106" s="31">
        <f>ROUND(0.08*0.4*($I$41+$I$48+($I$41/12)+$I$49)*1,2)</f>
        <v>55.67</v>
      </c>
    </row>
    <row r="107" spans="1:9" ht="14.65" customHeight="1" x14ac:dyDescent="0.2">
      <c r="A107" s="145" t="s">
        <v>56</v>
      </c>
      <c r="B107" s="145"/>
      <c r="C107" s="145"/>
      <c r="D107" s="145"/>
      <c r="E107" s="145"/>
      <c r="F107" s="145"/>
      <c r="G107" s="145"/>
      <c r="H107" s="145"/>
      <c r="I107" s="36">
        <f>SUM(I101:I106)</f>
        <v>103.38</v>
      </c>
    </row>
    <row r="108" spans="1:9" s="56" customFormat="1" ht="14.65" customHeight="1" x14ac:dyDescent="0.2">
      <c r="A108" s="189"/>
      <c r="B108" s="189"/>
      <c r="C108" s="189"/>
      <c r="D108" s="189"/>
      <c r="E108" s="189"/>
      <c r="F108" s="189"/>
      <c r="G108" s="189"/>
      <c r="H108" s="189"/>
      <c r="I108" s="189"/>
    </row>
    <row r="109" spans="1:9" ht="17.100000000000001" customHeight="1" x14ac:dyDescent="0.2">
      <c r="A109" s="177" t="s">
        <v>117</v>
      </c>
      <c r="B109" s="177"/>
      <c r="C109" s="177"/>
      <c r="D109" s="177"/>
      <c r="E109" s="177"/>
      <c r="F109" s="177"/>
      <c r="G109" s="177"/>
      <c r="H109" s="177"/>
      <c r="I109" s="177"/>
    </row>
    <row r="110" spans="1:9" ht="25.5" customHeight="1" x14ac:dyDescent="0.2">
      <c r="A110" s="187" t="s">
        <v>118</v>
      </c>
      <c r="B110" s="187"/>
      <c r="C110" s="187"/>
      <c r="D110" s="187"/>
      <c r="E110" s="187"/>
      <c r="F110" s="187"/>
      <c r="G110" s="187"/>
      <c r="H110" s="187"/>
      <c r="I110" s="187"/>
    </row>
    <row r="111" spans="1:9" ht="34.5" customHeight="1" x14ac:dyDescent="0.2">
      <c r="A111" s="188" t="s">
        <v>119</v>
      </c>
      <c r="B111" s="188"/>
      <c r="C111" s="188"/>
      <c r="D111" s="188"/>
      <c r="E111" s="188"/>
      <c r="F111" s="188"/>
      <c r="G111" s="188"/>
      <c r="H111" s="188"/>
      <c r="I111" s="188"/>
    </row>
    <row r="112" spans="1:9" ht="15.75" customHeight="1" x14ac:dyDescent="0.2">
      <c r="A112" s="189"/>
      <c r="B112" s="189"/>
      <c r="C112" s="189"/>
      <c r="D112" s="189"/>
      <c r="E112" s="189"/>
      <c r="F112" s="189"/>
      <c r="G112" s="189"/>
      <c r="H112" s="189"/>
      <c r="I112" s="189"/>
    </row>
    <row r="113" spans="1:9" ht="40.5" x14ac:dyDescent="0.2">
      <c r="A113" s="57" t="s">
        <v>120</v>
      </c>
      <c r="B113" s="58">
        <f>I41</f>
        <v>1456.5800000000002</v>
      </c>
      <c r="C113" s="59"/>
      <c r="D113" s="57" t="s">
        <v>121</v>
      </c>
      <c r="E113" s="58">
        <f>I97-I73-I78</f>
        <v>693.02</v>
      </c>
      <c r="F113" s="59"/>
      <c r="G113" s="57" t="s">
        <v>122</v>
      </c>
      <c r="H113" s="58">
        <f>I107</f>
        <v>103.38</v>
      </c>
      <c r="I113" s="60">
        <f>B113+E113+H113</f>
        <v>2252.9800000000005</v>
      </c>
    </row>
    <row r="114" spans="1:9" ht="15.6" customHeight="1" x14ac:dyDescent="0.2">
      <c r="A114" s="190" t="s">
        <v>123</v>
      </c>
      <c r="B114" s="190"/>
      <c r="C114" s="190"/>
      <c r="D114" s="190"/>
      <c r="E114" s="190"/>
      <c r="F114" s="190"/>
      <c r="G114" s="190"/>
      <c r="H114" s="190"/>
      <c r="I114" s="61">
        <f>ROUND(I113/30,2)</f>
        <v>75.099999999999994</v>
      </c>
    </row>
    <row r="115" spans="1:9" ht="15.75" customHeight="1" x14ac:dyDescent="0.2">
      <c r="A115" s="191"/>
      <c r="B115" s="191"/>
      <c r="C115" s="191"/>
      <c r="D115" s="191"/>
      <c r="E115" s="191"/>
      <c r="F115" s="191"/>
      <c r="G115" s="191"/>
      <c r="H115" s="191"/>
      <c r="I115" s="191"/>
    </row>
    <row r="116" spans="1:9" ht="20.45" customHeight="1" x14ac:dyDescent="0.2">
      <c r="A116" s="192" t="s">
        <v>124</v>
      </c>
      <c r="B116" s="192"/>
      <c r="C116" s="192"/>
      <c r="D116" s="192"/>
      <c r="E116" s="192"/>
      <c r="F116" s="192"/>
      <c r="G116" s="192"/>
      <c r="H116" s="192"/>
      <c r="I116" s="192"/>
    </row>
    <row r="117" spans="1:9" ht="15.75" customHeight="1" x14ac:dyDescent="0.25">
      <c r="A117" s="62" t="s">
        <v>125</v>
      </c>
      <c r="B117" s="176" t="s">
        <v>126</v>
      </c>
      <c r="C117" s="176"/>
      <c r="D117" s="176"/>
      <c r="E117" s="176"/>
      <c r="F117" s="176"/>
      <c r="G117" s="176"/>
      <c r="H117" s="176"/>
      <c r="I117" s="62" t="s">
        <v>62</v>
      </c>
    </row>
    <row r="118" spans="1:9" s="21" customFormat="1" ht="14.65" customHeight="1" x14ac:dyDescent="0.2">
      <c r="A118" s="63" t="s">
        <v>10</v>
      </c>
      <c r="B118" s="184" t="s">
        <v>127</v>
      </c>
      <c r="C118" s="184"/>
      <c r="D118" s="184"/>
      <c r="E118" s="184"/>
      <c r="F118" s="184"/>
      <c r="G118" s="184"/>
      <c r="H118" s="184"/>
      <c r="I118" s="64">
        <f>ROUND($I$113/12,2)</f>
        <v>187.75</v>
      </c>
    </row>
    <row r="119" spans="1:9" s="21" customFormat="1" ht="14.65" customHeight="1" x14ac:dyDescent="0.2">
      <c r="A119" s="25" t="s">
        <v>12</v>
      </c>
      <c r="B119" s="171" t="s">
        <v>128</v>
      </c>
      <c r="C119" s="171"/>
      <c r="D119" s="171"/>
      <c r="E119" s="171"/>
      <c r="F119" s="171"/>
      <c r="G119" s="171"/>
      <c r="H119" s="171"/>
      <c r="I119" s="31">
        <f>ROUND((($I$113/30)*1)/12,2)</f>
        <v>6.26</v>
      </c>
    </row>
    <row r="120" spans="1:9" s="21" customFormat="1" ht="12.75" customHeight="1" x14ac:dyDescent="0.2">
      <c r="A120" s="25" t="s">
        <v>15</v>
      </c>
      <c r="B120" s="171" t="s">
        <v>129</v>
      </c>
      <c r="C120" s="171"/>
      <c r="D120" s="171"/>
      <c r="E120" s="171"/>
      <c r="F120" s="171"/>
      <c r="G120" s="171"/>
      <c r="H120" s="171"/>
      <c r="I120" s="31">
        <f>ROUND(((($I$113/30)*5)/12)*0.015,2)</f>
        <v>0.47</v>
      </c>
    </row>
    <row r="121" spans="1:9" s="21" customFormat="1" ht="25.35" customHeight="1" x14ac:dyDescent="0.2">
      <c r="A121" s="25" t="s">
        <v>18</v>
      </c>
      <c r="B121" s="171" t="s">
        <v>130</v>
      </c>
      <c r="C121" s="171"/>
      <c r="D121" s="171"/>
      <c r="E121" s="171"/>
      <c r="F121" s="171"/>
      <c r="G121" s="171"/>
      <c r="H121" s="171"/>
      <c r="I121" s="31">
        <f>ROUND(((($I$113/30)*15)/12)*0.0078,2)</f>
        <v>0.73</v>
      </c>
    </row>
    <row r="122" spans="1:9" s="21" customFormat="1" ht="23.1" customHeight="1" x14ac:dyDescent="0.2">
      <c r="A122" s="25" t="s">
        <v>35</v>
      </c>
      <c r="B122" s="171" t="s">
        <v>131</v>
      </c>
      <c r="C122" s="171"/>
      <c r="D122" s="171"/>
      <c r="E122" s="171"/>
      <c r="F122" s="171"/>
      <c r="G122" s="171"/>
      <c r="H122" s="171"/>
      <c r="I122" s="31">
        <f>ROUND(((((B113+B113/3)/12)+(I65+I87-I73-I78+I107))*(4/12))*0.02,2)</f>
        <v>5.31</v>
      </c>
    </row>
    <row r="123" spans="1:9" s="21" customFormat="1" ht="12.75" customHeight="1" x14ac:dyDescent="0.2">
      <c r="A123" s="65" t="s">
        <v>79</v>
      </c>
      <c r="B123" s="171" t="s">
        <v>132</v>
      </c>
      <c r="C123" s="171"/>
      <c r="D123" s="171"/>
      <c r="E123" s="171"/>
      <c r="F123" s="171"/>
      <c r="G123" s="171"/>
      <c r="H123" s="171"/>
      <c r="I123" s="31">
        <f>ROUND(((($I$113/30)*5)/12),2)</f>
        <v>31.29</v>
      </c>
    </row>
    <row r="124" spans="1:9" ht="14.65" customHeight="1" x14ac:dyDescent="0.2">
      <c r="A124" s="145" t="s">
        <v>56</v>
      </c>
      <c r="B124" s="145"/>
      <c r="C124" s="145"/>
      <c r="D124" s="145"/>
      <c r="E124" s="145"/>
      <c r="F124" s="145"/>
      <c r="G124" s="145"/>
      <c r="H124" s="145"/>
      <c r="I124" s="66">
        <f>SUM(I118:I123)</f>
        <v>231.80999999999997</v>
      </c>
    </row>
    <row r="125" spans="1:9" s="56" customFormat="1" ht="14.65" customHeight="1" x14ac:dyDescent="0.2">
      <c r="A125" s="185"/>
      <c r="B125" s="185"/>
      <c r="C125" s="185"/>
      <c r="D125" s="185"/>
      <c r="E125" s="185"/>
      <c r="F125" s="185"/>
      <c r="G125" s="185"/>
      <c r="H125" s="185"/>
      <c r="I125" s="185"/>
    </row>
    <row r="126" spans="1:9" ht="15.75" customHeight="1" x14ac:dyDescent="0.2">
      <c r="A126" s="181" t="s">
        <v>133</v>
      </c>
      <c r="B126" s="181"/>
      <c r="C126" s="181"/>
      <c r="D126" s="181"/>
      <c r="E126" s="181"/>
      <c r="F126" s="181"/>
      <c r="G126" s="181"/>
      <c r="H126" s="181"/>
      <c r="I126" s="181"/>
    </row>
    <row r="127" spans="1:9" ht="15.75" customHeight="1" x14ac:dyDescent="0.2">
      <c r="A127" s="55" t="s">
        <v>134</v>
      </c>
      <c r="B127" s="176" t="s">
        <v>135</v>
      </c>
      <c r="C127" s="176"/>
      <c r="D127" s="176"/>
      <c r="E127" s="176"/>
      <c r="F127" s="176"/>
      <c r="G127" s="176"/>
      <c r="H127" s="176"/>
      <c r="I127" s="67" t="s">
        <v>62</v>
      </c>
    </row>
    <row r="128" spans="1:9" ht="14.65" customHeight="1" x14ac:dyDescent="0.2">
      <c r="A128" s="25" t="s">
        <v>10</v>
      </c>
      <c r="B128" s="179" t="s">
        <v>136</v>
      </c>
      <c r="C128" s="179"/>
      <c r="D128" s="179"/>
      <c r="E128" s="179"/>
      <c r="F128" s="179"/>
      <c r="G128" s="179"/>
      <c r="H128" s="179"/>
      <c r="I128" s="31">
        <v>0</v>
      </c>
    </row>
    <row r="129" spans="1:9" ht="14.65" customHeight="1" x14ac:dyDescent="0.2">
      <c r="A129" s="182" t="s">
        <v>56</v>
      </c>
      <c r="B129" s="182"/>
      <c r="C129" s="182"/>
      <c r="D129" s="182"/>
      <c r="E129" s="182"/>
      <c r="F129" s="182"/>
      <c r="G129" s="182"/>
      <c r="H129" s="182"/>
      <c r="I129" s="69">
        <v>0</v>
      </c>
    </row>
    <row r="130" spans="1:9" ht="14.65" customHeight="1" x14ac:dyDescent="0.2">
      <c r="A130" s="183"/>
      <c r="B130" s="183"/>
      <c r="C130" s="183"/>
      <c r="D130" s="183"/>
      <c r="E130" s="183"/>
      <c r="F130" s="183"/>
      <c r="G130" s="183"/>
      <c r="H130" s="183"/>
      <c r="I130" s="183"/>
    </row>
    <row r="131" spans="1:9" ht="17.100000000000001" customHeight="1" x14ac:dyDescent="0.2">
      <c r="A131" s="177" t="s">
        <v>137</v>
      </c>
      <c r="B131" s="177"/>
      <c r="C131" s="177"/>
      <c r="D131" s="177"/>
      <c r="E131" s="177"/>
      <c r="F131" s="177"/>
      <c r="G131" s="177"/>
      <c r="H131" s="177"/>
      <c r="I131" s="177"/>
    </row>
    <row r="132" spans="1:9" ht="15.75" customHeight="1" x14ac:dyDescent="0.2">
      <c r="A132" s="8">
        <v>4</v>
      </c>
      <c r="B132" s="176" t="s">
        <v>138</v>
      </c>
      <c r="C132" s="176"/>
      <c r="D132" s="176"/>
      <c r="E132" s="176"/>
      <c r="F132" s="176"/>
      <c r="G132" s="176"/>
      <c r="H132" s="176"/>
      <c r="I132" s="67" t="s">
        <v>62</v>
      </c>
    </row>
    <row r="133" spans="1:9" s="21" customFormat="1" ht="14.65" customHeight="1" x14ac:dyDescent="0.2">
      <c r="A133" s="19" t="s">
        <v>125</v>
      </c>
      <c r="B133" s="179" t="s">
        <v>126</v>
      </c>
      <c r="C133" s="179"/>
      <c r="D133" s="179"/>
      <c r="E133" s="179"/>
      <c r="F133" s="179"/>
      <c r="G133" s="179"/>
      <c r="H133" s="179"/>
      <c r="I133" s="31">
        <f>I124</f>
        <v>231.80999999999997</v>
      </c>
    </row>
    <row r="134" spans="1:9" s="21" customFormat="1" ht="14.65" customHeight="1" x14ac:dyDescent="0.2">
      <c r="A134" s="19" t="s">
        <v>139</v>
      </c>
      <c r="B134" s="179" t="s">
        <v>135</v>
      </c>
      <c r="C134" s="179"/>
      <c r="D134" s="179"/>
      <c r="E134" s="179"/>
      <c r="F134" s="179"/>
      <c r="G134" s="179"/>
      <c r="H134" s="179"/>
      <c r="I134" s="31">
        <f>I129</f>
        <v>0</v>
      </c>
    </row>
    <row r="135" spans="1:9" ht="14.65" customHeight="1" x14ac:dyDescent="0.2">
      <c r="A135" s="146" t="s">
        <v>56</v>
      </c>
      <c r="B135" s="146"/>
      <c r="C135" s="146"/>
      <c r="D135" s="146"/>
      <c r="E135" s="146"/>
      <c r="F135" s="146"/>
      <c r="G135" s="146"/>
      <c r="H135" s="146"/>
      <c r="I135" s="36">
        <f>SUM(I133+I134)</f>
        <v>231.80999999999997</v>
      </c>
    </row>
    <row r="136" spans="1:9" ht="14.65" customHeight="1" x14ac:dyDescent="0.2">
      <c r="A136" s="159"/>
      <c r="B136" s="159"/>
      <c r="C136" s="159"/>
      <c r="D136" s="159"/>
      <c r="E136" s="159"/>
      <c r="F136" s="159"/>
      <c r="G136" s="159"/>
      <c r="H136" s="159"/>
      <c r="I136" s="159"/>
    </row>
    <row r="137" spans="1:9" ht="17.100000000000001" customHeight="1" x14ac:dyDescent="0.2">
      <c r="A137" s="177" t="s">
        <v>140</v>
      </c>
      <c r="B137" s="177"/>
      <c r="C137" s="177"/>
      <c r="D137" s="177"/>
      <c r="E137" s="177"/>
      <c r="F137" s="177"/>
      <c r="G137" s="177"/>
      <c r="H137" s="177"/>
      <c r="I137" s="177"/>
    </row>
    <row r="138" spans="1:9" ht="15.75" customHeight="1" x14ac:dyDescent="0.2">
      <c r="A138" s="55">
        <v>5</v>
      </c>
      <c r="B138" s="178" t="s">
        <v>141</v>
      </c>
      <c r="C138" s="178"/>
      <c r="D138" s="178"/>
      <c r="E138" s="178"/>
      <c r="F138" s="178"/>
      <c r="G138" s="178"/>
      <c r="H138" s="178"/>
      <c r="I138" s="55" t="s">
        <v>62</v>
      </c>
    </row>
    <row r="139" spans="1:9" s="21" customFormat="1" ht="14.65" customHeight="1" x14ac:dyDescent="0.2">
      <c r="A139" s="25" t="s">
        <v>10</v>
      </c>
      <c r="B139" s="171" t="s">
        <v>142</v>
      </c>
      <c r="C139" s="171"/>
      <c r="D139" s="171"/>
      <c r="E139" s="171"/>
      <c r="F139" s="171"/>
      <c r="G139" s="171"/>
      <c r="H139" s="171"/>
      <c r="I139" s="31">
        <f>INSUMOS!I44</f>
        <v>109.44999999999999</v>
      </c>
    </row>
    <row r="140" spans="1:9" s="21" customFormat="1" ht="14.65" customHeight="1" x14ac:dyDescent="0.2">
      <c r="A140" s="25" t="s">
        <v>12</v>
      </c>
      <c r="B140" s="171" t="s">
        <v>143</v>
      </c>
      <c r="C140" s="171"/>
      <c r="D140" s="171"/>
      <c r="E140" s="171"/>
      <c r="F140" s="171"/>
      <c r="G140" s="171"/>
      <c r="H140" s="171"/>
      <c r="I140" s="31">
        <f>INSUMOS!I45</f>
        <v>0.62</v>
      </c>
    </row>
    <row r="141" spans="1:9" s="21" customFormat="1" ht="14.65" customHeight="1" x14ac:dyDescent="0.2">
      <c r="A141" s="25" t="s">
        <v>15</v>
      </c>
      <c r="B141" s="179" t="s">
        <v>144</v>
      </c>
      <c r="C141" s="179"/>
      <c r="D141" s="179"/>
      <c r="E141" s="179"/>
      <c r="F141" s="179"/>
      <c r="G141" s="179"/>
      <c r="H141" s="179"/>
      <c r="I141" s="31">
        <f>INSUMOS!I46</f>
        <v>5.22</v>
      </c>
    </row>
    <row r="142" spans="1:9" ht="14.65" customHeight="1" x14ac:dyDescent="0.2">
      <c r="A142" s="145" t="s">
        <v>102</v>
      </c>
      <c r="B142" s="145"/>
      <c r="C142" s="145"/>
      <c r="D142" s="145"/>
      <c r="E142" s="145"/>
      <c r="F142" s="145"/>
      <c r="G142" s="145"/>
      <c r="H142" s="145"/>
      <c r="I142" s="54">
        <f>SUM(I139:I141)</f>
        <v>115.28999999999999</v>
      </c>
    </row>
    <row r="143" spans="1:9" ht="16.350000000000001" customHeight="1" x14ac:dyDescent="0.2">
      <c r="A143" s="180"/>
      <c r="B143" s="180"/>
      <c r="C143" s="180"/>
      <c r="D143" s="180"/>
      <c r="E143" s="180"/>
      <c r="F143" s="180"/>
      <c r="G143" s="180"/>
      <c r="H143" s="180"/>
      <c r="I143" s="180"/>
    </row>
    <row r="144" spans="1:9" ht="14.65" customHeight="1" x14ac:dyDescent="0.2">
      <c r="A144" s="175" t="s">
        <v>145</v>
      </c>
      <c r="B144" s="175"/>
      <c r="C144" s="175"/>
      <c r="D144" s="175"/>
      <c r="E144" s="175"/>
      <c r="F144" s="175"/>
      <c r="G144" s="175"/>
      <c r="H144" s="175"/>
      <c r="I144" s="175"/>
    </row>
    <row r="145" spans="1:9" ht="18" x14ac:dyDescent="0.2">
      <c r="A145" s="70"/>
      <c r="B145" s="71"/>
      <c r="C145" s="71"/>
      <c r="D145" s="71"/>
      <c r="E145" s="71"/>
      <c r="F145" s="71"/>
      <c r="G145" s="71"/>
      <c r="H145" s="71"/>
      <c r="I145" s="72"/>
    </row>
    <row r="146" spans="1:9" ht="17.100000000000001" customHeight="1" x14ac:dyDescent="0.2">
      <c r="A146" s="170" t="s">
        <v>146</v>
      </c>
      <c r="B146" s="170"/>
      <c r="C146" s="170"/>
      <c r="D146" s="170"/>
      <c r="E146" s="170"/>
      <c r="F146" s="170"/>
      <c r="G146" s="170"/>
      <c r="H146" s="170"/>
      <c r="I146" s="170"/>
    </row>
    <row r="147" spans="1:9" ht="28.35" customHeight="1" x14ac:dyDescent="0.2">
      <c r="A147" s="55">
        <v>6</v>
      </c>
      <c r="B147" s="176" t="s">
        <v>147</v>
      </c>
      <c r="C147" s="176"/>
      <c r="D147" s="176"/>
      <c r="E147" s="176"/>
      <c r="F147" s="176"/>
      <c r="G147" s="176"/>
      <c r="H147" s="8" t="s">
        <v>70</v>
      </c>
      <c r="I147" s="73" t="s">
        <v>148</v>
      </c>
    </row>
    <row r="148" spans="1:9" s="74" customFormat="1" ht="55.15" customHeight="1" x14ac:dyDescent="0.2">
      <c r="A148" s="172" t="s">
        <v>149</v>
      </c>
      <c r="B148" s="172"/>
      <c r="C148" s="172"/>
      <c r="D148" s="172"/>
      <c r="E148" s="172"/>
      <c r="F148" s="172"/>
      <c r="G148" s="172"/>
      <c r="H148" s="25" t="s">
        <v>150</v>
      </c>
      <c r="I148" s="31">
        <f>SUM(I41+I97+I107+I135+I142)</f>
        <v>3065.0000000000005</v>
      </c>
    </row>
    <row r="149" spans="1:9" ht="17.100000000000001" customHeight="1" x14ac:dyDescent="0.2">
      <c r="A149" s="75" t="s">
        <v>10</v>
      </c>
      <c r="B149" s="170" t="s">
        <v>151</v>
      </c>
      <c r="C149" s="170"/>
      <c r="D149" s="170"/>
      <c r="E149" s="170"/>
      <c r="F149" s="170"/>
      <c r="G149" s="170"/>
      <c r="H149" s="76">
        <v>0.03</v>
      </c>
      <c r="I149" s="69">
        <f>ROUND(H149*I148,2)</f>
        <v>91.95</v>
      </c>
    </row>
    <row r="150" spans="1:9" s="74" customFormat="1" ht="50.25" customHeight="1" x14ac:dyDescent="0.2">
      <c r="A150" s="172" t="s">
        <v>152</v>
      </c>
      <c r="B150" s="172"/>
      <c r="C150" s="172"/>
      <c r="D150" s="172"/>
      <c r="E150" s="172"/>
      <c r="F150" s="172"/>
      <c r="G150" s="172"/>
      <c r="H150" s="30" t="s">
        <v>150</v>
      </c>
      <c r="I150" s="31">
        <f>SUM(I41+I97+I107+I135+I142+I149)</f>
        <v>3156.9500000000003</v>
      </c>
    </row>
    <row r="151" spans="1:9" ht="17.100000000000001" customHeight="1" x14ac:dyDescent="0.2">
      <c r="A151" s="75" t="s">
        <v>12</v>
      </c>
      <c r="B151" s="170" t="s">
        <v>153</v>
      </c>
      <c r="C151" s="170"/>
      <c r="D151" s="170"/>
      <c r="E151" s="170"/>
      <c r="F151" s="170"/>
      <c r="G151" s="170"/>
      <c r="H151" s="76">
        <v>0.04</v>
      </c>
      <c r="I151" s="69">
        <f>ROUND(H151*I150,2)</f>
        <v>126.28</v>
      </c>
    </row>
    <row r="152" spans="1:9" s="74" customFormat="1" ht="53.25" customHeight="1" x14ac:dyDescent="0.2">
      <c r="A152" s="172" t="s">
        <v>154</v>
      </c>
      <c r="B152" s="172"/>
      <c r="C152" s="172"/>
      <c r="D152" s="172"/>
      <c r="E152" s="172"/>
      <c r="F152" s="172"/>
      <c r="G152" s="172"/>
      <c r="H152" s="30" t="s">
        <v>150</v>
      </c>
      <c r="I152" s="31">
        <f>SUM(I41+I97+I107+I135+I142+I149+I151)</f>
        <v>3283.2300000000005</v>
      </c>
    </row>
    <row r="153" spans="1:9" ht="17.100000000000001" customHeight="1" x14ac:dyDescent="0.2">
      <c r="A153" s="75" t="s">
        <v>15</v>
      </c>
      <c r="B153" s="170" t="s">
        <v>155</v>
      </c>
      <c r="C153" s="170"/>
      <c r="D153" s="170"/>
      <c r="E153" s="170"/>
      <c r="F153" s="170"/>
      <c r="G153" s="170"/>
      <c r="H153" s="77" t="s">
        <v>150</v>
      </c>
      <c r="I153" s="69" t="s">
        <v>150</v>
      </c>
    </row>
    <row r="154" spans="1:9" ht="17.100000000000001" customHeight="1" x14ac:dyDescent="0.2">
      <c r="A154" s="68"/>
      <c r="B154" s="170" t="s">
        <v>156</v>
      </c>
      <c r="C154" s="170"/>
      <c r="D154" s="170"/>
      <c r="E154" s="170"/>
      <c r="F154" s="170"/>
      <c r="G154" s="170"/>
      <c r="H154" s="77" t="s">
        <v>150</v>
      </c>
      <c r="I154" s="69" t="s">
        <v>150</v>
      </c>
    </row>
    <row r="155" spans="1:9" s="21" customFormat="1" ht="17.100000000000001" customHeight="1" x14ac:dyDescent="0.2">
      <c r="A155" s="25"/>
      <c r="B155" s="171" t="s">
        <v>157</v>
      </c>
      <c r="C155" s="171"/>
      <c r="D155" s="171"/>
      <c r="E155" s="171"/>
      <c r="F155" s="171"/>
      <c r="G155" s="171"/>
      <c r="H155" s="78">
        <v>7.5999999999999998E-2</v>
      </c>
      <c r="I155" s="31">
        <f>ROUND(($I$152/(1-$H$164))*H155,2)</f>
        <v>287.64</v>
      </c>
    </row>
    <row r="156" spans="1:9" s="21" customFormat="1" ht="18.600000000000001" customHeight="1" x14ac:dyDescent="0.2">
      <c r="A156" s="25"/>
      <c r="B156" s="171" t="s">
        <v>158</v>
      </c>
      <c r="C156" s="171"/>
      <c r="D156" s="171"/>
      <c r="E156" s="171"/>
      <c r="F156" s="171"/>
      <c r="G156" s="171"/>
      <c r="H156" s="78">
        <v>1.6500000000000001E-2</v>
      </c>
      <c r="I156" s="31">
        <f>ROUND(($I$152/(1-$H$164))*H156,2)</f>
        <v>62.45</v>
      </c>
    </row>
    <row r="157" spans="1:9" s="21" customFormat="1" ht="26.1" customHeight="1" x14ac:dyDescent="0.2">
      <c r="A157" s="25"/>
      <c r="B157" s="172" t="s">
        <v>159</v>
      </c>
      <c r="C157" s="172"/>
      <c r="D157" s="172"/>
      <c r="E157" s="172"/>
      <c r="F157" s="172"/>
      <c r="G157" s="172"/>
      <c r="H157" s="79" t="s">
        <v>150</v>
      </c>
      <c r="I157" s="31" t="s">
        <v>150</v>
      </c>
    </row>
    <row r="158" spans="1:9" s="21" customFormat="1" ht="26.1" customHeight="1" x14ac:dyDescent="0.2">
      <c r="A158" s="25"/>
      <c r="B158" s="172" t="s">
        <v>160</v>
      </c>
      <c r="C158" s="172"/>
      <c r="D158" s="172"/>
      <c r="E158" s="172"/>
      <c r="F158" s="172"/>
      <c r="G158" s="172"/>
      <c r="H158" s="79" t="s">
        <v>150</v>
      </c>
      <c r="I158" s="31" t="s">
        <v>150</v>
      </c>
    </row>
    <row r="159" spans="1:9" s="81" customFormat="1" ht="14.65" customHeight="1" x14ac:dyDescent="0.2">
      <c r="A159" s="68"/>
      <c r="B159" s="173" t="s">
        <v>161</v>
      </c>
      <c r="C159" s="173"/>
      <c r="D159" s="173"/>
      <c r="E159" s="173"/>
      <c r="F159" s="173"/>
      <c r="G159" s="173"/>
      <c r="H159" s="80" t="s">
        <v>150</v>
      </c>
      <c r="I159" s="69" t="s">
        <v>150</v>
      </c>
    </row>
    <row r="160" spans="1:9" s="21" customFormat="1" ht="17.100000000000001" customHeight="1" x14ac:dyDescent="0.2">
      <c r="A160" s="68"/>
      <c r="B160" s="174" t="s">
        <v>162</v>
      </c>
      <c r="C160" s="174"/>
      <c r="D160" s="174"/>
      <c r="E160" s="174"/>
      <c r="F160" s="174"/>
      <c r="G160" s="174"/>
      <c r="H160" s="80" t="s">
        <v>150</v>
      </c>
      <c r="I160" s="69" t="s">
        <v>150</v>
      </c>
    </row>
    <row r="161" spans="1:9" s="21" customFormat="1" ht="12.75" customHeight="1" x14ac:dyDescent="0.2">
      <c r="A161" s="25"/>
      <c r="B161" s="171" t="s">
        <v>163</v>
      </c>
      <c r="C161" s="171"/>
      <c r="D161" s="171"/>
      <c r="E161" s="171"/>
      <c r="F161" s="171"/>
      <c r="G161" s="171"/>
      <c r="H161" s="80">
        <v>0.04</v>
      </c>
      <c r="I161" s="31">
        <f>ROUND(($I$152/(1-$H$164))*H161,2)</f>
        <v>151.38999999999999</v>
      </c>
    </row>
    <row r="162" spans="1:9" s="21" customFormat="1" ht="14.65" customHeight="1" x14ac:dyDescent="0.2">
      <c r="A162" s="145" t="s">
        <v>56</v>
      </c>
      <c r="B162" s="145"/>
      <c r="C162" s="145"/>
      <c r="D162" s="145"/>
      <c r="E162" s="145"/>
      <c r="F162" s="145"/>
      <c r="G162" s="145"/>
      <c r="H162" s="145"/>
      <c r="I162" s="36">
        <f>SUM(I149+I151+I155+I156+I161)</f>
        <v>719.71</v>
      </c>
    </row>
    <row r="163" spans="1:9" ht="14.65" customHeight="1" x14ac:dyDescent="0.2">
      <c r="A163" s="159"/>
      <c r="B163" s="159"/>
      <c r="C163" s="159"/>
      <c r="D163" s="159"/>
      <c r="E163" s="159"/>
      <c r="F163" s="159"/>
      <c r="G163" s="159"/>
      <c r="H163" s="159"/>
      <c r="I163" s="159"/>
    </row>
    <row r="164" spans="1:9" ht="14.65" customHeight="1" x14ac:dyDescent="0.2">
      <c r="A164" s="163" t="s">
        <v>164</v>
      </c>
      <c r="B164" s="163"/>
      <c r="C164" s="163"/>
      <c r="D164" s="163"/>
      <c r="E164" s="163"/>
      <c r="F164" s="163"/>
      <c r="G164" s="163"/>
      <c r="H164" s="82">
        <f>SUM(H155:H161)</f>
        <v>0.13250000000000001</v>
      </c>
      <c r="I164" s="83">
        <f>SUM(I155:I161)</f>
        <v>501.47999999999996</v>
      </c>
    </row>
    <row r="165" spans="1:9" ht="14.65" customHeight="1" x14ac:dyDescent="0.2">
      <c r="A165" s="164" t="s">
        <v>165</v>
      </c>
      <c r="B165" s="164"/>
      <c r="C165" s="165" t="s">
        <v>166</v>
      </c>
      <c r="D165" s="165"/>
      <c r="E165" s="165"/>
      <c r="F165" s="165"/>
      <c r="G165" s="165"/>
      <c r="H165" s="165"/>
      <c r="I165" s="165"/>
    </row>
    <row r="166" spans="1:9" ht="14.65" customHeight="1" x14ac:dyDescent="0.2">
      <c r="A166" s="164"/>
      <c r="B166" s="164"/>
      <c r="C166" s="166" t="s">
        <v>167</v>
      </c>
      <c r="D166" s="166"/>
      <c r="E166" s="166"/>
      <c r="F166" s="166"/>
      <c r="G166" s="166"/>
      <c r="H166" s="166"/>
      <c r="I166" s="166"/>
    </row>
    <row r="167" spans="1:9" ht="14.65" customHeight="1" x14ac:dyDescent="0.2">
      <c r="A167" s="164"/>
      <c r="B167" s="164"/>
      <c r="C167" s="167" t="s">
        <v>168</v>
      </c>
      <c r="D167" s="167"/>
      <c r="E167" s="167"/>
      <c r="F167" s="167"/>
      <c r="G167" s="167"/>
      <c r="H167" s="167"/>
      <c r="I167" s="167"/>
    </row>
    <row r="168" spans="1:9" ht="14.65" customHeight="1" x14ac:dyDescent="0.2">
      <c r="A168" s="168"/>
      <c r="B168" s="168"/>
      <c r="C168" s="168"/>
      <c r="D168" s="168"/>
      <c r="E168" s="168"/>
      <c r="F168" s="168"/>
      <c r="G168" s="168"/>
      <c r="H168" s="168"/>
      <c r="I168" s="168"/>
    </row>
    <row r="169" spans="1:9" ht="14.65" customHeight="1" x14ac:dyDescent="0.2">
      <c r="A169" s="240" t="s">
        <v>169</v>
      </c>
      <c r="B169" s="240"/>
      <c r="C169" s="240"/>
      <c r="D169" s="240"/>
      <c r="E169" s="240"/>
      <c r="F169" s="240"/>
      <c r="G169" s="240"/>
      <c r="H169" s="240"/>
      <c r="I169" s="240"/>
    </row>
    <row r="170" spans="1:9" ht="16.350000000000001" customHeight="1" x14ac:dyDescent="0.2">
      <c r="A170" s="240" t="s">
        <v>170</v>
      </c>
      <c r="B170" s="240"/>
      <c r="C170" s="240"/>
      <c r="D170" s="240"/>
      <c r="E170" s="240"/>
      <c r="F170" s="240"/>
      <c r="G170" s="240"/>
      <c r="H170" s="240"/>
      <c r="I170" s="240"/>
    </row>
    <row r="171" spans="1:9" ht="14.65" customHeight="1" x14ac:dyDescent="0.2">
      <c r="A171" s="159"/>
      <c r="B171" s="159"/>
      <c r="C171" s="159"/>
      <c r="D171" s="159"/>
      <c r="E171" s="159"/>
      <c r="F171" s="159"/>
      <c r="G171" s="159"/>
      <c r="H171" s="159"/>
      <c r="I171" s="159"/>
    </row>
    <row r="172" spans="1:9" s="84" customFormat="1" ht="18.600000000000001" customHeight="1" x14ac:dyDescent="0.25">
      <c r="A172" s="241" t="s">
        <v>171</v>
      </c>
      <c r="B172" s="241"/>
      <c r="C172" s="241"/>
      <c r="D172" s="241"/>
      <c r="E172" s="241"/>
      <c r="F172" s="241"/>
      <c r="G172" s="241"/>
      <c r="H172" s="241"/>
      <c r="I172" s="241"/>
    </row>
    <row r="173" spans="1:9" ht="15.75" customHeight="1" x14ac:dyDescent="0.2">
      <c r="A173" s="161" t="s">
        <v>172</v>
      </c>
      <c r="B173" s="161"/>
      <c r="C173" s="161"/>
      <c r="D173" s="161"/>
      <c r="E173" s="161"/>
      <c r="F173" s="161"/>
      <c r="G173" s="161"/>
      <c r="H173" s="161"/>
      <c r="I173" s="52" t="s">
        <v>62</v>
      </c>
    </row>
    <row r="174" spans="1:9" s="21" customFormat="1" ht="14.65" customHeight="1" x14ac:dyDescent="0.2">
      <c r="A174" s="85" t="s">
        <v>10</v>
      </c>
      <c r="B174" s="150" t="s">
        <v>173</v>
      </c>
      <c r="C174" s="150"/>
      <c r="D174" s="150"/>
      <c r="E174" s="150"/>
      <c r="F174" s="150"/>
      <c r="G174" s="150"/>
      <c r="H174" s="150"/>
      <c r="I174" s="87">
        <f>I41</f>
        <v>1456.5800000000002</v>
      </c>
    </row>
    <row r="175" spans="1:9" s="21" customFormat="1" ht="14.65" customHeight="1" x14ac:dyDescent="0.2">
      <c r="A175" s="85" t="s">
        <v>12</v>
      </c>
      <c r="B175" s="150" t="s">
        <v>58</v>
      </c>
      <c r="C175" s="150"/>
      <c r="D175" s="150"/>
      <c r="E175" s="150"/>
      <c r="F175" s="150"/>
      <c r="G175" s="150"/>
      <c r="H175" s="150"/>
      <c r="I175" s="86">
        <f>I97</f>
        <v>1157.94</v>
      </c>
    </row>
    <row r="176" spans="1:9" s="21" customFormat="1" ht="14.65" customHeight="1" x14ac:dyDescent="0.2">
      <c r="A176" s="85" t="s">
        <v>15</v>
      </c>
      <c r="B176" s="150" t="s">
        <v>174</v>
      </c>
      <c r="C176" s="150"/>
      <c r="D176" s="150"/>
      <c r="E176" s="150"/>
      <c r="F176" s="150"/>
      <c r="G176" s="150"/>
      <c r="H176" s="150"/>
      <c r="I176" s="86">
        <f>I107</f>
        <v>103.38</v>
      </c>
    </row>
    <row r="177" spans="1:9" s="21" customFormat="1" ht="14.65" customHeight="1" x14ac:dyDescent="0.2">
      <c r="A177" s="85" t="s">
        <v>18</v>
      </c>
      <c r="B177" s="150" t="s">
        <v>175</v>
      </c>
      <c r="C177" s="150"/>
      <c r="D177" s="150"/>
      <c r="E177" s="150"/>
      <c r="F177" s="150"/>
      <c r="G177" s="150"/>
      <c r="H177" s="150"/>
      <c r="I177" s="86">
        <f>I135</f>
        <v>231.80999999999997</v>
      </c>
    </row>
    <row r="178" spans="1:9" s="21" customFormat="1" ht="14.65" customHeight="1" x14ac:dyDescent="0.2">
      <c r="A178" s="85" t="s">
        <v>35</v>
      </c>
      <c r="B178" s="150" t="s">
        <v>176</v>
      </c>
      <c r="C178" s="150"/>
      <c r="D178" s="150"/>
      <c r="E178" s="150"/>
      <c r="F178" s="150"/>
      <c r="G178" s="150"/>
      <c r="H178" s="150"/>
      <c r="I178" s="86">
        <f>I142</f>
        <v>115.28999999999999</v>
      </c>
    </row>
    <row r="179" spans="1:9" ht="14.65" customHeight="1" x14ac:dyDescent="0.2">
      <c r="A179" s="162" t="s">
        <v>177</v>
      </c>
      <c r="B179" s="162"/>
      <c r="C179" s="162"/>
      <c r="D179" s="162"/>
      <c r="E179" s="162"/>
      <c r="F179" s="162"/>
      <c r="G179" s="162"/>
      <c r="H179" s="162"/>
      <c r="I179" s="88">
        <f>SUM(I174:I178)</f>
        <v>3065.0000000000005</v>
      </c>
    </row>
    <row r="180" spans="1:9" s="21" customFormat="1" ht="14.65" customHeight="1" x14ac:dyDescent="0.2">
      <c r="A180" s="89" t="s">
        <v>79</v>
      </c>
      <c r="B180" s="150" t="s">
        <v>178</v>
      </c>
      <c r="C180" s="150"/>
      <c r="D180" s="150"/>
      <c r="E180" s="150"/>
      <c r="F180" s="150"/>
      <c r="G180" s="150"/>
      <c r="H180" s="150"/>
      <c r="I180" s="86">
        <f>I162</f>
        <v>719.71</v>
      </c>
    </row>
    <row r="181" spans="1:9" ht="14.65" customHeight="1" x14ac:dyDescent="0.2">
      <c r="A181" s="151" t="s">
        <v>179</v>
      </c>
      <c r="B181" s="151"/>
      <c r="C181" s="151"/>
      <c r="D181" s="151"/>
      <c r="E181" s="151"/>
      <c r="F181" s="151"/>
      <c r="G181" s="151"/>
      <c r="H181" s="151"/>
      <c r="I181" s="88">
        <f>SUM(I179:I180)</f>
        <v>3784.7100000000005</v>
      </c>
    </row>
    <row r="182" spans="1:9" ht="14.65" customHeight="1" x14ac:dyDescent="0.2">
      <c r="A182" s="152" t="s">
        <v>180</v>
      </c>
      <c r="B182" s="152"/>
      <c r="C182" s="152"/>
      <c r="D182" s="152"/>
      <c r="E182" s="152"/>
      <c r="F182" s="152"/>
      <c r="G182" s="152"/>
      <c r="H182" s="152"/>
      <c r="I182" s="90">
        <f>H30</f>
        <v>3</v>
      </c>
    </row>
    <row r="183" spans="1:9" s="92" customFormat="1" ht="19.350000000000001" customHeight="1" x14ac:dyDescent="0.2">
      <c r="A183" s="153" t="s">
        <v>181</v>
      </c>
      <c r="B183" s="153"/>
      <c r="C183" s="153"/>
      <c r="D183" s="153"/>
      <c r="E183" s="153"/>
      <c r="F183" s="153"/>
      <c r="G183" s="153"/>
      <c r="H183" s="153"/>
      <c r="I183" s="91">
        <f>I181*I182</f>
        <v>11354.130000000001</v>
      </c>
    </row>
    <row r="184" spans="1:9" s="92" customFormat="1" ht="19.350000000000001" customHeight="1" x14ac:dyDescent="0.2">
      <c r="A184" s="154" t="s">
        <v>182</v>
      </c>
      <c r="B184" s="154"/>
      <c r="C184" s="154"/>
      <c r="D184" s="154"/>
      <c r="E184" s="154"/>
      <c r="F184" s="154"/>
      <c r="G184" s="155">
        <f>H20</f>
        <v>12</v>
      </c>
      <c r="H184" s="155"/>
      <c r="I184" s="155"/>
    </row>
    <row r="185" spans="1:9" ht="19.350000000000001" customHeight="1" x14ac:dyDescent="0.2">
      <c r="A185" s="156"/>
      <c r="B185" s="156"/>
      <c r="C185" s="156"/>
      <c r="D185" s="156"/>
      <c r="E185" s="156"/>
      <c r="F185" s="156"/>
      <c r="G185" s="156"/>
      <c r="H185" s="156"/>
      <c r="I185" s="156"/>
    </row>
    <row r="186" spans="1:9" ht="29.85" customHeight="1" x14ac:dyDescent="0.2">
      <c r="A186" s="157" t="s">
        <v>183</v>
      </c>
      <c r="B186" s="157"/>
      <c r="C186" s="157"/>
      <c r="D186" s="157"/>
      <c r="E186" s="157"/>
      <c r="F186" s="157"/>
      <c r="G186" s="158">
        <f>I183*G184</f>
        <v>136249.56</v>
      </c>
      <c r="H186" s="158"/>
      <c r="I186" s="158"/>
    </row>
    <row r="187" spans="1:9" ht="14.65" customHeight="1" x14ac:dyDescent="0.2">
      <c r="A187" s="143"/>
      <c r="B187" s="143"/>
      <c r="C187" s="143"/>
      <c r="D187" s="143"/>
      <c r="E187" s="143"/>
      <c r="F187" s="143"/>
      <c r="G187" s="143"/>
      <c r="H187" s="143"/>
      <c r="I187" s="143"/>
    </row>
    <row r="188" spans="1:9" ht="25.35" customHeight="1" x14ac:dyDescent="0.2">
      <c r="A188" s="144" t="s">
        <v>184</v>
      </c>
      <c r="B188" s="144"/>
      <c r="C188" s="144"/>
      <c r="D188" s="144"/>
      <c r="E188" s="144"/>
      <c r="F188" s="144"/>
      <c r="G188" s="144"/>
      <c r="H188" s="144"/>
      <c r="I188" s="144"/>
    </row>
    <row r="189" spans="1:9" ht="14.65" customHeight="1" x14ac:dyDescent="0.2">
      <c r="A189" s="145" t="s">
        <v>185</v>
      </c>
      <c r="B189" s="145"/>
      <c r="C189" s="145"/>
      <c r="D189" s="145"/>
      <c r="E189" s="145"/>
      <c r="F189" s="145"/>
      <c r="G189" s="145"/>
      <c r="H189" s="146" t="s">
        <v>186</v>
      </c>
      <c r="I189" s="146"/>
    </row>
    <row r="190" spans="1:9" x14ac:dyDescent="0.2">
      <c r="A190" s="145"/>
      <c r="B190" s="145"/>
      <c r="C190" s="145"/>
      <c r="D190" s="145"/>
      <c r="E190" s="145"/>
      <c r="F190" s="145"/>
      <c r="G190" s="145"/>
      <c r="H190" s="146"/>
      <c r="I190" s="146"/>
    </row>
    <row r="191" spans="1:9" ht="14.65" customHeight="1" x14ac:dyDescent="0.2">
      <c r="A191" s="147" t="s">
        <v>241</v>
      </c>
      <c r="B191" s="147"/>
      <c r="C191" s="147"/>
      <c r="D191" s="147"/>
      <c r="E191" s="147"/>
      <c r="F191" s="147"/>
      <c r="G191" s="147"/>
      <c r="H191" s="148">
        <f>I182</f>
        <v>3</v>
      </c>
      <c r="I191" s="148"/>
    </row>
    <row r="192" spans="1:9" x14ac:dyDescent="0.2">
      <c r="A192" s="149"/>
      <c r="B192" s="149"/>
      <c r="C192" s="149"/>
      <c r="D192" s="149"/>
      <c r="E192" s="149"/>
      <c r="F192" s="149"/>
      <c r="G192" s="149"/>
      <c r="H192" s="149"/>
      <c r="I192" s="149"/>
    </row>
    <row r="193" spans="1:9" ht="28.5" customHeight="1" x14ac:dyDescent="0.2">
      <c r="A193" s="144" t="s">
        <v>187</v>
      </c>
      <c r="B193" s="144"/>
      <c r="C193" s="144"/>
      <c r="D193" s="144"/>
      <c r="E193" s="144"/>
      <c r="F193" s="144"/>
      <c r="G193" s="144"/>
      <c r="H193" s="144"/>
      <c r="I193" s="144"/>
    </row>
    <row r="194" spans="1:9" ht="14.65" customHeight="1" x14ac:dyDescent="0.2">
      <c r="A194" s="146" t="s">
        <v>188</v>
      </c>
      <c r="B194" s="146"/>
      <c r="C194" s="146"/>
      <c r="D194" s="146"/>
      <c r="E194" s="146"/>
      <c r="F194" s="146"/>
      <c r="G194" s="146"/>
      <c r="H194" s="146" t="s">
        <v>189</v>
      </c>
      <c r="I194" s="146"/>
    </row>
    <row r="195" spans="1:9" ht="15.75" customHeight="1" x14ac:dyDescent="0.25">
      <c r="A195" s="139"/>
      <c r="B195" s="139"/>
      <c r="C195" s="139"/>
      <c r="D195" s="139"/>
      <c r="E195" s="139"/>
      <c r="F195" s="139"/>
      <c r="G195" s="139"/>
      <c r="H195" s="140"/>
      <c r="I195" s="140"/>
    </row>
    <row r="196" spans="1:9" ht="14.65" customHeight="1" x14ac:dyDescent="0.2">
      <c r="A196" s="141"/>
      <c r="B196" s="141"/>
      <c r="C196" s="141"/>
      <c r="D196" s="141"/>
      <c r="E196" s="141"/>
      <c r="F196" s="141"/>
      <c r="G196" s="141"/>
      <c r="H196" s="140"/>
      <c r="I196" s="140"/>
    </row>
    <row r="197" spans="1:9" ht="14.65" customHeight="1" x14ac:dyDescent="0.2">
      <c r="A197" s="142"/>
      <c r="B197" s="142"/>
      <c r="C197" s="142"/>
      <c r="D197" s="142"/>
      <c r="E197" s="142"/>
      <c r="F197" s="142"/>
      <c r="G197" s="142"/>
      <c r="H197" s="140"/>
      <c r="I197" s="140"/>
    </row>
  </sheetData>
  <mergeCells count="216">
    <mergeCell ref="A6:I6"/>
    <mergeCell ref="A7:I7"/>
    <mergeCell ref="A8:I8"/>
    <mergeCell ref="A9:I9"/>
    <mergeCell ref="A10:I11"/>
    <mergeCell ref="A12:E12"/>
    <mergeCell ref="F12:I12"/>
    <mergeCell ref="A13:E13"/>
    <mergeCell ref="F13:I13"/>
    <mergeCell ref="A14:E14"/>
    <mergeCell ref="F14:I14"/>
    <mergeCell ref="A15:I1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H20:I20"/>
    <mergeCell ref="A21:I21"/>
    <mergeCell ref="A22:I22"/>
    <mergeCell ref="A23:I23"/>
    <mergeCell ref="A24:I24"/>
    <mergeCell ref="B25:G25"/>
    <mergeCell ref="H25:I25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A31:I31"/>
    <mergeCell ref="A32:I32"/>
    <mergeCell ref="A33:I33"/>
    <mergeCell ref="A34:I34"/>
    <mergeCell ref="A35:I35"/>
    <mergeCell ref="B36:G36"/>
    <mergeCell ref="B37:H37"/>
    <mergeCell ref="B38:H38"/>
    <mergeCell ref="B39:H39"/>
    <mergeCell ref="B40:H40"/>
    <mergeCell ref="A41:G41"/>
    <mergeCell ref="A42:I42"/>
    <mergeCell ref="A43:I43"/>
    <mergeCell ref="A44:I44"/>
    <mergeCell ref="A45:I45"/>
    <mergeCell ref="A46:I46"/>
    <mergeCell ref="B47:H47"/>
    <mergeCell ref="B48:H48"/>
    <mergeCell ref="B49:H49"/>
    <mergeCell ref="A50:H50"/>
    <mergeCell ref="A51:I51"/>
    <mergeCell ref="A52:I52"/>
    <mergeCell ref="A53:I53"/>
    <mergeCell ref="A54:I54"/>
    <mergeCell ref="A55:I55"/>
    <mergeCell ref="B56:G56"/>
    <mergeCell ref="B57:G57"/>
    <mergeCell ref="B58:G58"/>
    <mergeCell ref="B59:C59"/>
    <mergeCell ref="B60:G60"/>
    <mergeCell ref="B61:G61"/>
    <mergeCell ref="B62:G62"/>
    <mergeCell ref="B63:G63"/>
    <mergeCell ref="B64:G64"/>
    <mergeCell ref="A65:G65"/>
    <mergeCell ref="A67:I67"/>
    <mergeCell ref="A68:I68"/>
    <mergeCell ref="A69:I69"/>
    <mergeCell ref="A70:I70"/>
    <mergeCell ref="A71:I71"/>
    <mergeCell ref="B72:H72"/>
    <mergeCell ref="A73:A77"/>
    <mergeCell ref="B73:H73"/>
    <mergeCell ref="I73:I77"/>
    <mergeCell ref="B74:G74"/>
    <mergeCell ref="B75:G75"/>
    <mergeCell ref="B76:G76"/>
    <mergeCell ref="B77:G77"/>
    <mergeCell ref="A78:A81"/>
    <mergeCell ref="B78:H78"/>
    <mergeCell ref="I78:I81"/>
    <mergeCell ref="B79:G79"/>
    <mergeCell ref="B80:G80"/>
    <mergeCell ref="B81:G81"/>
    <mergeCell ref="A82:A85"/>
    <mergeCell ref="B82:H82"/>
    <mergeCell ref="I82:I85"/>
    <mergeCell ref="B83:G83"/>
    <mergeCell ref="B84:G84"/>
    <mergeCell ref="B85:G85"/>
    <mergeCell ref="B86:H86"/>
    <mergeCell ref="B87:H87"/>
    <mergeCell ref="A88:I88"/>
    <mergeCell ref="A89:I89"/>
    <mergeCell ref="A90:I90"/>
    <mergeCell ref="A91:I91"/>
    <mergeCell ref="A92:I92"/>
    <mergeCell ref="B93:H93"/>
    <mergeCell ref="B94:H94"/>
    <mergeCell ref="B95:H95"/>
    <mergeCell ref="B96:H96"/>
    <mergeCell ref="A97:H97"/>
    <mergeCell ref="A98:I98"/>
    <mergeCell ref="A99:I99"/>
    <mergeCell ref="B100:H100"/>
    <mergeCell ref="B101:H101"/>
    <mergeCell ref="B102:H102"/>
    <mergeCell ref="B103:H103"/>
    <mergeCell ref="B104:H104"/>
    <mergeCell ref="B105:H105"/>
    <mergeCell ref="B106:H106"/>
    <mergeCell ref="A107:H107"/>
    <mergeCell ref="A108:I108"/>
    <mergeCell ref="A109:I109"/>
    <mergeCell ref="A110:I110"/>
    <mergeCell ref="A111:I111"/>
    <mergeCell ref="A112:I112"/>
    <mergeCell ref="A114:H114"/>
    <mergeCell ref="A115:I115"/>
    <mergeCell ref="A116:I116"/>
    <mergeCell ref="B117:H117"/>
    <mergeCell ref="B118:H118"/>
    <mergeCell ref="B119:H119"/>
    <mergeCell ref="B120:H120"/>
    <mergeCell ref="B121:H121"/>
    <mergeCell ref="B122:H122"/>
    <mergeCell ref="B123:H123"/>
    <mergeCell ref="A124:H124"/>
    <mergeCell ref="A125:I125"/>
    <mergeCell ref="A126:I126"/>
    <mergeCell ref="B127:H127"/>
    <mergeCell ref="B128:H128"/>
    <mergeCell ref="A129:H129"/>
    <mergeCell ref="A130:I130"/>
    <mergeCell ref="A131:I131"/>
    <mergeCell ref="B132:H132"/>
    <mergeCell ref="B133:H133"/>
    <mergeCell ref="B134:H134"/>
    <mergeCell ref="A135:H135"/>
    <mergeCell ref="A136:I136"/>
    <mergeCell ref="A137:I137"/>
    <mergeCell ref="B138:H138"/>
    <mergeCell ref="B139:H139"/>
    <mergeCell ref="B140:H140"/>
    <mergeCell ref="B141:H141"/>
    <mergeCell ref="A142:H142"/>
    <mergeCell ref="A143:I143"/>
    <mergeCell ref="A144:I144"/>
    <mergeCell ref="A146:I146"/>
    <mergeCell ref="B147:G147"/>
    <mergeCell ref="A148:G148"/>
    <mergeCell ref="B149:G149"/>
    <mergeCell ref="A150:G150"/>
    <mergeCell ref="B151:G151"/>
    <mergeCell ref="A152:G152"/>
    <mergeCell ref="B153:G153"/>
    <mergeCell ref="B154:G154"/>
    <mergeCell ref="B155:G155"/>
    <mergeCell ref="B156:G156"/>
    <mergeCell ref="B157:G157"/>
    <mergeCell ref="B158:G158"/>
    <mergeCell ref="B159:G159"/>
    <mergeCell ref="B160:G160"/>
    <mergeCell ref="B161:G161"/>
    <mergeCell ref="A162:H162"/>
    <mergeCell ref="A163:I163"/>
    <mergeCell ref="A164:G164"/>
    <mergeCell ref="A165:B167"/>
    <mergeCell ref="C165:I165"/>
    <mergeCell ref="C166:I166"/>
    <mergeCell ref="C167:I167"/>
    <mergeCell ref="A168:I168"/>
    <mergeCell ref="A169:I169"/>
    <mergeCell ref="A170:I170"/>
    <mergeCell ref="A171:I171"/>
    <mergeCell ref="A172:I172"/>
    <mergeCell ref="A173:H173"/>
    <mergeCell ref="B174:H174"/>
    <mergeCell ref="B175:H175"/>
    <mergeCell ref="B176:H176"/>
    <mergeCell ref="B177:H177"/>
    <mergeCell ref="B178:H178"/>
    <mergeCell ref="A179:H179"/>
    <mergeCell ref="B180:H180"/>
    <mergeCell ref="A181:H181"/>
    <mergeCell ref="A182:H182"/>
    <mergeCell ref="A183:H183"/>
    <mergeCell ref="A184:F184"/>
    <mergeCell ref="G184:I184"/>
    <mergeCell ref="A185:I185"/>
    <mergeCell ref="A186:F186"/>
    <mergeCell ref="G186:I186"/>
    <mergeCell ref="A187:I187"/>
    <mergeCell ref="A188:I188"/>
    <mergeCell ref="A189:G190"/>
    <mergeCell ref="H189:I190"/>
    <mergeCell ref="A191:G191"/>
    <mergeCell ref="H191:I191"/>
    <mergeCell ref="A192:I192"/>
    <mergeCell ref="A193:I193"/>
    <mergeCell ref="A194:G194"/>
    <mergeCell ref="H194:I194"/>
    <mergeCell ref="A195:G195"/>
    <mergeCell ref="H195:I195"/>
    <mergeCell ref="A196:G196"/>
    <mergeCell ref="H196:I196"/>
    <mergeCell ref="A197:G197"/>
    <mergeCell ref="H197:I197"/>
  </mergeCells>
  <conditionalFormatting sqref="C4">
    <cfRule type="expression" dxfId="5" priority="2">
      <formula>LEN(TRIM(C4))=0</formula>
    </cfRule>
    <cfRule type="expression" dxfId="4" priority="3">
      <formula>LEN(TRIM(C4))=0</formula>
    </cfRule>
  </conditionalFormatting>
  <pageMargins left="0.70866141732283472" right="0.70866141732283472" top="0.74803149606299213" bottom="0.74803149606299213" header="0.51181102362204722" footer="0"/>
  <pageSetup paperSize="9" scale="77" fitToHeight="0" orientation="portrait" r:id="rId1"/>
  <headerFooter>
    <oddFooter>&amp;CANEXO II - Planilha de Custos e Formação de Preços
Processo n.º 23370.000415/2021-11
Pregão Eletrônico 045/2021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51"/>
  <sheetViews>
    <sheetView topLeftCell="A19" zoomScale="110" zoomScaleNormal="110" workbookViewId="0">
      <selection activeCell="I33" sqref="I33"/>
    </sheetView>
  </sheetViews>
  <sheetFormatPr defaultColWidth="9.28515625" defaultRowHeight="12.75" x14ac:dyDescent="0.2"/>
  <cols>
    <col min="1" max="1" width="6" style="108" customWidth="1"/>
    <col min="2" max="2" width="19.5703125" style="108" customWidth="1"/>
    <col min="3" max="3" width="6.7109375" style="108" customWidth="1"/>
    <col min="4" max="4" width="6.28515625" style="108" customWidth="1"/>
    <col min="5" max="5" width="5.5703125" style="108" customWidth="1"/>
    <col min="6" max="6" width="11.42578125" style="108" customWidth="1"/>
    <col min="7" max="7" width="12.42578125" style="108" customWidth="1"/>
    <col min="8" max="8" width="17.140625" style="108" customWidth="1"/>
    <col min="9" max="9" width="15.42578125" style="108" customWidth="1"/>
    <col min="10" max="1020" width="9.28515625" style="108"/>
    <col min="1021" max="1024" width="11.5703125" customWidth="1"/>
  </cols>
  <sheetData>
    <row r="1" spans="1:9" x14ac:dyDescent="0.2">
      <c r="A1" s="1"/>
      <c r="B1" s="1"/>
      <c r="C1" s="93" t="s">
        <v>0</v>
      </c>
      <c r="D1" s="1"/>
      <c r="E1" s="1"/>
      <c r="F1" s="1"/>
      <c r="G1" s="1"/>
      <c r="H1" s="1"/>
      <c r="I1" s="13"/>
    </row>
    <row r="2" spans="1:9" x14ac:dyDescent="0.2">
      <c r="A2" s="1"/>
      <c r="B2" s="1"/>
      <c r="C2" s="93" t="s">
        <v>1</v>
      </c>
      <c r="D2" s="1"/>
      <c r="E2" s="1"/>
      <c r="F2" s="1"/>
      <c r="G2" s="1"/>
      <c r="H2" s="1"/>
      <c r="I2" s="13"/>
    </row>
    <row r="3" spans="1:9" x14ac:dyDescent="0.2">
      <c r="A3" s="1"/>
      <c r="B3" s="1"/>
      <c r="C3" s="93" t="s">
        <v>2</v>
      </c>
      <c r="D3" s="1"/>
      <c r="E3" s="1"/>
      <c r="F3" s="1"/>
      <c r="G3" s="1"/>
      <c r="H3" s="1"/>
      <c r="I3" s="13"/>
    </row>
    <row r="4" spans="1:9" x14ac:dyDescent="0.2">
      <c r="A4" s="1"/>
      <c r="B4" s="1"/>
      <c r="C4" s="94" t="s">
        <v>3</v>
      </c>
      <c r="D4" s="1"/>
      <c r="E4" s="1"/>
      <c r="F4" s="1"/>
      <c r="G4" s="1"/>
      <c r="H4" s="1"/>
      <c r="I4" s="13"/>
    </row>
    <row r="5" spans="1:9" x14ac:dyDescent="0.2">
      <c r="A5" s="1"/>
      <c r="B5" s="1"/>
      <c r="C5" s="5"/>
      <c r="D5" s="1"/>
      <c r="E5" s="1"/>
      <c r="F5" s="1"/>
      <c r="G5" s="1"/>
      <c r="H5" s="1"/>
      <c r="I5" s="13"/>
    </row>
    <row r="6" spans="1:9" ht="18" x14ac:dyDescent="0.2">
      <c r="A6" s="235" t="s">
        <v>247</v>
      </c>
      <c r="B6" s="235"/>
      <c r="C6" s="235"/>
      <c r="D6" s="235"/>
      <c r="E6" s="235"/>
      <c r="F6" s="235"/>
      <c r="G6" s="235"/>
      <c r="H6" s="235"/>
      <c r="I6" s="235"/>
    </row>
    <row r="7" spans="1:9" ht="16.5" x14ac:dyDescent="0.2">
      <c r="A7" s="236" t="s">
        <v>190</v>
      </c>
      <c r="B7" s="236"/>
      <c r="C7" s="236"/>
      <c r="D7" s="236"/>
      <c r="E7" s="236"/>
      <c r="F7" s="236"/>
      <c r="G7" s="236"/>
      <c r="H7" s="236"/>
      <c r="I7" s="236"/>
    </row>
    <row r="8" spans="1:9" ht="16.5" x14ac:dyDescent="0.2">
      <c r="A8" s="237" t="s">
        <v>33</v>
      </c>
      <c r="B8" s="237"/>
      <c r="C8" s="237"/>
      <c r="D8" s="237"/>
      <c r="E8" s="237"/>
      <c r="F8" s="237"/>
      <c r="G8" s="237"/>
      <c r="H8" s="237"/>
      <c r="I8" s="237"/>
    </row>
    <row r="9" spans="1:9" ht="23.25" customHeight="1" x14ac:dyDescent="0.2">
      <c r="A9" s="238" t="s">
        <v>206</v>
      </c>
      <c r="B9" s="238"/>
      <c r="C9" s="238"/>
      <c r="D9" s="238"/>
      <c r="E9" s="238"/>
      <c r="F9" s="238"/>
      <c r="G9" s="238"/>
      <c r="H9" s="238"/>
      <c r="I9" s="238"/>
    </row>
    <row r="10" spans="1:9" x14ac:dyDescent="0.2">
      <c r="A10" s="239" t="s">
        <v>5</v>
      </c>
      <c r="B10" s="239"/>
      <c r="C10" s="239"/>
      <c r="D10" s="239"/>
      <c r="E10" s="239"/>
      <c r="F10" s="239"/>
      <c r="G10" s="239"/>
      <c r="H10" s="239"/>
      <c r="I10" s="239"/>
    </row>
    <row r="11" spans="1:9" x14ac:dyDescent="0.2">
      <c r="A11" s="239"/>
      <c r="B11" s="239"/>
      <c r="C11" s="239"/>
      <c r="D11" s="239"/>
      <c r="E11" s="239"/>
      <c r="F11" s="239"/>
      <c r="G11" s="239"/>
      <c r="H11" s="239"/>
      <c r="I11" s="239"/>
    </row>
    <row r="12" spans="1:9" ht="12.75" customHeight="1" x14ac:dyDescent="0.2">
      <c r="A12" s="225" t="s">
        <v>6</v>
      </c>
      <c r="B12" s="225"/>
      <c r="C12" s="225"/>
      <c r="D12" s="225"/>
      <c r="E12" s="225"/>
      <c r="F12" s="225"/>
      <c r="G12" s="266" t="s">
        <v>237</v>
      </c>
      <c r="H12" s="267"/>
      <c r="I12" s="268"/>
    </row>
    <row r="13" spans="1:9" ht="12.75" customHeight="1" x14ac:dyDescent="0.2">
      <c r="A13" s="225" t="s">
        <v>7</v>
      </c>
      <c r="B13" s="225"/>
      <c r="C13" s="225"/>
      <c r="D13" s="225"/>
      <c r="E13" s="225"/>
      <c r="F13" s="225"/>
      <c r="G13" s="266" t="s">
        <v>236</v>
      </c>
      <c r="H13" s="267"/>
      <c r="I13" s="268"/>
    </row>
    <row r="14" spans="1:9" x14ac:dyDescent="0.2">
      <c r="A14" s="225" t="s">
        <v>8</v>
      </c>
      <c r="B14" s="225"/>
      <c r="C14" s="225"/>
      <c r="D14" s="225"/>
      <c r="E14" s="225"/>
      <c r="F14" s="225"/>
      <c r="G14" s="269" t="s">
        <v>240</v>
      </c>
      <c r="H14" s="270"/>
      <c r="I14" s="271"/>
    </row>
    <row r="15" spans="1:9" ht="12.75" customHeight="1" x14ac:dyDescent="0.2">
      <c r="A15" s="111"/>
      <c r="B15" s="111"/>
      <c r="C15" s="111"/>
      <c r="D15" s="111"/>
      <c r="E15" s="111"/>
      <c r="F15" s="111"/>
    </row>
    <row r="17" spans="1:1024" ht="21.75" customHeight="1" x14ac:dyDescent="0.2">
      <c r="A17" s="273" t="s">
        <v>211</v>
      </c>
      <c r="B17" s="273"/>
      <c r="C17" s="273"/>
      <c r="D17" s="273"/>
      <c r="E17" s="273"/>
      <c r="F17" s="273"/>
      <c r="G17" s="273"/>
      <c r="H17" s="273"/>
      <c r="I17" s="273"/>
    </row>
    <row r="18" spans="1:1024" ht="15.75" x14ac:dyDescent="0.2">
      <c r="A18" s="112"/>
      <c r="B18" s="112"/>
      <c r="C18" s="112"/>
      <c r="D18" s="112"/>
      <c r="E18" s="112"/>
      <c r="F18" s="112"/>
      <c r="G18" s="112"/>
      <c r="H18" s="112"/>
      <c r="I18" s="112"/>
    </row>
    <row r="19" spans="1:1024" ht="30" x14ac:dyDescent="0.2">
      <c r="A19" s="123" t="s">
        <v>212</v>
      </c>
      <c r="B19" s="276" t="s">
        <v>210</v>
      </c>
      <c r="C19" s="276"/>
      <c r="D19" s="276"/>
      <c r="E19" s="276"/>
      <c r="F19" s="124" t="s">
        <v>213</v>
      </c>
      <c r="G19" s="124" t="s">
        <v>214</v>
      </c>
      <c r="H19" s="124" t="s">
        <v>215</v>
      </c>
      <c r="I19" s="124" t="s">
        <v>216</v>
      </c>
    </row>
    <row r="20" spans="1:1024" ht="14.25" x14ac:dyDescent="0.2">
      <c r="A20" s="129">
        <v>1</v>
      </c>
      <c r="B20" s="260" t="s">
        <v>217</v>
      </c>
      <c r="C20" s="260"/>
      <c r="D20" s="260"/>
      <c r="E20" s="260"/>
      <c r="F20" s="119">
        <v>4</v>
      </c>
      <c r="G20" s="287">
        <v>38.49</v>
      </c>
      <c r="H20" s="120">
        <f t="shared" ref="H20:H27" si="0">G20*F20</f>
        <v>153.96</v>
      </c>
      <c r="I20" s="130">
        <f t="shared" ref="I20:I27" si="1">ROUND(H20/12,2)</f>
        <v>12.83</v>
      </c>
    </row>
    <row r="21" spans="1:1024" ht="14.25" x14ac:dyDescent="0.2">
      <c r="A21" s="129">
        <v>2</v>
      </c>
      <c r="B21" s="260" t="s">
        <v>218</v>
      </c>
      <c r="C21" s="260"/>
      <c r="D21" s="260"/>
      <c r="E21" s="260"/>
      <c r="F21" s="119">
        <v>8</v>
      </c>
      <c r="G21" s="287">
        <v>40</v>
      </c>
      <c r="H21" s="120">
        <f t="shared" si="0"/>
        <v>320</v>
      </c>
      <c r="I21" s="130">
        <f t="shared" si="1"/>
        <v>26.67</v>
      </c>
    </row>
    <row r="22" spans="1:1024" ht="12.75" customHeight="1" x14ac:dyDescent="0.2">
      <c r="A22" s="129">
        <v>3</v>
      </c>
      <c r="B22" s="258" t="s">
        <v>219</v>
      </c>
      <c r="C22" s="258"/>
      <c r="D22" s="258"/>
      <c r="E22" s="258"/>
      <c r="F22" s="119">
        <v>8</v>
      </c>
      <c r="G22" s="287">
        <v>32.9</v>
      </c>
      <c r="H22" s="120">
        <f t="shared" si="0"/>
        <v>263.2</v>
      </c>
      <c r="I22" s="130">
        <f t="shared" si="1"/>
        <v>21.93</v>
      </c>
    </row>
    <row r="23" spans="1:1024" ht="14.25" x14ac:dyDescent="0.2">
      <c r="A23" s="129">
        <v>4</v>
      </c>
      <c r="B23" s="258" t="s">
        <v>220</v>
      </c>
      <c r="C23" s="258"/>
      <c r="D23" s="258"/>
      <c r="E23" s="258"/>
      <c r="F23" s="119">
        <v>2</v>
      </c>
      <c r="G23" s="287">
        <v>85</v>
      </c>
      <c r="H23" s="120">
        <f t="shared" si="0"/>
        <v>170</v>
      </c>
      <c r="I23" s="130">
        <f t="shared" si="1"/>
        <v>14.17</v>
      </c>
    </row>
    <row r="24" spans="1:1024" ht="12.75" customHeight="1" x14ac:dyDescent="0.2">
      <c r="A24" s="129">
        <v>5</v>
      </c>
      <c r="B24" s="258" t="s">
        <v>221</v>
      </c>
      <c r="C24" s="258"/>
      <c r="D24" s="258"/>
      <c r="E24" s="258"/>
      <c r="F24" s="119">
        <v>2</v>
      </c>
      <c r="G24" s="287">
        <v>67.5</v>
      </c>
      <c r="H24" s="120">
        <f t="shared" si="0"/>
        <v>135</v>
      </c>
      <c r="I24" s="130">
        <f t="shared" si="1"/>
        <v>11.25</v>
      </c>
    </row>
    <row r="25" spans="1:1024" ht="16.5" customHeight="1" x14ac:dyDescent="0.2">
      <c r="A25" s="129">
        <v>6</v>
      </c>
      <c r="B25" s="258" t="s">
        <v>222</v>
      </c>
      <c r="C25" s="258"/>
      <c r="D25" s="258"/>
      <c r="E25" s="258"/>
      <c r="F25" s="119">
        <v>1</v>
      </c>
      <c r="G25" s="287">
        <v>119.98</v>
      </c>
      <c r="H25" s="120">
        <f t="shared" si="0"/>
        <v>119.98</v>
      </c>
      <c r="I25" s="130">
        <f t="shared" si="1"/>
        <v>10</v>
      </c>
    </row>
    <row r="26" spans="1:1024" s="110" customFormat="1" ht="14.25" customHeight="1" x14ac:dyDescent="0.2">
      <c r="A26" s="129">
        <v>7</v>
      </c>
      <c r="B26" s="258" t="s">
        <v>223</v>
      </c>
      <c r="C26" s="258"/>
      <c r="D26" s="258"/>
      <c r="E26" s="258"/>
      <c r="F26" s="119">
        <v>12</v>
      </c>
      <c r="G26" s="287">
        <v>12.07</v>
      </c>
      <c r="H26" s="120">
        <f t="shared" si="0"/>
        <v>144.84</v>
      </c>
      <c r="I26" s="130">
        <f t="shared" si="1"/>
        <v>12.07</v>
      </c>
      <c r="AMG26"/>
      <c r="AMH26"/>
      <c r="AMI26"/>
      <c r="AMJ26"/>
    </row>
    <row r="27" spans="1:1024" ht="14.25" x14ac:dyDescent="0.2">
      <c r="A27" s="129">
        <v>8</v>
      </c>
      <c r="B27" s="258" t="s">
        <v>224</v>
      </c>
      <c r="C27" s="258"/>
      <c r="D27" s="258"/>
      <c r="E27" s="258"/>
      <c r="F27" s="119">
        <v>1</v>
      </c>
      <c r="G27" s="287">
        <v>6.4</v>
      </c>
      <c r="H27" s="120">
        <f t="shared" si="0"/>
        <v>6.4</v>
      </c>
      <c r="I27" s="130">
        <f t="shared" si="1"/>
        <v>0.53</v>
      </c>
    </row>
    <row r="28" spans="1:1024" ht="15" x14ac:dyDescent="0.2">
      <c r="A28" s="272" t="s">
        <v>225</v>
      </c>
      <c r="B28" s="272"/>
      <c r="C28" s="272"/>
      <c r="D28" s="272"/>
      <c r="E28" s="272"/>
      <c r="F28" s="272"/>
      <c r="G28" s="272"/>
      <c r="H28" s="121">
        <f>SUM(H20:H27)</f>
        <v>1313.38</v>
      </c>
      <c r="I28" s="131">
        <f>SUM(I20:I27)</f>
        <v>109.44999999999999</v>
      </c>
    </row>
    <row r="29" spans="1:1024" ht="13.9" customHeight="1" x14ac:dyDescent="0.2">
      <c r="A29" s="262" t="s">
        <v>226</v>
      </c>
      <c r="B29" s="262"/>
      <c r="C29" s="262"/>
      <c r="D29" s="262"/>
      <c r="E29" s="262"/>
      <c r="F29" s="262"/>
      <c r="G29" s="262"/>
      <c r="H29" s="262"/>
      <c r="I29" s="127">
        <f>I28</f>
        <v>109.44999999999999</v>
      </c>
    </row>
    <row r="30" spans="1:1024" s="109" customFormat="1" ht="15" x14ac:dyDescent="0.2">
      <c r="A30" s="113"/>
      <c r="B30" s="114"/>
      <c r="C30" s="115"/>
      <c r="D30" s="115"/>
      <c r="E30" s="116"/>
      <c r="F30" s="117"/>
      <c r="G30" s="116"/>
      <c r="H30" s="116"/>
      <c r="I30" s="116"/>
      <c r="AMG30"/>
      <c r="AMH30"/>
      <c r="AMI30"/>
      <c r="AMJ30"/>
    </row>
    <row r="31" spans="1:1024" s="109" customFormat="1" ht="15" x14ac:dyDescent="0.2">
      <c r="A31" s="113"/>
      <c r="B31" s="114"/>
      <c r="C31" s="115"/>
      <c r="D31" s="115"/>
      <c r="E31" s="116"/>
      <c r="F31" s="117"/>
      <c r="G31" s="116"/>
      <c r="H31" s="116"/>
      <c r="I31" s="116"/>
      <c r="AMG31"/>
      <c r="AMH31"/>
      <c r="AMI31"/>
      <c r="AMJ31"/>
    </row>
    <row r="32" spans="1:1024" ht="30" x14ac:dyDescent="0.2">
      <c r="A32" s="123" t="s">
        <v>212</v>
      </c>
      <c r="B32" s="261" t="s">
        <v>227</v>
      </c>
      <c r="C32" s="261"/>
      <c r="D32" s="261"/>
      <c r="E32" s="261"/>
      <c r="F32" s="261"/>
      <c r="G32" s="124" t="s">
        <v>213</v>
      </c>
      <c r="H32" s="124" t="s">
        <v>214</v>
      </c>
      <c r="I32" s="124" t="s">
        <v>216</v>
      </c>
    </row>
    <row r="33" spans="1:9" ht="18.75" customHeight="1" x14ac:dyDescent="0.2">
      <c r="A33" s="129">
        <v>9</v>
      </c>
      <c r="B33" s="274" t="s">
        <v>228</v>
      </c>
      <c r="C33" s="274"/>
      <c r="D33" s="274"/>
      <c r="E33" s="274"/>
      <c r="F33" s="274"/>
      <c r="G33" s="120">
        <v>4</v>
      </c>
      <c r="H33" s="287">
        <v>12.99</v>
      </c>
      <c r="I33" s="130">
        <f>ROUND(G33*H33/12/I50,2)</f>
        <v>0.62</v>
      </c>
    </row>
    <row r="34" spans="1:9" ht="15" x14ac:dyDescent="0.2">
      <c r="A34" s="259" t="s">
        <v>229</v>
      </c>
      <c r="B34" s="259"/>
      <c r="C34" s="259"/>
      <c r="D34" s="259"/>
      <c r="E34" s="259"/>
      <c r="F34" s="259"/>
      <c r="G34" s="259"/>
      <c r="H34" s="259"/>
      <c r="I34" s="127">
        <f>I33</f>
        <v>0.62</v>
      </c>
    </row>
    <row r="35" spans="1:9" ht="15" x14ac:dyDescent="0.2">
      <c r="A35" s="113"/>
      <c r="B35" s="116"/>
      <c r="C35" s="114"/>
      <c r="D35" s="115"/>
      <c r="E35" s="115"/>
      <c r="F35" s="117"/>
      <c r="G35" s="116"/>
      <c r="H35" s="116"/>
      <c r="I35" s="116"/>
    </row>
    <row r="36" spans="1:9" ht="15" x14ac:dyDescent="0.2">
      <c r="A36" s="118"/>
      <c r="B36" s="114"/>
      <c r="C36" s="114"/>
      <c r="D36" s="115"/>
      <c r="E36" s="115"/>
      <c r="F36" s="117"/>
      <c r="G36" s="116"/>
      <c r="H36" s="116"/>
      <c r="I36" s="116"/>
    </row>
    <row r="37" spans="1:9" ht="30" x14ac:dyDescent="0.2">
      <c r="A37" s="123" t="s">
        <v>212</v>
      </c>
      <c r="B37" s="261" t="s">
        <v>230</v>
      </c>
      <c r="C37" s="261"/>
      <c r="D37" s="261"/>
      <c r="E37" s="261"/>
      <c r="F37" s="124" t="s">
        <v>244</v>
      </c>
      <c r="G37" s="124" t="s">
        <v>231</v>
      </c>
      <c r="H37" s="124" t="s">
        <v>232</v>
      </c>
      <c r="I37" s="124" t="s">
        <v>216</v>
      </c>
    </row>
    <row r="38" spans="1:9" ht="17.25" customHeight="1" x14ac:dyDescent="0.2">
      <c r="A38" s="129">
        <v>10</v>
      </c>
      <c r="B38" s="258" t="s">
        <v>233</v>
      </c>
      <c r="C38" s="258"/>
      <c r="D38" s="258"/>
      <c r="E38" s="258"/>
      <c r="F38" s="120">
        <v>1</v>
      </c>
      <c r="G38" s="287">
        <v>389</v>
      </c>
      <c r="H38" s="122">
        <f>1/60</f>
        <v>1.6666666666666666E-2</v>
      </c>
      <c r="I38" s="130">
        <f>ROUND(F38*G38*H38/I50,2)</f>
        <v>0.93</v>
      </c>
    </row>
    <row r="39" spans="1:9" ht="17.25" customHeight="1" x14ac:dyDescent="0.2">
      <c r="A39" s="129">
        <v>11</v>
      </c>
      <c r="B39" s="258" t="s">
        <v>234</v>
      </c>
      <c r="C39" s="258"/>
      <c r="D39" s="258"/>
      <c r="E39" s="258"/>
      <c r="F39" s="120">
        <v>1</v>
      </c>
      <c r="G39" s="287">
        <v>1800</v>
      </c>
      <c r="H39" s="122">
        <f>1/60</f>
        <v>1.6666666666666666E-2</v>
      </c>
      <c r="I39" s="130">
        <f>ROUND(F39*G39*H39/I50,2)</f>
        <v>4.29</v>
      </c>
    </row>
    <row r="40" spans="1:9" ht="15" x14ac:dyDescent="0.2">
      <c r="A40" s="259" t="s">
        <v>235</v>
      </c>
      <c r="B40" s="259"/>
      <c r="C40" s="259"/>
      <c r="D40" s="259"/>
      <c r="E40" s="259"/>
      <c r="F40" s="259"/>
      <c r="G40" s="259"/>
      <c r="H40" s="259"/>
      <c r="I40" s="127">
        <f>I38+I39</f>
        <v>5.22</v>
      </c>
    </row>
    <row r="41" spans="1:9" ht="18.75" customHeight="1" x14ac:dyDescent="0.2">
      <c r="A41" s="116"/>
      <c r="B41" s="116"/>
      <c r="C41" s="116"/>
      <c r="D41" s="116"/>
      <c r="E41" s="116"/>
      <c r="F41" s="116"/>
      <c r="G41" s="116"/>
      <c r="H41" s="116"/>
      <c r="I41" s="116"/>
    </row>
    <row r="42" spans="1:9" x14ac:dyDescent="0.2">
      <c r="A42" s="116"/>
      <c r="B42" s="116"/>
      <c r="C42" s="116"/>
      <c r="D42" s="116"/>
      <c r="E42" s="116"/>
      <c r="F42" s="116"/>
      <c r="G42" s="116"/>
      <c r="H42" s="116"/>
      <c r="I42" s="116"/>
    </row>
    <row r="43" spans="1:9" ht="15" x14ac:dyDescent="0.2">
      <c r="A43" s="275" t="s">
        <v>243</v>
      </c>
      <c r="B43" s="275"/>
      <c r="C43" s="275"/>
      <c r="D43" s="275"/>
      <c r="E43" s="275"/>
      <c r="F43" s="275"/>
      <c r="G43" s="275"/>
      <c r="H43" s="125" t="s">
        <v>208</v>
      </c>
      <c r="I43" s="125" t="s">
        <v>209</v>
      </c>
    </row>
    <row r="44" spans="1:9" ht="14.25" x14ac:dyDescent="0.2">
      <c r="A44" s="263" t="s">
        <v>210</v>
      </c>
      <c r="B44" s="263"/>
      <c r="C44" s="263"/>
      <c r="D44" s="263"/>
      <c r="E44" s="263"/>
      <c r="F44" s="263"/>
      <c r="G44" s="263"/>
      <c r="H44" s="120">
        <f>I44*12</f>
        <v>1313.3999999999999</v>
      </c>
      <c r="I44" s="130">
        <f>I29</f>
        <v>109.44999999999999</v>
      </c>
    </row>
    <row r="45" spans="1:9" ht="14.25" x14ac:dyDescent="0.2">
      <c r="A45" s="263" t="s">
        <v>227</v>
      </c>
      <c r="B45" s="263"/>
      <c r="C45" s="263"/>
      <c r="D45" s="263"/>
      <c r="E45" s="263"/>
      <c r="F45" s="263"/>
      <c r="G45" s="263"/>
      <c r="H45" s="120">
        <f>I45*12</f>
        <v>7.4399999999999995</v>
      </c>
      <c r="I45" s="130">
        <f>I34</f>
        <v>0.62</v>
      </c>
    </row>
    <row r="46" spans="1:9" ht="14.25" x14ac:dyDescent="0.2">
      <c r="A46" s="263" t="s">
        <v>242</v>
      </c>
      <c r="B46" s="263"/>
      <c r="C46" s="263"/>
      <c r="D46" s="263"/>
      <c r="E46" s="263"/>
      <c r="F46" s="263"/>
      <c r="G46" s="263"/>
      <c r="H46" s="120">
        <f>I46*12</f>
        <v>62.64</v>
      </c>
      <c r="I46" s="130">
        <f>I40</f>
        <v>5.22</v>
      </c>
    </row>
    <row r="47" spans="1:9" ht="15" x14ac:dyDescent="0.2">
      <c r="A47" s="264" t="s">
        <v>102</v>
      </c>
      <c r="B47" s="264"/>
      <c r="C47" s="264"/>
      <c r="D47" s="264"/>
      <c r="E47" s="264"/>
      <c r="F47" s="264"/>
      <c r="G47" s="264"/>
      <c r="H47" s="128">
        <f>I47*12</f>
        <v>1383.48</v>
      </c>
      <c r="I47" s="128">
        <f>I44+I45+I46</f>
        <v>115.28999999999999</v>
      </c>
    </row>
    <row r="48" spans="1:9" x14ac:dyDescent="0.2">
      <c r="A48" s="116"/>
      <c r="B48" s="116"/>
      <c r="C48" s="116"/>
      <c r="D48" s="116"/>
      <c r="E48" s="116"/>
      <c r="F48" s="116"/>
      <c r="G48" s="116"/>
      <c r="H48" s="116"/>
      <c r="I48" s="116"/>
    </row>
    <row r="49" spans="1:9" x14ac:dyDescent="0.2">
      <c r="A49" s="116"/>
      <c r="B49" s="116"/>
      <c r="C49" s="116"/>
      <c r="D49" s="116"/>
      <c r="E49" s="116"/>
      <c r="F49" s="116"/>
      <c r="G49" s="116"/>
      <c r="H49" s="116"/>
      <c r="I49" s="116"/>
    </row>
    <row r="50" spans="1:9" ht="15" x14ac:dyDescent="0.2">
      <c r="A50" s="265" t="s">
        <v>207</v>
      </c>
      <c r="B50" s="265"/>
      <c r="C50" s="265"/>
      <c r="D50" s="265"/>
      <c r="E50" s="265"/>
      <c r="F50" s="265"/>
      <c r="G50" s="265"/>
      <c r="H50" s="265"/>
      <c r="I50" s="126">
        <v>7</v>
      </c>
    </row>
    <row r="51" spans="1:9" x14ac:dyDescent="0.2">
      <c r="A51" s="116"/>
      <c r="B51" s="116"/>
      <c r="C51" s="116"/>
      <c r="D51" s="116"/>
      <c r="E51" s="116"/>
      <c r="F51" s="116"/>
      <c r="G51" s="116"/>
      <c r="H51" s="116"/>
      <c r="I51" s="116"/>
    </row>
  </sheetData>
  <mergeCells count="36">
    <mergeCell ref="A46:G46"/>
    <mergeCell ref="A47:G47"/>
    <mergeCell ref="A50:H50"/>
    <mergeCell ref="G12:I12"/>
    <mergeCell ref="G13:I13"/>
    <mergeCell ref="G14:I14"/>
    <mergeCell ref="A12:F12"/>
    <mergeCell ref="A13:F13"/>
    <mergeCell ref="A14:F14"/>
    <mergeCell ref="A28:G28"/>
    <mergeCell ref="A17:I17"/>
    <mergeCell ref="B33:F33"/>
    <mergeCell ref="A43:G43"/>
    <mergeCell ref="A44:G44"/>
    <mergeCell ref="B19:E19"/>
    <mergeCell ref="B25:E25"/>
    <mergeCell ref="B26:E26"/>
    <mergeCell ref="B27:E27"/>
    <mergeCell ref="A29:H29"/>
    <mergeCell ref="A45:G45"/>
    <mergeCell ref="B38:E38"/>
    <mergeCell ref="B39:E39"/>
    <mergeCell ref="A40:H40"/>
    <mergeCell ref="A6:I6"/>
    <mergeCell ref="A7:I7"/>
    <mergeCell ref="A8:I8"/>
    <mergeCell ref="A9:I9"/>
    <mergeCell ref="A10:I11"/>
    <mergeCell ref="B20:E20"/>
    <mergeCell ref="B21:E21"/>
    <mergeCell ref="B22:E22"/>
    <mergeCell ref="B23:E23"/>
    <mergeCell ref="B24:E24"/>
    <mergeCell ref="B32:F32"/>
    <mergeCell ref="A34:H34"/>
    <mergeCell ref="B37:E37"/>
  </mergeCells>
  <conditionalFormatting sqref="C4">
    <cfRule type="expression" dxfId="3" priority="1">
      <formula>LEN(TRIM(C4))=0</formula>
    </cfRule>
    <cfRule type="expression" dxfId="2" priority="2">
      <formula>LEN(TRIM(C4))=0</formula>
    </cfRule>
  </conditionalFormatting>
  <pageMargins left="0.70866141732283472" right="0.70866141732283472" top="0.74803149606299213" bottom="0.74803149606299213" header="0.51181102362204722" footer="0"/>
  <pageSetup paperSize="9" scale="88" fitToHeight="0" orientation="portrait" r:id="rId1"/>
  <headerFooter>
    <oddHeader>&amp;C&amp;"Times New Roman,Normal"&amp;12&amp;Kffffff&amp;A</oddHeader>
    <oddFooter>&amp;CANEXO II - Planilha de Custos e Formação de Preços
Processo n.º 23370.000415/2021-11
Pregão Eletrônico 045/2021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topLeftCell="A7" zoomScale="110" zoomScaleNormal="110" workbookViewId="0">
      <selection activeCell="A12" sqref="A12:F12"/>
    </sheetView>
  </sheetViews>
  <sheetFormatPr defaultColWidth="11.42578125" defaultRowHeight="12.75" x14ac:dyDescent="0.2"/>
  <cols>
    <col min="1" max="1" width="11.42578125" style="1"/>
    <col min="2" max="2" width="11" style="1" customWidth="1"/>
    <col min="3" max="3" width="13.140625" style="1" customWidth="1"/>
    <col min="4" max="4" width="14.85546875" style="1" customWidth="1"/>
    <col min="5" max="5" width="12.28515625" style="1" customWidth="1"/>
    <col min="6" max="6" width="8.42578125" style="1" customWidth="1"/>
    <col min="7" max="7" width="16.28515625" style="1" customWidth="1"/>
    <col min="8" max="8" width="17.140625" customWidth="1"/>
    <col min="9" max="9" width="17" customWidth="1"/>
    <col min="10" max="10" width="10.5703125" customWidth="1"/>
    <col min="234" max="234" width="13.140625" customWidth="1"/>
    <col min="235" max="235" width="11" customWidth="1"/>
    <col min="236" max="236" width="13.140625" customWidth="1"/>
    <col min="237" max="237" width="10" customWidth="1"/>
    <col min="238" max="238" width="12.28515625" customWidth="1"/>
    <col min="239" max="239" width="11.140625" customWidth="1"/>
    <col min="240" max="240" width="9.7109375" customWidth="1"/>
    <col min="241" max="241" width="13.28515625" customWidth="1"/>
    <col min="242" max="242" width="14.42578125" customWidth="1"/>
    <col min="490" max="490" width="13.140625" customWidth="1"/>
    <col min="491" max="491" width="11" customWidth="1"/>
    <col min="492" max="492" width="13.140625" customWidth="1"/>
    <col min="493" max="493" width="10" customWidth="1"/>
    <col min="494" max="494" width="12.28515625" customWidth="1"/>
    <col min="495" max="495" width="11.140625" customWidth="1"/>
    <col min="496" max="496" width="9.7109375" customWidth="1"/>
    <col min="497" max="497" width="13.28515625" customWidth="1"/>
    <col min="498" max="498" width="14.42578125" customWidth="1"/>
    <col min="746" max="746" width="13.140625" customWidth="1"/>
    <col min="747" max="747" width="11" customWidth="1"/>
    <col min="748" max="748" width="13.140625" customWidth="1"/>
    <col min="749" max="749" width="10" customWidth="1"/>
    <col min="750" max="750" width="12.28515625" customWidth="1"/>
    <col min="751" max="751" width="11.140625" customWidth="1"/>
    <col min="752" max="752" width="9.7109375" customWidth="1"/>
    <col min="753" max="753" width="13.28515625" customWidth="1"/>
    <col min="754" max="754" width="14.42578125" customWidth="1"/>
    <col min="1002" max="1002" width="13.140625" customWidth="1"/>
    <col min="1003" max="1003" width="11" customWidth="1"/>
    <col min="1004" max="1004" width="13.140625" customWidth="1"/>
    <col min="1005" max="1005" width="10" customWidth="1"/>
    <col min="1006" max="1006" width="12.28515625" customWidth="1"/>
    <col min="1007" max="1007" width="11.140625" customWidth="1"/>
    <col min="1008" max="1008" width="9.7109375" customWidth="1"/>
    <col min="1009" max="1009" width="13.28515625" customWidth="1"/>
    <col min="1010" max="1010" width="14.42578125" customWidth="1"/>
  </cols>
  <sheetData>
    <row r="1" spans="1:9" ht="17.45" customHeight="1" x14ac:dyDescent="0.2">
      <c r="C1" s="2" t="s">
        <v>0</v>
      </c>
      <c r="H1" s="3"/>
    </row>
    <row r="2" spans="1:9" ht="17.45" customHeight="1" x14ac:dyDescent="0.2">
      <c r="C2" s="2" t="s">
        <v>1</v>
      </c>
      <c r="H2" s="3"/>
    </row>
    <row r="3" spans="1:9" ht="17.45" customHeight="1" x14ac:dyDescent="0.2">
      <c r="C3" s="2" t="s">
        <v>2</v>
      </c>
      <c r="H3" s="3"/>
    </row>
    <row r="4" spans="1:9" ht="17.45" customHeight="1" x14ac:dyDescent="0.2">
      <c r="C4" s="4" t="s">
        <v>3</v>
      </c>
      <c r="H4" s="3"/>
    </row>
    <row r="5" spans="1:9" ht="14.45" customHeight="1" x14ac:dyDescent="0.2">
      <c r="C5" s="5"/>
      <c r="H5" s="3"/>
    </row>
    <row r="6" spans="1:9" ht="14.45" customHeight="1" x14ac:dyDescent="0.25">
      <c r="A6" s="6"/>
    </row>
    <row r="7" spans="1:9" ht="24" customHeight="1" x14ac:dyDescent="0.2">
      <c r="A7" s="285" t="s">
        <v>4</v>
      </c>
      <c r="B7" s="285"/>
      <c r="C7" s="285"/>
      <c r="D7" s="285"/>
      <c r="E7" s="285"/>
      <c r="F7" s="285"/>
      <c r="G7" s="285"/>
      <c r="H7" s="285"/>
      <c r="I7" s="285"/>
    </row>
    <row r="8" spans="1:9" ht="24" customHeight="1" x14ac:dyDescent="0.2">
      <c r="A8" s="235" t="s">
        <v>247</v>
      </c>
      <c r="B8" s="235"/>
      <c r="C8" s="235"/>
      <c r="D8" s="235"/>
      <c r="E8" s="235"/>
      <c r="F8" s="235"/>
      <c r="G8" s="235"/>
      <c r="H8" s="235"/>
      <c r="I8" s="235"/>
    </row>
    <row r="9" spans="1:9" ht="24" customHeight="1" x14ac:dyDescent="0.2">
      <c r="A9" s="286" t="s">
        <v>33</v>
      </c>
      <c r="B9" s="286"/>
      <c r="C9" s="286"/>
      <c r="D9" s="286"/>
      <c r="E9" s="286"/>
      <c r="F9" s="286"/>
      <c r="G9" s="286"/>
      <c r="H9" s="286"/>
      <c r="I9" s="286"/>
    </row>
    <row r="10" spans="1:9" ht="24" customHeight="1" x14ac:dyDescent="0.2">
      <c r="A10" s="238" t="s">
        <v>246</v>
      </c>
      <c r="B10" s="238"/>
      <c r="C10" s="238"/>
      <c r="D10" s="238"/>
      <c r="E10" s="238"/>
      <c r="F10" s="238"/>
      <c r="G10" s="238"/>
      <c r="H10" s="238"/>
      <c r="I10" s="238"/>
    </row>
    <row r="11" spans="1:9" ht="23.45" customHeight="1" x14ac:dyDescent="0.2">
      <c r="A11" s="235" t="s">
        <v>5</v>
      </c>
      <c r="B11" s="235"/>
      <c r="C11" s="235"/>
      <c r="D11" s="235"/>
      <c r="E11" s="235"/>
      <c r="F11" s="235"/>
      <c r="G11" s="235"/>
      <c r="H11" s="235"/>
      <c r="I11" s="235"/>
    </row>
    <row r="12" spans="1:9" ht="14.65" customHeight="1" x14ac:dyDescent="0.2">
      <c r="A12" s="281" t="s">
        <v>6</v>
      </c>
      <c r="B12" s="281"/>
      <c r="C12" s="281"/>
      <c r="D12" s="281"/>
      <c r="E12" s="281"/>
      <c r="F12" s="281"/>
      <c r="G12" s="233" t="s">
        <v>237</v>
      </c>
      <c r="H12" s="233"/>
      <c r="I12" s="233"/>
    </row>
    <row r="13" spans="1:9" x14ac:dyDescent="0.2">
      <c r="A13" s="281" t="s">
        <v>7</v>
      </c>
      <c r="B13" s="281"/>
      <c r="C13" s="281"/>
      <c r="D13" s="281"/>
      <c r="E13" s="281"/>
      <c r="F13" s="281"/>
      <c r="G13" s="233" t="s">
        <v>236</v>
      </c>
      <c r="H13" s="233"/>
      <c r="I13" s="233"/>
    </row>
    <row r="14" spans="1:9" ht="14.65" customHeight="1" x14ac:dyDescent="0.2">
      <c r="A14" s="174" t="s">
        <v>238</v>
      </c>
      <c r="B14" s="283"/>
      <c r="C14" s="283"/>
      <c r="D14" s="283"/>
      <c r="E14" s="283"/>
      <c r="F14" s="284"/>
      <c r="G14" s="266" t="s">
        <v>239</v>
      </c>
      <c r="H14" s="267"/>
      <c r="I14" s="268"/>
    </row>
    <row r="15" spans="1:9" ht="15.75" customHeight="1" x14ac:dyDescent="0.2">
      <c r="A15" s="178" t="s">
        <v>9</v>
      </c>
      <c r="B15" s="178"/>
      <c r="C15" s="178"/>
      <c r="D15" s="178"/>
      <c r="E15" s="178"/>
      <c r="F15" s="178"/>
      <c r="G15" s="178"/>
      <c r="H15" s="178"/>
      <c r="I15" s="178"/>
    </row>
    <row r="16" spans="1:9" ht="14.65" customHeight="1" x14ac:dyDescent="0.2">
      <c r="A16" s="7" t="s">
        <v>10</v>
      </c>
      <c r="B16" s="174" t="s">
        <v>11</v>
      </c>
      <c r="C16" s="283"/>
      <c r="D16" s="283"/>
      <c r="E16" s="283"/>
      <c r="F16" s="284"/>
      <c r="G16" s="140"/>
      <c r="H16" s="140"/>
      <c r="I16" s="140"/>
    </row>
    <row r="17" spans="1:9" ht="14.65" customHeight="1" x14ac:dyDescent="0.2">
      <c r="A17" s="7" t="s">
        <v>12</v>
      </c>
      <c r="B17" s="281" t="s">
        <v>13</v>
      </c>
      <c r="C17" s="281"/>
      <c r="D17" s="281"/>
      <c r="E17" s="281"/>
      <c r="F17" s="281"/>
      <c r="G17" s="233" t="s">
        <v>14</v>
      </c>
      <c r="H17" s="233"/>
      <c r="I17" s="233"/>
    </row>
    <row r="18" spans="1:9" ht="13.15" customHeight="1" x14ac:dyDescent="0.2">
      <c r="A18" s="7" t="s">
        <v>15</v>
      </c>
      <c r="B18" s="281" t="s">
        <v>16</v>
      </c>
      <c r="C18" s="281"/>
      <c r="D18" s="281"/>
      <c r="E18" s="281"/>
      <c r="F18" s="281"/>
      <c r="G18" s="282" t="s">
        <v>17</v>
      </c>
      <c r="H18" s="282"/>
      <c r="I18" s="282"/>
    </row>
    <row r="19" spans="1:9" ht="13.15" customHeight="1" x14ac:dyDescent="0.2">
      <c r="A19" s="7" t="s">
        <v>18</v>
      </c>
      <c r="B19" s="281" t="s">
        <v>19</v>
      </c>
      <c r="C19" s="281"/>
      <c r="D19" s="281"/>
      <c r="E19" s="281"/>
      <c r="F19" s="281"/>
      <c r="G19" s="140" t="s">
        <v>20</v>
      </c>
      <c r="H19" s="140"/>
      <c r="I19" s="140"/>
    </row>
    <row r="20" spans="1:9" ht="13.15" customHeight="1" x14ac:dyDescent="0.2">
      <c r="A20" s="7" t="s">
        <v>35</v>
      </c>
      <c r="B20" s="174" t="s">
        <v>36</v>
      </c>
      <c r="C20" s="283"/>
      <c r="D20" s="283"/>
      <c r="E20" s="283"/>
      <c r="F20" s="284"/>
      <c r="G20" s="140">
        <v>12</v>
      </c>
      <c r="H20" s="140"/>
      <c r="I20" s="140"/>
    </row>
    <row r="21" spans="1:9" x14ac:dyDescent="0.2">
      <c r="A21" s="9"/>
      <c r="B21" s="9"/>
      <c r="C21" s="9"/>
      <c r="D21" s="9"/>
      <c r="E21" s="9"/>
      <c r="F21" s="9"/>
      <c r="G21" s="9"/>
    </row>
    <row r="22" spans="1:9" x14ac:dyDescent="0.2">
      <c r="A22" s="9"/>
      <c r="B22" s="9"/>
      <c r="C22" s="9"/>
      <c r="D22" s="9"/>
      <c r="E22" s="9"/>
      <c r="F22" s="9"/>
      <c r="G22" s="9"/>
    </row>
    <row r="24" spans="1:9" ht="47.25" x14ac:dyDescent="0.2">
      <c r="A24" s="277" t="s">
        <v>21</v>
      </c>
      <c r="B24" s="277"/>
      <c r="C24" s="132" t="s">
        <v>22</v>
      </c>
      <c r="D24" s="132" t="s">
        <v>245</v>
      </c>
      <c r="E24" s="132" t="s">
        <v>23</v>
      </c>
      <c r="F24" s="132" t="s">
        <v>24</v>
      </c>
      <c r="G24" s="133" t="s">
        <v>25</v>
      </c>
      <c r="H24" s="132" t="s">
        <v>26</v>
      </c>
      <c r="I24" s="134" t="s">
        <v>27</v>
      </c>
    </row>
    <row r="25" spans="1:9" ht="29.45" customHeight="1" x14ac:dyDescent="0.2">
      <c r="A25" s="278" t="s">
        <v>28</v>
      </c>
      <c r="B25" s="278"/>
      <c r="C25" s="10">
        <f>'06H'!I176</f>
        <v>2637.69</v>
      </c>
      <c r="D25" s="11">
        <v>1</v>
      </c>
      <c r="E25" s="10">
        <f>C25*D25</f>
        <v>2637.69</v>
      </c>
      <c r="F25" s="11">
        <v>4</v>
      </c>
      <c r="G25" s="12">
        <f>ROUND(E25*F25,2)</f>
        <v>10550.76</v>
      </c>
      <c r="H25" s="279">
        <v>12</v>
      </c>
      <c r="I25" s="138">
        <f>G25*$H$25</f>
        <v>126609.12</v>
      </c>
    </row>
    <row r="26" spans="1:9" ht="33.6" customHeight="1" x14ac:dyDescent="0.2">
      <c r="A26" s="278" t="s">
        <v>29</v>
      </c>
      <c r="B26" s="278"/>
      <c r="C26" s="10">
        <f>'08H'!I181</f>
        <v>3784.7100000000005</v>
      </c>
      <c r="D26" s="11">
        <v>1</v>
      </c>
      <c r="E26" s="10">
        <f>C26*D26</f>
        <v>3784.7100000000005</v>
      </c>
      <c r="F26" s="11">
        <v>3</v>
      </c>
      <c r="G26" s="12">
        <f>ROUND(E26*F26,2)</f>
        <v>11354.13</v>
      </c>
      <c r="H26" s="279"/>
      <c r="I26" s="138">
        <f>G26*$H$25</f>
        <v>136249.56</v>
      </c>
    </row>
    <row r="27" spans="1:9" ht="30.6" customHeight="1" x14ac:dyDescent="0.2">
      <c r="A27" s="280" t="s">
        <v>30</v>
      </c>
      <c r="B27" s="280"/>
      <c r="C27" s="280"/>
      <c r="D27" s="280"/>
      <c r="E27" s="280"/>
      <c r="F27" s="280"/>
      <c r="G27" s="135">
        <f>SUM(G25:G26)</f>
        <v>21904.89</v>
      </c>
      <c r="H27" s="136" t="s">
        <v>31</v>
      </c>
      <c r="I27" s="137">
        <f>I25+I26</f>
        <v>262858.68</v>
      </c>
    </row>
  </sheetData>
  <mergeCells count="27">
    <mergeCell ref="B20:F20"/>
    <mergeCell ref="G20:I20"/>
    <mergeCell ref="A10:I10"/>
    <mergeCell ref="A7:I7"/>
    <mergeCell ref="A8:I8"/>
    <mergeCell ref="A9:I9"/>
    <mergeCell ref="A11:I11"/>
    <mergeCell ref="A12:F12"/>
    <mergeCell ref="G12:I12"/>
    <mergeCell ref="A13:F13"/>
    <mergeCell ref="G13:I13"/>
    <mergeCell ref="A15:I15"/>
    <mergeCell ref="A14:F14"/>
    <mergeCell ref="G14:I14"/>
    <mergeCell ref="B16:F16"/>
    <mergeCell ref="G16:I16"/>
    <mergeCell ref="B17:F17"/>
    <mergeCell ref="G17:I17"/>
    <mergeCell ref="B18:F18"/>
    <mergeCell ref="G18:I18"/>
    <mergeCell ref="B19:F19"/>
    <mergeCell ref="G19:I19"/>
    <mergeCell ref="A24:B24"/>
    <mergeCell ref="A25:B25"/>
    <mergeCell ref="H25:H26"/>
    <mergeCell ref="A26:B26"/>
    <mergeCell ref="A27:F27"/>
  </mergeCells>
  <conditionalFormatting sqref="C4">
    <cfRule type="expression" dxfId="1" priority="2">
      <formula>LEN(TRIM(C4))=0</formula>
    </cfRule>
    <cfRule type="expression" dxfId="0" priority="3">
      <formula>LEN(TRIM(C4))=0</formula>
    </cfRule>
  </conditionalFormatting>
  <pageMargins left="0.70866141732283472" right="0.70866141732283472" top="0.74803149606299213" bottom="0.74803149606299213" header="0.51181102362204722" footer="0"/>
  <pageSetup paperSize="9" scale="73" orientation="portrait" r:id="rId1"/>
  <headerFooter>
    <oddFooter>&amp;CANEXO II - Planilha de Custos e Formação de Preços
Processo n.º 23370.000415/2021-11
Pregão Eletrônico 045/2021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06H</vt:lpstr>
      <vt:lpstr>08H</vt:lpstr>
      <vt:lpstr>INSUMOS</vt:lpstr>
      <vt:lpstr>RESUMO</vt:lpstr>
      <vt:lpstr>'06H'!Area_de_impressao</vt:lpstr>
      <vt:lpstr>'08H'!Area_de_impressao</vt:lpstr>
      <vt:lpstr>INSUMOS!Area_de_impressao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Fossati</dc:creator>
  <dc:description/>
  <cp:lastModifiedBy>Walter Ferreira</cp:lastModifiedBy>
  <cp:revision>44</cp:revision>
  <cp:lastPrinted>2021-11-25T17:16:45Z</cp:lastPrinted>
  <dcterms:created xsi:type="dcterms:W3CDTF">2021-10-07T19:50:06Z</dcterms:created>
  <dcterms:modified xsi:type="dcterms:W3CDTF">2022-01-11T19:29:02Z</dcterms:modified>
  <dc:language>pt-BR</dc:language>
</cp:coreProperties>
</file>