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d3ca745615671c75/Área de Trabalho/HOME-OFFICE/PDF PARA PUBLICAÇÃO/"/>
    </mc:Choice>
  </mc:AlternateContent>
  <xr:revisionPtr revIDLastSave="0" documentId="8_{6B69CEED-9016-4F5B-959D-EDE9C6C39D56}" xr6:coauthVersionLast="47" xr6:coauthVersionMax="47" xr10:uidLastSave="{00000000-0000-0000-0000-000000000000}"/>
  <bookViews>
    <workbookView xWindow="-120" yWindow="-120" windowWidth="24240" windowHeight="13140" tabRatio="834" xr2:uid="{00000000-000D-0000-FFFF-FFFF00000000}"/>
  </bookViews>
  <sheets>
    <sheet name="Áreas Ajustadas" sheetId="1" r:id="rId1"/>
    <sheet name="Áreas Totais" sheetId="2" r:id="rId2"/>
    <sheet name="Cálculo Qtd" sheetId="12" r:id="rId3"/>
    <sheet name="Insumos" sheetId="6" r:id="rId4"/>
    <sheet name="Plan_Custos Completa" sheetId="8" r:id="rId5"/>
    <sheet name="Resumo" sheetId="13" r:id="rId6"/>
  </sheets>
  <externalReferences>
    <externalReference r:id="rId7"/>
    <externalReference r:id="rId8"/>
    <externalReference r:id="rId9"/>
  </externalReferences>
  <definedNames>
    <definedName name="_xlnm.Print_Area" localSheetId="0">'Áreas Ajustadas'!$A$1:$D$214</definedName>
    <definedName name="_xlnm.Print_Area" localSheetId="1">'Áreas Totais'!$A$1:$C$22</definedName>
    <definedName name="_xlnm.Print_Area" localSheetId="2">'Cálculo Qtd'!$A$1:$P$45</definedName>
    <definedName name="_xlnm.Print_Area" localSheetId="3">Insumos!$A$1:$I$161</definedName>
    <definedName name="_xlnm.Print_Area" localSheetId="4">'Plan_Custos Completa'!$A$1:$I$306</definedName>
    <definedName name="_xlnm.Print_Area" localSheetId="5">Resumo!$B$2:$F$37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0" i="8" l="1"/>
  <c r="G145" i="6"/>
  <c r="H157" i="6"/>
  <c r="C11" i="13"/>
  <c r="C32" i="13"/>
  <c r="C31" i="13"/>
  <c r="C30" i="13"/>
  <c r="C24" i="13"/>
  <c r="C23" i="13"/>
  <c r="C12" i="13"/>
  <c r="F141" i="6"/>
  <c r="F140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21" i="6"/>
  <c r="F116" i="6"/>
  <c r="F115" i="6"/>
  <c r="F110" i="6"/>
  <c r="F111" i="6"/>
  <c r="F112" i="6"/>
  <c r="F113" i="6"/>
  <c r="F114" i="6"/>
  <c r="F109" i="6"/>
  <c r="H106" i="6"/>
  <c r="H105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88" i="6"/>
  <c r="H85" i="6"/>
  <c r="G50" i="6"/>
  <c r="H84" i="6"/>
  <c r="G49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53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6" i="6"/>
  <c r="A123" i="6"/>
  <c r="A124" i="6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22" i="6"/>
  <c r="A111" i="6"/>
  <c r="A112" i="6"/>
  <c r="A113" i="6"/>
  <c r="A114" i="6"/>
  <c r="A110" i="6"/>
  <c r="A90" i="6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89" i="6"/>
  <c r="A55" i="6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54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7" i="6"/>
  <c r="K23" i="12" l="1"/>
  <c r="K21" i="12"/>
  <c r="D21" i="12"/>
  <c r="E21" i="12" s="1"/>
  <c r="F21" i="12" s="1"/>
  <c r="I21" i="12" s="1"/>
  <c r="K20" i="12"/>
  <c r="D20" i="12"/>
  <c r="E20" i="12" s="1"/>
  <c r="K19" i="12"/>
  <c r="D19" i="12"/>
  <c r="E19" i="12" s="1"/>
  <c r="K18" i="12"/>
  <c r="D18" i="12"/>
  <c r="E18" i="12" s="1"/>
  <c r="K17" i="12"/>
  <c r="D17" i="12"/>
  <c r="E17" i="12" s="1"/>
  <c r="F17" i="12" s="1"/>
  <c r="I17" i="12" s="1"/>
  <c r="K16" i="12"/>
  <c r="D16" i="12"/>
  <c r="E16" i="12" s="1"/>
  <c r="K15" i="12"/>
  <c r="D15" i="12"/>
  <c r="E15" i="12" s="1"/>
  <c r="K14" i="12"/>
  <c r="D14" i="12"/>
  <c r="E14" i="12" s="1"/>
  <c r="K13" i="12"/>
  <c r="D13" i="12"/>
  <c r="E13" i="12" s="1"/>
  <c r="F13" i="12" s="1"/>
  <c r="I13" i="12" s="1"/>
  <c r="K12" i="12"/>
  <c r="D12" i="12"/>
  <c r="E12" i="12" s="1"/>
  <c r="K11" i="12"/>
  <c r="D11" i="12"/>
  <c r="E11" i="12" s="1"/>
  <c r="K10" i="12"/>
  <c r="D10" i="12"/>
  <c r="E10" i="12" s="1"/>
  <c r="K9" i="12"/>
  <c r="D9" i="12"/>
  <c r="E9" i="12" s="1"/>
  <c r="K8" i="12"/>
  <c r="D8" i="12"/>
  <c r="E8" i="12" s="1"/>
  <c r="F8" i="12" s="1"/>
  <c r="I8" i="12" s="1"/>
  <c r="K7" i="12"/>
  <c r="D7" i="12"/>
  <c r="E7" i="12" s="1"/>
  <c r="F7" i="12" s="1"/>
  <c r="K6" i="12"/>
  <c r="D6" i="12"/>
  <c r="E6" i="12" s="1"/>
  <c r="K5" i="12"/>
  <c r="D5" i="12"/>
  <c r="E5" i="12" s="1"/>
  <c r="K4" i="12"/>
  <c r="D4" i="12"/>
  <c r="E4" i="12" s="1"/>
  <c r="F4" i="12" s="1"/>
  <c r="I4" i="12" s="1"/>
  <c r="I7" i="12" l="1"/>
  <c r="G7" i="12"/>
  <c r="H7" i="12" s="1"/>
  <c r="O7" i="12" s="1"/>
  <c r="G4" i="12"/>
  <c r="H4" i="12" s="1"/>
  <c r="O4" i="12" s="1"/>
  <c r="F5" i="12"/>
  <c r="I5" i="12" s="1"/>
  <c r="G8" i="12"/>
  <c r="H8" i="12" s="1"/>
  <c r="O8" i="12" s="1"/>
  <c r="F9" i="12"/>
  <c r="I9" i="12" s="1"/>
  <c r="F12" i="12"/>
  <c r="I12" i="12" s="1"/>
  <c r="F16" i="12"/>
  <c r="I16" i="12" s="1"/>
  <c r="F20" i="12"/>
  <c r="I20" i="12" s="1"/>
  <c r="F6" i="12"/>
  <c r="I6" i="12" s="1"/>
  <c r="F10" i="12"/>
  <c r="I10" i="12" s="1"/>
  <c r="F11" i="12"/>
  <c r="I11" i="12" s="1"/>
  <c r="F15" i="12"/>
  <c r="I15" i="12" s="1"/>
  <c r="F19" i="12"/>
  <c r="I19" i="12" s="1"/>
  <c r="E23" i="12"/>
  <c r="G13" i="12"/>
  <c r="H13" i="12" s="1"/>
  <c r="O13" i="12" s="1"/>
  <c r="F14" i="12"/>
  <c r="I14" i="12" s="1"/>
  <c r="G17" i="12"/>
  <c r="H17" i="12" s="1"/>
  <c r="O17" i="12" s="1"/>
  <c r="F18" i="12"/>
  <c r="I18" i="12" s="1"/>
  <c r="G21" i="12"/>
  <c r="H21" i="12" s="1"/>
  <c r="O21" i="12" s="1"/>
  <c r="D22" i="12"/>
  <c r="G14" i="12" l="1"/>
  <c r="H14" i="12" s="1"/>
  <c r="O14" i="12" s="1"/>
  <c r="G16" i="12"/>
  <c r="H16" i="12" s="1"/>
  <c r="O16" i="12" s="1"/>
  <c r="G15" i="12"/>
  <c r="H15" i="12" s="1"/>
  <c r="O15" i="12" s="1"/>
  <c r="F23" i="12"/>
  <c r="I23" i="12" s="1"/>
  <c r="G12" i="12"/>
  <c r="H12" i="12" s="1"/>
  <c r="O12" i="12" s="1"/>
  <c r="G19" i="12"/>
  <c r="H19" i="12" s="1"/>
  <c r="O19" i="12" s="1"/>
  <c r="G11" i="12"/>
  <c r="H11" i="12" s="1"/>
  <c r="O11" i="12" s="1"/>
  <c r="G6" i="12"/>
  <c r="H6" i="12" s="1"/>
  <c r="O6" i="12" s="1"/>
  <c r="G5" i="12"/>
  <c r="H5" i="12" s="1"/>
  <c r="O5" i="12" s="1"/>
  <c r="G18" i="12"/>
  <c r="H18" i="12" s="1"/>
  <c r="O18" i="12" s="1"/>
  <c r="G20" i="12"/>
  <c r="H20" i="12" s="1"/>
  <c r="O20" i="12" s="1"/>
  <c r="G9" i="12"/>
  <c r="H9" i="12" s="1"/>
  <c r="O9" i="12" s="1"/>
  <c r="G10" i="12"/>
  <c r="H10" i="12" s="1"/>
  <c r="O10" i="12" s="1"/>
  <c r="G23" i="12" l="1"/>
  <c r="H23" i="12" s="1"/>
  <c r="O23" i="12" s="1"/>
  <c r="O24" i="12" l="1"/>
  <c r="O25" i="12" s="1"/>
  <c r="G293" i="8" l="1"/>
  <c r="F246" i="8"/>
  <c r="F240" i="8"/>
  <c r="F239" i="8"/>
  <c r="F238" i="8"/>
  <c r="H183" i="8"/>
  <c r="H182" i="8"/>
  <c r="H178" i="8"/>
  <c r="H176" i="8"/>
  <c r="I160" i="8"/>
  <c r="I109" i="8"/>
  <c r="H106" i="8"/>
  <c r="G88" i="8"/>
  <c r="E88" i="8"/>
  <c r="I68" i="8"/>
  <c r="I69" i="8" s="1"/>
  <c r="H45" i="8"/>
  <c r="H46" i="8" s="1"/>
  <c r="F286" i="8" s="1"/>
  <c r="F287" i="8" s="1"/>
  <c r="H42" i="8"/>
  <c r="H43" i="8" s="1"/>
  <c r="F283" i="8" s="1"/>
  <c r="F284" i="8" s="1"/>
  <c r="H37" i="8"/>
  <c r="F278" i="8" s="1"/>
  <c r="H34" i="8"/>
  <c r="F275" i="8" s="1"/>
  <c r="H33" i="8"/>
  <c r="F274" i="8" s="1"/>
  <c r="H31" i="8"/>
  <c r="F272" i="8" s="1"/>
  <c r="H26" i="8"/>
  <c r="F267" i="8" s="1"/>
  <c r="H23" i="8"/>
  <c r="F264" i="8" s="1"/>
  <c r="H22" i="8"/>
  <c r="I100" i="8" l="1"/>
  <c r="H191" i="8"/>
  <c r="I105" i="8"/>
  <c r="I71" i="8"/>
  <c r="B139" i="8" s="1"/>
  <c r="H88" i="8"/>
  <c r="H94" i="8" s="1"/>
  <c r="F263" i="8"/>
  <c r="I200" i="8" l="1"/>
  <c r="I114" i="8"/>
  <c r="I122" i="8" s="1"/>
  <c r="I79" i="8"/>
  <c r="I130" i="8"/>
  <c r="I131" i="8" s="1"/>
  <c r="I78" i="8"/>
  <c r="I80" i="8" l="1"/>
  <c r="I90" i="8" s="1"/>
  <c r="I129" i="8"/>
  <c r="I132" i="8"/>
  <c r="I127" i="8"/>
  <c r="I128" i="8" s="1"/>
  <c r="I120" i="8"/>
  <c r="I86" i="8" l="1"/>
  <c r="I88" i="8"/>
  <c r="I91" i="8"/>
  <c r="I92" i="8"/>
  <c r="I89" i="8"/>
  <c r="I87" i="8"/>
  <c r="I93" i="8"/>
  <c r="I133" i="8"/>
  <c r="I94" i="8" l="1"/>
  <c r="I121" i="8" s="1"/>
  <c r="I123" i="8" s="1"/>
  <c r="E139" i="8" s="1"/>
  <c r="I202" i="8"/>
  <c r="H139" i="8"/>
  <c r="I148" i="8" l="1"/>
  <c r="I139" i="8"/>
  <c r="I201" i="8"/>
  <c r="I144" i="8" l="1"/>
  <c r="I147" i="8"/>
  <c r="I140" i="8"/>
  <c r="I149" i="8"/>
  <c r="I146" i="8"/>
  <c r="I145" i="8"/>
  <c r="I150" i="8" l="1"/>
  <c r="I159" i="8" s="1"/>
  <c r="I161" i="8" s="1"/>
  <c r="I203" i="8" l="1"/>
  <c r="F104" i="6" l="1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B214" i="1"/>
  <c r="D213" i="1"/>
  <c r="D214" i="1" s="1"/>
  <c r="C21" i="2" s="1"/>
  <c r="B209" i="1"/>
  <c r="D208" i="1"/>
  <c r="D207" i="1"/>
  <c r="D206" i="1"/>
  <c r="D209" i="1" s="1"/>
  <c r="C20" i="2" s="1"/>
  <c r="B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B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78" i="1" s="1"/>
  <c r="C18" i="2" s="1"/>
  <c r="B156" i="1"/>
  <c r="D155" i="1"/>
  <c r="D154" i="1"/>
  <c r="D153" i="1"/>
  <c r="D152" i="1"/>
  <c r="D151" i="1"/>
  <c r="D150" i="1"/>
  <c r="D149" i="1"/>
  <c r="D148" i="1"/>
  <c r="D147" i="1"/>
  <c r="B143" i="1"/>
  <c r="D142" i="1"/>
  <c r="D141" i="1"/>
  <c r="D140" i="1"/>
  <c r="D139" i="1"/>
  <c r="D138" i="1"/>
  <c r="D137" i="1"/>
  <c r="D136" i="1"/>
  <c r="D135" i="1"/>
  <c r="D134" i="1"/>
  <c r="D133" i="1"/>
  <c r="D132" i="1"/>
  <c r="D143" i="1" s="1"/>
  <c r="C14" i="2" s="1"/>
  <c r="B129" i="1"/>
  <c r="D128" i="1"/>
  <c r="D127" i="1"/>
  <c r="D126" i="1"/>
  <c r="D125" i="1"/>
  <c r="D124" i="1"/>
  <c r="D123" i="1"/>
  <c r="D122" i="1"/>
  <c r="D121" i="1"/>
  <c r="B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18" i="1" s="1"/>
  <c r="C11" i="2" s="1"/>
  <c r="D102" i="1"/>
  <c r="D101" i="1"/>
  <c r="B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97" i="1" s="1"/>
  <c r="C10" i="2" s="1"/>
  <c r="B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75" i="1" s="1"/>
  <c r="C9" i="2" s="1"/>
  <c r="D59" i="1"/>
  <c r="D58" i="1"/>
  <c r="D57" i="1"/>
  <c r="B54" i="1"/>
  <c r="D53" i="1"/>
  <c r="D52" i="1"/>
  <c r="D51" i="1"/>
  <c r="D50" i="1"/>
  <c r="D49" i="1"/>
  <c r="D48" i="1"/>
  <c r="D47" i="1"/>
  <c r="D54" i="1" s="1"/>
  <c r="C8" i="2" s="1"/>
  <c r="B44" i="1"/>
  <c r="D43" i="1"/>
  <c r="D42" i="1"/>
  <c r="D41" i="1"/>
  <c r="D40" i="1"/>
  <c r="D39" i="1"/>
  <c r="D38" i="1"/>
  <c r="D37" i="1"/>
  <c r="D44" i="1" s="1"/>
  <c r="C7" i="2" s="1"/>
  <c r="B34" i="1"/>
  <c r="D33" i="1"/>
  <c r="D34" i="1" s="1"/>
  <c r="C6" i="2" s="1"/>
  <c r="B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0" i="1" s="1"/>
  <c r="C5" i="2" s="1"/>
  <c r="D10" i="1"/>
  <c r="D9" i="1"/>
  <c r="D6" i="1"/>
  <c r="C4" i="2" s="1"/>
  <c r="B6" i="1"/>
  <c r="D5" i="1"/>
  <c r="C149" i="6" l="1"/>
  <c r="H20" i="8"/>
  <c r="F261" i="8" s="1"/>
  <c r="H21" i="8"/>
  <c r="F262" i="8" s="1"/>
  <c r="H38" i="8"/>
  <c r="H32" i="8"/>
  <c r="F273" i="8" s="1"/>
  <c r="H29" i="8"/>
  <c r="H25" i="8"/>
  <c r="F266" i="8" s="1"/>
  <c r="H24" i="8"/>
  <c r="D129" i="1"/>
  <c r="C12" i="2" s="1"/>
  <c r="D156" i="1"/>
  <c r="C17" i="2" s="1"/>
  <c r="D202" i="1"/>
  <c r="C19" i="2" s="1"/>
  <c r="C153" i="6" l="1"/>
  <c r="E153" i="6"/>
  <c r="G153" i="6" s="1"/>
  <c r="I165" i="8" s="1"/>
  <c r="E149" i="6"/>
  <c r="G149" i="6" s="1"/>
  <c r="I167" i="8" s="1"/>
  <c r="H30" i="8"/>
  <c r="F271" i="8" s="1"/>
  <c r="H39" i="8"/>
  <c r="F280" i="8" s="1"/>
  <c r="F279" i="8"/>
  <c r="F270" i="8"/>
  <c r="F265" i="8"/>
  <c r="H27" i="8"/>
  <c r="C146" i="6"/>
  <c r="E146" i="6"/>
  <c r="G146" i="6" s="1"/>
  <c r="C151" i="6"/>
  <c r="E151" i="6"/>
  <c r="G151" i="6" s="1"/>
  <c r="I168" i="8" s="1"/>
  <c r="C145" i="6"/>
  <c r="E145" i="6"/>
  <c r="C22" i="2"/>
  <c r="C147" i="6" l="1"/>
  <c r="C155" i="6" s="1"/>
  <c r="H35" i="8"/>
  <c r="F276" i="8" s="1"/>
  <c r="H40" i="8"/>
  <c r="F281" i="8" s="1"/>
  <c r="F268" i="8"/>
  <c r="E147" i="6"/>
  <c r="E155" i="6" s="1"/>
  <c r="F289" i="8" l="1"/>
  <c r="H51" i="8"/>
  <c r="G147" i="6" l="1"/>
  <c r="I166" i="8" s="1"/>
  <c r="I169" i="8" s="1"/>
  <c r="I204" i="8" s="1"/>
  <c r="G155" i="6" l="1"/>
  <c r="I205" i="8" l="1"/>
  <c r="I175" i="8"/>
  <c r="I176" i="8" s="1"/>
  <c r="I177" i="8" s="1"/>
  <c r="I178" i="8" s="1"/>
  <c r="I179" i="8" s="1"/>
  <c r="I183" i="8" l="1"/>
  <c r="I188" i="8"/>
  <c r="I182" i="8"/>
  <c r="I189" i="8" l="1"/>
  <c r="I206" i="8" s="1"/>
  <c r="I207" i="8" s="1"/>
  <c r="G246" i="8" s="1"/>
  <c r="H246" i="8" s="1"/>
  <c r="D283" i="8" s="1"/>
  <c r="G283" i="8" s="1"/>
  <c r="G284" i="8" s="1"/>
  <c r="I191" i="8"/>
  <c r="E219" i="8" l="1"/>
  <c r="G219" i="8" s="1"/>
  <c r="D266" i="8" s="1"/>
  <c r="G266" i="8" s="1"/>
  <c r="E218" i="8"/>
  <c r="G218" i="8" s="1"/>
  <c r="D265" i="8" s="1"/>
  <c r="G265" i="8" s="1"/>
  <c r="G238" i="8"/>
  <c r="H238" i="8" s="1"/>
  <c r="D278" i="8" s="1"/>
  <c r="G278" i="8" s="1"/>
  <c r="E228" i="8"/>
  <c r="G228" i="8" s="1"/>
  <c r="D272" i="8" s="1"/>
  <c r="G272" i="8" s="1"/>
  <c r="E217" i="8"/>
  <c r="G217" i="8" s="1"/>
  <c r="D264" i="8" s="1"/>
  <c r="G264" i="8" s="1"/>
  <c r="E227" i="8"/>
  <c r="G227" i="8" s="1"/>
  <c r="D271" i="8" s="1"/>
  <c r="G271" i="8" s="1"/>
  <c r="G240" i="8"/>
  <c r="H240" i="8" s="1"/>
  <c r="D280" i="8" s="1"/>
  <c r="G280" i="8" s="1"/>
  <c r="E229" i="8"/>
  <c r="G229" i="8" s="1"/>
  <c r="D273" i="8" s="1"/>
  <c r="G273" i="8" s="1"/>
  <c r="E220" i="8"/>
  <c r="G220" i="8" s="1"/>
  <c r="D267" i="8" s="1"/>
  <c r="G267" i="8" s="1"/>
  <c r="E226" i="8"/>
  <c r="G226" i="8" s="1"/>
  <c r="D270" i="8" s="1"/>
  <c r="G270" i="8" s="1"/>
  <c r="E230" i="8"/>
  <c r="G230" i="8" s="1"/>
  <c r="D274" i="8" s="1"/>
  <c r="G274" i="8" s="1"/>
  <c r="E214" i="8"/>
  <c r="G214" i="8" s="1"/>
  <c r="D261" i="8" s="1"/>
  <c r="G261" i="8" s="1"/>
  <c r="E231" i="8"/>
  <c r="G231" i="8" s="1"/>
  <c r="D275" i="8" s="1"/>
  <c r="G275" i="8" s="1"/>
  <c r="E215" i="8"/>
  <c r="G215" i="8" s="1"/>
  <c r="D262" i="8" s="1"/>
  <c r="G262" i="8" s="1"/>
  <c r="E216" i="8"/>
  <c r="G216" i="8" s="1"/>
  <c r="D263" i="8" s="1"/>
  <c r="G263" i="8" s="1"/>
  <c r="E253" i="8"/>
  <c r="G253" i="8" s="1"/>
  <c r="D286" i="8" s="1"/>
  <c r="G286" i="8" s="1"/>
  <c r="G287" i="8" s="1"/>
  <c r="G239" i="8"/>
  <c r="H239" i="8" s="1"/>
  <c r="D279" i="8" s="1"/>
  <c r="G279" i="8" s="1"/>
  <c r="G281" i="8" l="1"/>
  <c r="G276" i="8"/>
  <c r="G268" i="8"/>
  <c r="G289" i="8" l="1"/>
  <c r="I291" i="8" s="1"/>
  <c r="D11" i="13" s="1"/>
  <c r="D12" i="13" l="1"/>
  <c r="F11" i="13"/>
  <c r="F12" i="13" s="1"/>
  <c r="G295" i="8"/>
</calcChain>
</file>

<file path=xl/sharedStrings.xml><?xml version="1.0" encoding="utf-8"?>
<sst xmlns="http://schemas.openxmlformats.org/spreadsheetml/2006/main" count="1141" uniqueCount="600">
  <si>
    <t>ÁREAS AJUSTADAS</t>
  </si>
  <si>
    <t>ÁREAS INTERNAS</t>
  </si>
  <si>
    <t>Descrição – Tipo de Área: Interna, Piso Acarpetado</t>
  </si>
  <si>
    <t>m2</t>
  </si>
  <si>
    <t>Frequência Semanal</t>
  </si>
  <si>
    <t>Área Ajustada a Frequência Semanal</t>
  </si>
  <si>
    <t>Anfiteatro - Auditório e salas de permanência</t>
  </si>
  <si>
    <t>Total</t>
  </si>
  <si>
    <t>Descrição – Tipo de Área: Interna, Piso Frio</t>
  </si>
  <si>
    <t>Pavilhão Central - Térreo - Labs e salas administrativas</t>
  </si>
  <si>
    <t>Pavilhão Central - 2º Piso - Labs e salas administrativas</t>
  </si>
  <si>
    <t>Pavilhão Central - 3º Piso - Salas administrativas</t>
  </si>
  <si>
    <t>Pavilhão 01 - Biblioteca</t>
  </si>
  <si>
    <t>Pavilhão 02 - Em reforma</t>
  </si>
  <si>
    <t>Pavilhão 03 - Labs e salas de aula</t>
  </si>
  <si>
    <t>Pavilhão 04 - Salas de aula</t>
  </si>
  <si>
    <t>Pavilhão 05 - Labs e salas de aula</t>
  </si>
  <si>
    <t>Pavilhão 06 - Labs e salas de aula</t>
  </si>
  <si>
    <t>Pavilhão 07 - Salas de permanência</t>
  </si>
  <si>
    <t>Pavilhão 08 - Labs, Almoxarifado e salas de permanência</t>
  </si>
  <si>
    <t>Pavilhão 09 - Labs e salas de aula</t>
  </si>
  <si>
    <t>Pavilhão 10 - Labs e sala de permanência</t>
  </si>
  <si>
    <t>Pavilhão 11 - Labs, oficinas, salas de aula e permanência</t>
  </si>
  <si>
    <t>Pavilhão 12 - Labs, salas de aula e permanência</t>
  </si>
  <si>
    <t>Pavilhão 13 - Labs e oficinas</t>
  </si>
  <si>
    <t>Prédio SARACAV - Labs. e sala de aula</t>
  </si>
  <si>
    <t>Ginásio - Quadra poliesportiva, salas de permanência</t>
  </si>
  <si>
    <t>Bar/Centro de Convivência - Refeitório</t>
  </si>
  <si>
    <t>Containers - Labs e oficinas</t>
  </si>
  <si>
    <t>Descrição – Tipo de Área: Interna, Laboratórios</t>
  </si>
  <si>
    <t>Descrição – Tipo de Área: Interna, Almoxarifados/Galpões</t>
  </si>
  <si>
    <t>Descrição – Tipo de Área: Interna, Oficinas</t>
  </si>
  <si>
    <t>Descrição – Tipo de Área: Interna, Áreas com espaços livres - saguão, hall e salão</t>
  </si>
  <si>
    <t>Descrição – Tipo de Área: Interna, Banheiros</t>
  </si>
  <si>
    <t>ÁREAS EXTERNAS</t>
  </si>
  <si>
    <t>Descrição – Tipo de Área: Externa, Pisos pavimentados adjacentes / contíguos às edificações</t>
  </si>
  <si>
    <t>Descrição – Tipo de Área: Externa, Varrição de passeios e arruamentos</t>
  </si>
  <si>
    <t>Descrição – Tipo de Área: Externa, Pátios e áreas verdes com média frequência</t>
  </si>
  <si>
    <t>ESQUADRIAS EXTERNAS</t>
  </si>
  <si>
    <t>Descrição – Tipo de Área: Esquadrias Externas, Face externa com exposição a situação de risco</t>
  </si>
  <si>
    <t>Frequência Quinzenal</t>
  </si>
  <si>
    <t>Área Ajustada a Frequência Quizenal</t>
  </si>
  <si>
    <t>Descrição – Tipo de Área: Esquadrias Externas, Face externa sem exposição a situação de risco</t>
  </si>
  <si>
    <t>Descrição – Tipo de Área: Esquadrias Externas, Face interna</t>
  </si>
  <si>
    <t>FACHADAS ENVIDRAÇADAS</t>
  </si>
  <si>
    <t>Descrição – Tipo de Área: Fachadas Envidraçadas</t>
  </si>
  <si>
    <t>Frequência Semestral</t>
  </si>
  <si>
    <t>Área Ajustada a Frequência Semestral</t>
  </si>
  <si>
    <t>ÁREAS HOSPITALARES E ASSEMELHADAS</t>
  </si>
  <si>
    <t>Descrição – Tipo de Área: Hospitalares e assemelhadas</t>
  </si>
  <si>
    <t>ÁREAS TOTAIS</t>
  </si>
  <si>
    <t>TIPO DE ÁREA</t>
  </si>
  <si>
    <t>Tipo de piso</t>
  </si>
  <si>
    <t>Pisos acarpetados</t>
  </si>
  <si>
    <t>Pisos frios</t>
  </si>
  <si>
    <t>Laboratórios</t>
  </si>
  <si>
    <t>Almoxarifados/galpões</t>
  </si>
  <si>
    <t>Oficinas</t>
  </si>
  <si>
    <t>Áreas com espaços livres - saguão, hall e salão</t>
  </si>
  <si>
    <t>Banheiros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</si>
  <si>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</si>
  <si>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</si>
  <si>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</si>
  <si>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</si>
  <si>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</si>
  <si>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</si>
  <si>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Face externa com exposição a situação de risco</t>
  </si>
  <si>
    <t>Face externa sem exposição a situação de risco</t>
  </si>
  <si>
    <t>Face interna</t>
  </si>
  <si>
    <t>Fachadas envidraçadas</t>
  </si>
  <si>
    <t>Áreas hospitalares e assemelhadas</t>
  </si>
  <si>
    <t>TOTAL</t>
  </si>
  <si>
    <t>tipo de piso</t>
  </si>
  <si>
    <t>Produtividade (m² /serv x mês) de 44h semanais (8h diárias)</t>
  </si>
  <si>
    <t>área (m²) a ser contratada PREENCHER</t>
  </si>
  <si>
    <t>(1) número de empregados necessários para a execução da tarefa</t>
  </si>
  <si>
    <t>(2) exclusão dos empregados que cumprem integralmente a jornada diária</t>
  </si>
  <si>
    <t>(3) empregado que cumprirá jornada diária menor</t>
  </si>
  <si>
    <t>(4) jornada diária em minutos do empregado que completará a execução da tarefa</t>
  </si>
  <si>
    <t>Número de empregados que a contratada deverá alocar para a prestacão dos serviços</t>
  </si>
  <si>
    <t>pisos acarpetados</t>
  </si>
  <si>
    <t>empregados com jornada diária de</t>
  </si>
  <si>
    <t>horas e mais</t>
  </si>
  <si>
    <t>empregado com jornada diária de</t>
  </si>
  <si>
    <t>minutos.</t>
  </si>
  <si>
    <t>pisos frios</t>
  </si>
  <si>
    <t>laboratórios</t>
  </si>
  <si>
    <t>almoxarifados/galpões</t>
  </si>
  <si>
    <t>oficinas</t>
  </si>
  <si>
    <t>áreas com espaços livres - saguão, hall e salão</t>
  </si>
  <si>
    <t>banheiros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</si>
  <si>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</si>
  <si>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</si>
  <si>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</si>
  <si>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</si>
  <si>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</si>
  <si>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</si>
  <si>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face externa com exposição a situação de risco</t>
  </si>
  <si>
    <t>face externa sem exposição a situação de risco</t>
  </si>
  <si>
    <t>face interna</t>
  </si>
  <si>
    <t>fachadas envidraçadas</t>
  </si>
  <si>
    <t>áreas hospitalares e assemelhadas</t>
  </si>
  <si>
    <t>HORAS</t>
  </si>
  <si>
    <t>JORNADA DIÁRIA (HORAS)</t>
  </si>
  <si>
    <t>horas</t>
  </si>
  <si>
    <t>44 h/sem</t>
  </si>
  <si>
    <t>Cálculo total do nº de serventes = (preço mensal dos serviços / valor do homem-mês) = R$ ----------- / ---------- = ----- = -------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</si>
  <si>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</si>
  <si>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</si>
  <si>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t>3) A produtividade da esquadria externa deve ser calculada considerando a metodologia de trabalho que, no Anexo VII-D da IN 5/17 que prevê incidência quinzenal para a limpeza desse tipo de área.</t>
  </si>
  <si>
    <t>4) A produtividade da fachada envidraçada deve ser calculada considerando a metodologia de trabalho que, no Anexo VII-D da IN 5/17 que prevê incidência semestral para a limpeza desse tipo de área.</t>
  </si>
  <si>
    <t>Observações:</t>
  </si>
  <si>
    <t>Deve ser preenchida uma planilha para cada local de prestação de serviços (ISSQN, VT, VA, Insalubridade/periculosidade e horários poderão ser diferenciados, além da quantidade de serventes)</t>
  </si>
  <si>
    <t>Preencher somente as células das seguintes colunas: 3(produtividade) e 4 (área)</t>
  </si>
  <si>
    <t>Se as áreas se localizarem em prédios/locais diferentes, cada linha trará o seu próprio totalizador.</t>
  </si>
  <si>
    <t>Em destaque o número de empregados que a contratada deve disponibilizar para a prestação dos serviços tarefa a tarefa, em cada tipo de área, com suas respectivas jornadas diárias.</t>
  </si>
  <si>
    <t>Área Interna 1ª linha - Metodologia - Coluna 5 = (2.000 / 800) = 2,5 empregados Coluna 8 = 0,5 x 8 horas x 60 minutos = 240 minutos</t>
  </si>
  <si>
    <t>Esquadrias Externas 1ª linha - Metodologia - Coluna 5 = (100/130)*(16/188,76) = 0,06520286 empregados Coluna 8 = 0,06520286 x 8 horas x 60 minutos = 31,2973739547 minutos (deveria ser semestral e não quinzenal)</t>
  </si>
  <si>
    <t>Fachadas Envidraçadas - Metodologia - Coluna 5 = (70/130)*(8/1132,6) = 0,003803366 Coluna 8 = 0,003803366 x 8 horas x 60 minutos = 1,8256156699 minutos</t>
  </si>
  <si>
    <t>Cálculo total do nº de serventes = (preço mensal dos serviços / valor do homem-mês)</t>
  </si>
  <si>
    <t>Planilha desenvolvida por Diógenes Felipe Fuques Carvalho (DRF-Santa Maria/RS) e José Hélio Justo (Superintendência da RFB da 10ª RF / Porto Alegre)</t>
  </si>
  <si>
    <t>TOTAL DA ÁREA INTERNA</t>
  </si>
  <si>
    <t>TOTAL DA ÁREA EXTERNA</t>
  </si>
  <si>
    <t>TOTAL DA ESQUADRIA EXTERNA</t>
  </si>
  <si>
    <t>TOTAL DA FACHADA ENVIDRAÇADA</t>
  </si>
  <si>
    <t>TOTAL DAS ÁREAS HOSPITALES E ASSEMELHADAS</t>
  </si>
  <si>
    <t>TOTAIS</t>
  </si>
  <si>
    <t>INSUMOS DIVERSOS</t>
  </si>
  <si>
    <t>item</t>
  </si>
  <si>
    <t>Unidade</t>
  </si>
  <si>
    <t>Quantidade Mensal</t>
  </si>
  <si>
    <t>Quantidade Anual</t>
  </si>
  <si>
    <t>Valor Unitário</t>
  </si>
  <si>
    <t>Custo Anual</t>
  </si>
  <si>
    <t>Álcool líquido 70º. Embalagem de 1 litro</t>
  </si>
  <si>
    <t>litro</t>
  </si>
  <si>
    <t>Alvejante sanitário. Bombona de 5 litros.</t>
  </si>
  <si>
    <t>galão</t>
  </si>
  <si>
    <t>Desinfetante líquido aromatizado. Bombona de 5 litros.</t>
  </si>
  <si>
    <t>Desinfetante líquido aromatizado. Bombona de 5 litros.(concentrado)</t>
  </si>
  <si>
    <t>Detergente líquido neutro. Embalagem 500 ml.</t>
  </si>
  <si>
    <t>500 ml</t>
  </si>
  <si>
    <t>Detergente multi-uso a ser usado em pisos. Bombona de 5L</t>
  </si>
  <si>
    <t>Saponáceo líquido. Embalagem de 500 ml.</t>
  </si>
  <si>
    <t>Limpador multiuso. Ref: Veja 500ml</t>
  </si>
  <si>
    <t>Limpa carpete 30ML</t>
  </si>
  <si>
    <t>30ml</t>
  </si>
  <si>
    <t>Desodorizador Sanitário - Pastilha Adesiva para vaso sanitário</t>
  </si>
  <si>
    <t>unidade</t>
  </si>
  <si>
    <t>Removedor de cera. Bombona 5 litros.</t>
  </si>
  <si>
    <t>Cera líquida incolor. Bombona de 5 litros.</t>
  </si>
  <si>
    <t>Lustra móveis. Embalagem 200 ml.</t>
  </si>
  <si>
    <t>Limpa vidros. Frasco de 500 ml.</t>
  </si>
  <si>
    <t>Odorizador de ambiente. Frasco de 360 ml.</t>
  </si>
  <si>
    <t>Polidor p/ metal – embalagem com 200 ml</t>
  </si>
  <si>
    <t>Inseticida em aerossol – embalagem com 300 ml</t>
  </si>
  <si>
    <t>Herbicida veneno mata mato - 1 litro</t>
  </si>
  <si>
    <t>Palha de aço nº 2</t>
  </si>
  <si>
    <t>Palha de aço fina nº 1</t>
  </si>
  <si>
    <t>Esponja dupla face para limpeza. Cores diversas</t>
  </si>
  <si>
    <t>Flanela para limpeza de algodão. Cores diversas</t>
  </si>
  <si>
    <t>Saco alvejado para limpeza – tamanho 60cmx80cm liso.</t>
  </si>
  <si>
    <t>Refil MOP úmido algodão compatível com o cabo.</t>
  </si>
  <si>
    <t>Fibra média verde (Para suporte tipo rodo)</t>
  </si>
  <si>
    <t>Fibra redonda média branca (para enceradeira)</t>
  </si>
  <si>
    <t>Fibra redonda média verde (para enceradeira)</t>
  </si>
  <si>
    <t>Saco para lixo - 200 litros - Azul - pacote com 10 unidades</t>
  </si>
  <si>
    <t>Saco para lixo -200 litros - Preto - pacote com 10 unidades</t>
  </si>
  <si>
    <t>Saco para lixo - 100 litros - Azul - pacote com 100 unidades</t>
  </si>
  <si>
    <t>Saco para lixo -100 litros - Preto - pacote com 100 unidades</t>
  </si>
  <si>
    <t>Saco para lixo - 60 litros - Azul - pacote com 100 unidades</t>
  </si>
  <si>
    <t>Saco para lixo - 60 litros - Preto - pacote com 100 unidades</t>
  </si>
  <si>
    <t>Saco para lixo - 40 litros - Azul - pacote com 100 unidades</t>
  </si>
  <si>
    <t>Saco para lixo - 40 litros - Preto - pacote com 100 unidades</t>
  </si>
  <si>
    <t>Saco para lixo - 20 litros - Azul - pacote com 100 unidades</t>
  </si>
  <si>
    <t>Saco para lixo - 20 litros - Preto - pacote com 100 unidades</t>
  </si>
  <si>
    <t>Fio de nylon quadrado 3.0mm - bobina 300m - p/ roçadeira.</t>
  </si>
  <si>
    <t>bobina</t>
  </si>
  <si>
    <t>Gasolina para Roçadeira</t>
  </si>
  <si>
    <t>Óleo dois tempos para roçadeira</t>
  </si>
  <si>
    <t>500ml</t>
  </si>
  <si>
    <t>CUSTO ANUAL DOS SANEANTES DOMISSANITÁRIOS</t>
  </si>
  <si>
    <t>CUSTO MENSAL DOS SANEANTES DOMISSANITÁRIOS</t>
  </si>
  <si>
    <r>
      <rPr>
        <b/>
        <sz val="15"/>
        <color rgb="FF000080"/>
        <rFont val="Arial"/>
        <family val="2"/>
      </rPr>
      <t xml:space="preserve">MATERIAIS DE LIMPEZA  COMPLEMENTARES – 
 </t>
    </r>
    <r>
      <rPr>
        <b/>
        <sz val="12"/>
        <color rgb="FF000080"/>
        <rFont val="Arial"/>
        <family val="2"/>
      </rPr>
      <t>Disponibilidade no início do contrato com reposição quando precisar</t>
    </r>
  </si>
  <si>
    <t>Quantidade a disponibilizar</t>
  </si>
  <si>
    <t>Vida Útil (em meses)</t>
  </si>
  <si>
    <t>Escova para sanitário c/ copo</t>
  </si>
  <si>
    <t>Balde plástico 15 litros, unidade.</t>
  </si>
  <si>
    <t>Mangueira plástica ¾ com 50m e adaptadores</t>
  </si>
  <si>
    <t>Espanador</t>
  </si>
  <si>
    <t>Pá de recolhimento de lixo com cabo longo</t>
  </si>
  <si>
    <t>Espatula de aço</t>
  </si>
  <si>
    <t>Desentupidor de pia.</t>
  </si>
  <si>
    <t>Placa sinalizadora: Cuidado piso molhado.</t>
  </si>
  <si>
    <t>Vassoura de nylon c/ cabo longo – 120 cm - unidade padrão de qualidade BETANIN</t>
  </si>
  <si>
    <t>Vassoura de jardim metálica, regulável, 22 dentes/palhetas em aço, com cabo</t>
  </si>
  <si>
    <t>Vassoura tipo gari</t>
  </si>
  <si>
    <t>Vasculhador para teto / vassoura limpa teto tipo girafa com cabo</t>
  </si>
  <si>
    <t>Rodo de madeira com espuma 30 cm com cabo de madeira 120 cm</t>
  </si>
  <si>
    <t>Rodo Twister C/cabo Em Aluminio - 48 cm</t>
  </si>
  <si>
    <t>Extensão elétrica com cabo pp 3x2,5mm com 50 m de comprimento (com suporte)</t>
  </si>
  <si>
    <t>Desentupidor tufão de 10m.</t>
  </si>
  <si>
    <t>Desentupidor grande para sanitário</t>
  </si>
  <si>
    <t>Suporte LT Euro Completo+Fibra VD</t>
  </si>
  <si>
    <t>Balde para MOP completo (tipo bruxa)</t>
  </si>
  <si>
    <t>Mop para Pó Profissional Completo 60cm CJ60P 1 UN Bralimpia</t>
  </si>
  <si>
    <t>Enxada</t>
  </si>
  <si>
    <t>Rastilho</t>
  </si>
  <si>
    <t>Ancinho</t>
  </si>
  <si>
    <t>Pá quadrada ajuntadeira de uso geral</t>
  </si>
  <si>
    <t>Carretel de fio de nylon para roçadeira</t>
  </si>
  <si>
    <t>Escova de aço para roçadeira profissional</t>
  </si>
  <si>
    <t>Tesoura para Grama 12 Pol. - TRAPP-TS-1107</t>
  </si>
  <si>
    <t>Tesoura de Poda Forjada 26 Pol. - CORNETA-2124000</t>
  </si>
  <si>
    <t>Serrote de Poda 12 Pol. - BEL FIX-248500</t>
  </si>
  <si>
    <t>Cone Sinalizador Branco e Laranja com 750 mm de Altura</t>
  </si>
  <si>
    <t>Filtro de água para bebedouro compativel com bebedouro da marca Libell, modelos de purificador de pressão press side e press baby.</t>
  </si>
  <si>
    <t>CUSTO ANUAL DOS UTENSÍLIOS</t>
  </si>
  <si>
    <t>CUSTO MENSAL DOS UTENSÍLIOS</t>
  </si>
  <si>
    <t>EQUIPAMENTOS</t>
  </si>
  <si>
    <t>Depreciação (em meses)</t>
  </si>
  <si>
    <t>Escada em Alumínio com 8 degraus</t>
  </si>
  <si>
    <t>Escada em Alumínio com 3 degraus</t>
  </si>
  <si>
    <t>Kit limpeza de vidro</t>
  </si>
  <si>
    <t>Lavador de alta pressão profissional 1800W - 1900Psi</t>
  </si>
  <si>
    <t>Carrinho de limpeza, com mop completo (modelo referência NYKT03 – Bralimpia)</t>
  </si>
  <si>
    <t>Relógio ponto eletrônico biométrico com software para tratamento de dados</t>
  </si>
  <si>
    <t>Roçadeira manual, tipo motor: gasolina, potência: 3,12CV/3,07HP, cortador: lâmina aço/fio nylon, 12.500RPM</t>
  </si>
  <si>
    <t>Cortador de grama a gasolina tipo carrinho c/4 rodas</t>
  </si>
  <si>
    <t>Protetor de roçagem com tela e rodizios</t>
  </si>
  <si>
    <t>Container de lixo com tampa e com rodas, capacidade de 1000 litros</t>
  </si>
  <si>
    <t>Aspirador de pó</t>
  </si>
  <si>
    <t>Maquina enceradeira industrial</t>
  </si>
  <si>
    <t>Carrinho de lixo para uso externo</t>
  </si>
  <si>
    <t>Carrinho plataforma 4 rodas (zorra)</t>
  </si>
  <si>
    <t>Carrinho de mão reforçado para uso geral</t>
  </si>
  <si>
    <t>Pulverizador agricola capacidade de 20l</t>
  </si>
  <si>
    <t>CUSTO ANUAL DOS EQUIPAMENTOS</t>
  </si>
  <si>
    <t>CUSTO MENSAL DOS EQUIPAMENTOS</t>
  </si>
  <si>
    <t xml:space="preserve"> EPI'S COLETIVOS</t>
  </si>
  <si>
    <t>Conjunto capa de chuva calça e camisa com capuz - Tam. G</t>
  </si>
  <si>
    <t>conjunto</t>
  </si>
  <si>
    <t>Luva descartável de látex. Caixa com 100un.</t>
  </si>
  <si>
    <t>Protetor Auricular tipo Concha</t>
  </si>
  <si>
    <t>Kit EPI para roçadeira, contendo 01 Boné Roçador laranja com protetor de nuca de 20cm e protetor facial em tela de nylon; 01 Protetor auricular laranja concha de 14DB; 01 Avental de Bagum branco medindo 1,10 cm de altura x 0,70cm de largura; 01 Luva de Couro Vaqueta e Nylon modelo Florestal; 01 Perneira em Couro sintético MFA na cor preta</t>
  </si>
  <si>
    <t>Cinturão de Segurança</t>
  </si>
  <si>
    <t>CUSTO ANUAL DOS  EPI'S COLETIVOS</t>
  </si>
  <si>
    <t>CUSTO MENSAL DOS EPI'S COLETIVOS</t>
  </si>
  <si>
    <t>UNIFORMES E EPI'S</t>
  </si>
  <si>
    <t>Calça jeans para o inverno operacional</t>
  </si>
  <si>
    <t>peça</t>
  </si>
  <si>
    <t>Calça sarja para o verão operacional</t>
  </si>
  <si>
    <t>Camiseta de algodão</t>
  </si>
  <si>
    <t>Camiseta de manga comprida algodão</t>
  </si>
  <si>
    <t>Moletom / Blusa de frio</t>
  </si>
  <si>
    <t>Jaqueta forrada</t>
  </si>
  <si>
    <t>Calçado fechado de segurança, impermeável e antiderrapante</t>
  </si>
  <si>
    <t>par</t>
  </si>
  <si>
    <t>Bota de borracha cano médio</t>
  </si>
  <si>
    <t>Avental com bolsos de tecido resistente ao contato com agentes químicos. Tipo bata</t>
  </si>
  <si>
    <t>Avental de PVC impermeável</t>
  </si>
  <si>
    <t>Capa de chuva</t>
  </si>
  <si>
    <t>Boné</t>
  </si>
  <si>
    <t>Luva de látex forrada com palma antiderrapante Par</t>
  </si>
  <si>
    <t>Luva de látex cano longo</t>
  </si>
  <si>
    <t>Máscara Descartável para pó</t>
  </si>
  <si>
    <t>Máscara descartável. Caixa com 100un</t>
  </si>
  <si>
    <t>Respirador Purificador</t>
  </si>
  <si>
    <t>Óculos de Proteção</t>
  </si>
  <si>
    <t>Protetor auricular</t>
  </si>
  <si>
    <t>CUSTO ANUAL DOS UNIFORMES PARA 1 SERVENTE</t>
  </si>
  <si>
    <t>CUSTO MENSAL DOS UNIFORMES PARA 1 SERVENTE</t>
  </si>
  <si>
    <t>QUADRO RESUMO</t>
  </si>
  <si>
    <t>CUSTO ANUAL</t>
  </si>
  <si>
    <t>CUSTO MENSAL</t>
  </si>
  <si>
    <t>Custo Mensal por SERVENTE</t>
  </si>
  <si>
    <t>Materiais de Limpeza – SANEANTES DOMISSANITÁRIOS</t>
  </si>
  <si>
    <t>Materiais de Limpeza – COMPLEMENTARES UTENSÍLIOS</t>
  </si>
  <si>
    <t>MATERIAIS</t>
  </si>
  <si>
    <t>EPI'S COLETIVOS</t>
  </si>
  <si>
    <t>UNIFORMES</t>
  </si>
  <si>
    <t xml:space="preserve">Quantidade da mão de obra alocada na prestação dos serviços (informação oriunda da aba 'Qtd de postos'). TOTAL DE TODOS OS POSTOS </t>
  </si>
  <si>
    <t>OBS (1): os custos totais com materiais e equipamentos são fixos, qualquer que seja a produtividade adotada pois são fixados em função da área a ser limpa e conservada e não dependem do quantitativo de mão de obra utilizada.</t>
  </si>
  <si>
    <t>OBS (2): os custos totais com uniformes dependem do número de serventes, o qual varia de acordo com a produtividade adotada.</t>
  </si>
  <si>
    <t>OBS (3): a vida útil, os quantitativos e os preços dos insumos são apenas uma simulação feita para fins didáticos, sem o caráter de estudo técnico ou qualquer métrica, portanto não devem ser copiados, mas sim ajustados à realidade de cada contrato.</t>
  </si>
  <si>
    <r>
      <rPr>
        <b/>
        <sz val="18"/>
        <color indexed="20"/>
        <rFont val="Arial"/>
        <family val="2"/>
      </rPr>
      <t xml:space="preserve">LIMPEZA - Regime de Tributação: </t>
    </r>
    <r>
      <rPr>
        <b/>
        <sz val="18"/>
        <color indexed="12"/>
        <rFont val="Arial"/>
        <family val="2"/>
      </rPr>
      <t>LUCRO REAL</t>
    </r>
  </si>
  <si>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</si>
  <si>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</si>
  <si>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</si>
  <si>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</si>
  <si>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</si>
  <si>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</si>
  <si>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</si>
  <si>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</si>
  <si>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</si>
  <si>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</si>
  <si>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</si>
  <si>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</si>
  <si>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 xml:space="preserve">Tipo de Serviço: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</si>
  <si>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</si>
  <si>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</si>
  <si>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>a) Áreas internas - Pisos acarpetados</t>
  </si>
  <si>
    <t>b) Áreas internas - Pisos frios</t>
  </si>
  <si>
    <t>c) Áreas internas - Laboratórios</t>
  </si>
  <si>
    <t>d) Áreas internas - Almoxarifados/galpões</t>
  </si>
  <si>
    <t>e) Áreas internas - Oficinas</t>
  </si>
  <si>
    <t>f) Áreas internas - Áreas com espaços livres - saguão, hall e salão</t>
  </si>
  <si>
    <t>m-2</t>
  </si>
  <si>
    <t>m-1</t>
  </si>
  <si>
    <t>m0</t>
  </si>
  <si>
    <t>m1</t>
  </si>
  <si>
    <t>g) Banheiros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</si>
  <si>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</si>
  <si>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</si>
  <si>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</si>
  <si>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</si>
  <si>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</si>
  <si>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</si>
  <si>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</si>
  <si>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</si>
  <si>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</si>
  <si>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</si>
  <si>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</si>
  <si>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</si>
  <si>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</si>
  <si>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</si>
  <si>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</si>
  <si>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</si>
  <si>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</si>
  <si>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t xml:space="preserve">1. MÓDULOS  </t>
    </r>
    <r>
      <rPr>
        <b/>
        <sz val="12"/>
        <rFont val="Arial"/>
        <family val="2"/>
      </rPr>
      <t xml:space="preserve">Mão de obra -  </t>
    </r>
    <r>
      <rPr>
        <b/>
        <sz val="11"/>
        <rFont val="Arial"/>
        <family val="2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</si>
  <si>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</si>
  <si>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</si>
  <si>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</si>
  <si>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</si>
  <si>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r>
      <t xml:space="preserve">Salário Normativo da Categoria Profissional - para a jornada de </t>
    </r>
    <r>
      <rPr>
        <b/>
        <sz val="12"/>
        <rFont val="Arial"/>
        <family val="2"/>
      </rPr>
      <t>44</t>
    </r>
    <r>
      <rPr>
        <b/>
        <sz val="10"/>
        <rFont val="Arial"/>
        <family val="2"/>
      </rPr>
      <t xml:space="preserve"> h/sem</t>
    </r>
  </si>
  <si>
    <t>Categoria Profissional (vinculada à execução contratual)</t>
  </si>
  <si>
    <t xml:space="preserve">      servente de limpeza</t>
  </si>
  <si>
    <t>Data-Base da Categoria (dia/mês/ano)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</si>
  <si>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</si>
  <si>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</si>
  <si>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</si>
  <si>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</si>
  <si>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</si>
  <si>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t>E</t>
  </si>
  <si>
    <t>F</t>
  </si>
  <si>
    <t xml:space="preserve">Outros (especificar)                                          </t>
  </si>
  <si>
    <t>Nota1:  O Módulo 1 refere-se ao valor mensal devido ao empregado pela prestação do serviço no período de 12 meses.</t>
  </si>
  <si>
    <t>Módulo 2 – Encargos e Benefícios Anuais, Mensais e Diários</t>
  </si>
  <si>
    <t>2.1</t>
  </si>
  <si>
    <t>Valor (R$)</t>
  </si>
  <si>
    <r>
      <rPr>
        <b/>
        <sz val="11"/>
        <rFont val="Arial"/>
        <family val="2"/>
      </rPr>
      <t>Submódulo 2.2 - Encargos Previdenciários (GPS), Fundo de Garantia por Tempo de Serviço (FGTS) e outras contribuições</t>
    </r>
    <r>
      <rPr>
        <b/>
        <sz val="11"/>
        <color indexed="12"/>
        <rFont val="Arial"/>
        <family val="2"/>
      </rPr>
      <t xml:space="preserve"> 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</si>
  <si>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</si>
  <si>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</si>
  <si>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</si>
  <si>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</si>
  <si>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</si>
  <si>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</si>
  <si>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t>RAT =</t>
  </si>
  <si>
    <t xml:space="preserve"> FAP =</t>
  </si>
  <si>
    <t>SESC ou SESI</t>
  </si>
  <si>
    <t>SENAC ou SENAI</t>
  </si>
  <si>
    <t>SEBRAE</t>
  </si>
  <si>
    <t>G</t>
  </si>
  <si>
    <t>INCRA</t>
  </si>
  <si>
    <t>H</t>
  </si>
  <si>
    <t>FGTS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</si>
  <si>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</si>
  <si>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>Submódulo 2.3 – Benefícios Mensais e Diários</t>
  </si>
  <si>
    <t>2.3</t>
  </si>
  <si>
    <t>Benefícios Mensais e Diários</t>
  </si>
  <si>
    <t>-</t>
  </si>
  <si>
    <t xml:space="preserve">Total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</si>
  <si>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</si>
  <si>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</si>
  <si>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</si>
  <si>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</si>
  <si>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 (do titular)</t>
  </si>
  <si>
    <t>Valor  (R$)</t>
  </si>
  <si>
    <t>Incidência do FGTS sobre o Aviso Prévio Indenizado</t>
  </si>
  <si>
    <t xml:space="preserve">Incidência de GPS, FGTS e outras contribuições sobre o Aviso Prévio Trabalhado         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</si>
  <si>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</si>
  <si>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</si>
  <si>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rFont val="Arial"/>
        <family val="2"/>
      </rPr>
      <t>Base de cálculo para o Custo de Reposição do Profissional Ausente (substituto):</t>
    </r>
    <r>
      <rPr>
        <b/>
        <sz val="11"/>
        <color indexed="12"/>
        <rFont val="Arial"/>
        <family val="2"/>
      </rPr>
      <t xml:space="preserve"> BCCPA = MÓDULO 1 + MÓDULO 2 + MÓDULO 3 </t>
    </r>
    <r>
      <rPr>
        <b/>
        <sz val="11"/>
        <color indexed="10"/>
        <rFont val="Arial"/>
        <family val="2"/>
      </rPr>
      <t>- exceto o Afastamento Maternidade, pois que a Rem e o 13º são compensados pelo INSS</t>
    </r>
  </si>
  <si>
    <t>MÓD 1 =</t>
  </si>
  <si>
    <t>MÓD 3 =</t>
  </si>
  <si>
    <t xml:space="preserve">Submódulo 4.1 – Substituto nas Ausências Legais </t>
  </si>
  <si>
    <t>Custo diário = BCCPA/30=</t>
  </si>
  <si>
    <t>4.1</t>
  </si>
  <si>
    <t>Substituto nas Ausências Legais</t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</si>
  <si>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</si>
  <si>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</si>
  <si>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</si>
  <si>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</si>
  <si>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</si>
  <si>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</si>
  <si>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</si>
  <si>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</si>
  <si>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</si>
  <si>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</si>
  <si>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</si>
  <si>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</si>
  <si>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</si>
  <si>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</si>
  <si>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</si>
  <si>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</si>
  <si>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</si>
  <si>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</si>
  <si>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</si>
  <si>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</si>
  <si>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</si>
  <si>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</si>
  <si>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</si>
  <si>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</si>
  <si>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</si>
  <si>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</si>
  <si>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</si>
  <si>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</si>
  <si>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</si>
  <si>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</si>
  <si>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</si>
  <si>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</si>
  <si>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</si>
  <si>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</si>
  <si>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</si>
  <si>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</si>
  <si>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</si>
  <si>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</si>
  <si>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r>
      <t xml:space="preserve">MÃO DE OBRA  </t>
    </r>
    <r>
      <rPr>
        <b/>
        <sz val="8"/>
        <rFont val="Arial"/>
        <family val="2"/>
      </rPr>
      <t>ENCARREGADO / SERVENTE</t>
    </r>
  </si>
  <si>
    <t>SERV. / Pisos acarpetados</t>
  </si>
  <si>
    <t>1/1200</t>
  </si>
  <si>
    <t>SERV. / Pisos frios</t>
  </si>
  <si>
    <t>SERV. / Laboratórios</t>
  </si>
  <si>
    <t>1/450</t>
  </si>
  <si>
    <t>SERV./Almoxaridados/galpões</t>
  </si>
  <si>
    <t>1/2500</t>
  </si>
  <si>
    <t>SERV. / Oficinas</t>
  </si>
  <si>
    <t>1/1800</t>
  </si>
  <si>
    <t>SERV. / Áreas com espaços livres - saguão, hall e salão</t>
  </si>
  <si>
    <t>1/1500</t>
  </si>
  <si>
    <t>SERV. / Banheiros</t>
  </si>
  <si>
    <t>1/300</t>
  </si>
  <si>
    <t>P = produtividade de referência do trabalhador prevista no subitem 3.1.</t>
  </si>
  <si>
    <r>
      <t xml:space="preserve">MÃO DE OBRA  </t>
    </r>
    <r>
      <rPr>
        <b/>
        <sz val="8"/>
        <color indexed="8"/>
        <rFont val="Arial"/>
        <family val="2"/>
      </rPr>
      <t>ENCARREGADO / SERVENTE</t>
    </r>
  </si>
  <si>
    <t>SERV. / Pisos pavimentados adjacentes/contíguos às edificações</t>
  </si>
  <si>
    <t>1/2700</t>
  </si>
  <si>
    <t>SERV. / Varrição de passeios e arruamentos</t>
  </si>
  <si>
    <t>1/9000</t>
  </si>
  <si>
    <t>SERV. / Pátios e áreas verdes com alta frequência</t>
  </si>
  <si>
    <t>SERV. / Pátios e áreas verdes com média frequência</t>
  </si>
  <si>
    <t>SERV. / Pátios e áreas verdes com baixa frequência</t>
  </si>
  <si>
    <t>SERV. / Coleta de detritos em pátios e áreas verdes com frequência diária</t>
  </si>
  <si>
    <t>1/100000</t>
  </si>
  <si>
    <t>P = produtividade de referência do trabalhador prevista no subitem 3.2.</t>
  </si>
  <si>
    <r>
      <t xml:space="preserve">MÃO DE OBRA </t>
    </r>
    <r>
      <rPr>
        <b/>
        <sz val="8"/>
        <color indexed="8"/>
        <rFont val="Arial"/>
        <family val="2"/>
      </rPr>
      <t>ENCARREGADO / SERVENTE</t>
    </r>
  </si>
  <si>
    <t xml:space="preserve">(1) PRODUTIVIDADE 
(1/M²)
</t>
  </si>
  <si>
    <r>
      <t xml:space="preserve">(2) FREQUÊNCIA NO </t>
    </r>
    <r>
      <rPr>
        <b/>
        <sz val="10"/>
        <color indexed="10"/>
        <rFont val="Arial"/>
        <family val="2"/>
      </rPr>
      <t xml:space="preserve">MÊS </t>
    </r>
    <r>
      <rPr>
        <b/>
        <sz val="10"/>
        <rFont val="Arial"/>
        <family val="2"/>
      </rPr>
      <t xml:space="preserve">(HORAS)
</t>
    </r>
  </si>
  <si>
    <r>
      <t xml:space="preserve">(3)  JORNADA DE TRABALHO NO </t>
    </r>
    <r>
      <rPr>
        <b/>
        <sz val="10"/>
        <color indexed="10"/>
        <rFont val="Arial"/>
        <family val="2"/>
      </rPr>
      <t xml:space="preserve">MÊS
</t>
    </r>
    <r>
      <rPr>
        <b/>
        <sz val="10"/>
        <rFont val="Arial"/>
        <family val="2"/>
      </rPr>
      <t xml:space="preserve"> (HORAS)</t>
    </r>
  </si>
  <si>
    <t>(4) 
= (1 X 2 X 3)
Ki****</t>
  </si>
  <si>
    <t>(5) PREÇO HOMEM-MÊS 
(R$)</t>
  </si>
  <si>
    <t>(6) = (4 X 5)
 SUBTOTAL
 (R$/M²)</t>
  </si>
  <si>
    <t>1/188,76</t>
  </si>
  <si>
    <t>SERV. / Face externa com exposição a situação de risco</t>
  </si>
  <si>
    <t>1/160</t>
  </si>
  <si>
    <t>SERV. / Face externa sem exposição a situação de risco</t>
  </si>
  <si>
    <t>1/380</t>
  </si>
  <si>
    <t>SERV. / Face interna</t>
  </si>
  <si>
    <t>P = produtividade de referência do trabalhador prevista no subitem 3.3.</t>
  </si>
  <si>
    <t>FACHADA ENVIDRAÇADA – FACE EXTERNA</t>
  </si>
  <si>
    <t>(1) PRODUTIVIDADE (1/M²)</t>
  </si>
  <si>
    <r>
      <t xml:space="preserve">(3) JORNADA DE TRABALHO NO </t>
    </r>
    <r>
      <rPr>
        <b/>
        <sz val="10"/>
        <rFont val="Arial"/>
        <family val="2"/>
      </rPr>
      <t xml:space="preserve">SEMESTRE </t>
    </r>
    <r>
      <rPr>
        <sz val="10"/>
        <color rgb="FF000000"/>
        <rFont val="Arial"/>
        <family val="2"/>
      </rPr>
      <t>(HORAS)</t>
    </r>
  </si>
  <si>
    <r>
      <rPr>
        <sz val="10"/>
        <color rgb="FF000000"/>
        <rFont val="Arial"/>
        <family val="2"/>
      </rPr>
      <t xml:space="preserve">(4) 
= (1 X 2 X 3)                               </t>
    </r>
    <r>
      <rPr>
        <b/>
        <sz val="10"/>
        <rFont val="Arial"/>
        <family val="2"/>
      </rPr>
      <t>Ke</t>
    </r>
    <r>
      <rPr>
        <sz val="10"/>
        <color rgb="FF000000"/>
        <rFont val="Arial"/>
        <family val="2"/>
      </rPr>
      <t>****</t>
    </r>
  </si>
  <si>
    <t>(5) PREÇO HOMEM-MÊS (R$)</t>
  </si>
  <si>
    <t>(4 X 5) SUBTOTAL                      (R$/M²)</t>
  </si>
  <si>
    <t>1/1.132,60</t>
  </si>
  <si>
    <t>Servente</t>
  </si>
  <si>
    <t>P = produtividade de referência do trabalhador prevista no subitem 3.4.</t>
  </si>
  <si>
    <t>ÁREA MÉDICO-HOSPITALAR E ASSEMELHADOS</t>
  </si>
  <si>
    <t>P = produtividade de referência do trabalhador prevista no subitem 3.5.</t>
  </si>
  <si>
    <r>
      <t xml:space="preserve">* Caso as produtividades mínimas adotadas sejam diferentes, estes valores das planilhas, bem como os coeficientes deles decorrentes (Ki e </t>
    </r>
    <r>
      <rPr>
        <b/>
        <sz val="10"/>
        <rFont val="Arial"/>
        <family val="2"/>
      </rPr>
      <t>Ke</t>
    </r>
    <r>
      <rPr>
        <sz val="10"/>
        <color rgb="FF000000"/>
        <rFont val="Arial"/>
        <family val="2"/>
      </rPr>
      <t xml:space="preserve">) deverão ser adequados à nova situação. </t>
    </r>
    <r>
      <rPr>
        <b/>
        <sz val="10"/>
        <rFont val="Arial"/>
        <family val="2"/>
      </rPr>
      <t xml:space="preserve">(OBS: refere-se às produtividades)
</t>
    </r>
    <r>
      <rPr>
        <sz val="10"/>
        <color rgb="FF000000"/>
        <rFont val="Arial"/>
        <family val="2"/>
      </rPr>
      <t xml:space="preserve">** Caso a relação entre serventes e encarregado seja diferente, os valores das planilhas, bem como os coeficientes deles decorrentes (Ki e </t>
    </r>
    <r>
      <rPr>
        <b/>
        <sz val="10"/>
        <rFont val="Arial"/>
        <family val="2"/>
      </rPr>
      <t>Ke</t>
    </r>
    <r>
      <rPr>
        <sz val="10"/>
        <color rgb="FF000000"/>
        <rFont val="Arial"/>
        <family val="2"/>
      </rPr>
      <t xml:space="preserve">) deverão ser adequados à nova situação. </t>
    </r>
    <r>
      <rPr>
        <b/>
        <sz val="10"/>
        <rFont val="Arial"/>
        <family val="2"/>
      </rPr>
      <t xml:space="preserve">(OBS: refere-se ao 30 ou 4 do encarregado)
</t>
    </r>
    <r>
      <rPr>
        <sz val="10"/>
        <color rgb="FF000000"/>
        <rFont val="Arial"/>
        <family val="2"/>
      </rPr>
      <t>*** Frequência sugerida em horas por mês. Caso a frequência adotada em horas, por mês ou semestre, seja diferente, os valores, bem como os coeficientes deles decorrentes (Ki e Ke) deverão ser adequados à nova situação. (OBS: refere-se ao 16 da esquadria ou 8 da fachada)</t>
    </r>
  </si>
  <si>
    <t>4. VALOR MENSAL DOS SERVIÇOS</t>
  </si>
  <si>
    <t>PREÇO MENSAL UNITÁRIO (R$/M²)</t>
  </si>
  <si>
    <t>ÁREA
(M²)</t>
  </si>
  <si>
    <t>SUBTOTAL
(R$)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</si>
  <si>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</si>
  <si>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</si>
  <si>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</si>
  <si>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</si>
  <si>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</si>
  <si>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</si>
  <si>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</si>
  <si>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</si>
  <si>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a) Fachadas envidraçadas</t>
  </si>
  <si>
    <t>Valor mensal do serviço</t>
  </si>
  <si>
    <t>Número de meses do contrato</t>
  </si>
  <si>
    <r>
      <rPr>
        <b/>
        <sz val="14"/>
        <rFont val="Arial"/>
        <family val="2"/>
      </rP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</si>
  <si>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Tipo de Mão de Obra</t>
  </si>
  <si>
    <t>Quantidade de Pessoal</t>
  </si>
  <si>
    <r>
      <t xml:space="preserve">MATERIAIS, MÁQUINAS E EQUIPAMENTOS ALOCADOS NA EXECUÇÃO CONTRATUAL  (item 6.2.f do Anexo VII da IN nº 5/2017  e </t>
    </r>
    <r>
      <rPr>
        <b/>
        <sz val="10"/>
        <color indexed="10"/>
        <rFont val="Arial"/>
        <family val="2"/>
      </rPr>
      <t>item 6.5.4.f do edital</t>
    </r>
    <r>
      <rPr>
        <b/>
        <sz val="10"/>
        <rFont val="Arial"/>
        <family val="2"/>
      </rPr>
      <t>)</t>
    </r>
  </si>
  <si>
    <t>Especificação dos Materiais/Máquinas/Equipamentos</t>
  </si>
  <si>
    <t xml:space="preserve">Quantidade </t>
  </si>
  <si>
    <t>Rio Grande/RS</t>
  </si>
  <si>
    <t>1º de janeiro de 2021</t>
  </si>
  <si>
    <t>TOTAL DAS ÁREAS HOSPITALARES</t>
  </si>
  <si>
    <r>
      <t>OBSERVAÇÃO: DEVERÁ SER ZERADA NO MÊS EM QUE O TITULAR GOZAR FÉRIAS</t>
    </r>
    <r>
      <rPr>
        <b/>
        <sz val="10"/>
        <rFont val="Arial"/>
        <family val="2"/>
      </rPr>
      <t xml:space="preserve">                              </t>
    </r>
  </si>
  <si>
    <t xml:space="preserve">Plano de Benefício Familiar - Cláusula 29ª </t>
  </si>
  <si>
    <r>
      <t xml:space="preserve">(2) FREQUÊNCIA NO </t>
    </r>
    <r>
      <rPr>
        <b/>
        <sz val="10"/>
        <rFont val="Arial"/>
        <family val="2"/>
      </rPr>
      <t xml:space="preserve">MÊS </t>
    </r>
    <r>
      <rPr>
        <sz val="10"/>
        <color rgb="FF000000"/>
        <rFont val="Arial"/>
        <family val="2"/>
      </rPr>
      <t>(HORAS)</t>
    </r>
  </si>
  <si>
    <t>C.3) Participação do empregado em percentual sobre o auxílio-alimentação</t>
  </si>
  <si>
    <t xml:space="preserve">B.1) Valor do auxílio-alimentação (clausula 18ª da CCT 2021): </t>
  </si>
  <si>
    <t>B.2) Quantidade de dias do mês de recebimento de auxílio-alimentação</t>
  </si>
  <si>
    <t>B.3) Participação do empregado em percentual sobre o auxílio-alimentação</t>
  </si>
  <si>
    <t xml:space="preserve">A.1) Valor da passagem do transporte coletivo no município de prestação dos serviços: </t>
  </si>
  <si>
    <t>A.2) Quantidade de passagens por dia por empregado:</t>
  </si>
  <si>
    <t>A.3) Quantidade de dias do mês de recebimento de passagens</t>
  </si>
  <si>
    <t>Ministério da Educação</t>
  </si>
  <si>
    <t>Secretaria de Educação Tecnológica</t>
  </si>
  <si>
    <t>Instituto Federal de Educação, Ciência e Tecnologia do Rio Grande do Sul - IFRS</t>
  </si>
  <si>
    <t>Campus Rio Grande</t>
  </si>
  <si>
    <t>SEEAC/RS  - RS000051/2021</t>
  </si>
  <si>
    <t>13º (décimo terceiro) Salário, Férias e Adicional de Férias</t>
  </si>
  <si>
    <t>Transporte - Cálculo do valor: [(2xVTx26 dias) – (6%xSB)]</t>
  </si>
  <si>
    <r>
      <t xml:space="preserve">Auxílio-Lanche </t>
    </r>
    <r>
      <rPr>
        <b/>
        <sz val="8"/>
        <rFont val="Arial"/>
        <family val="2"/>
      </rPr>
      <t>Cálculo do valor = [(04xVA)x(1-</t>
    </r>
    <r>
      <rPr>
        <b/>
        <sz val="10"/>
        <rFont val="Arial"/>
        <family val="2"/>
      </rPr>
      <t>0,19%</t>
    </r>
    <r>
      <rPr>
        <b/>
        <sz val="8"/>
        <rFont val="Arial"/>
        <family val="2"/>
      </rPr>
      <t>)]</t>
    </r>
  </si>
  <si>
    <t xml:space="preserve">C.1) Valor do auxílio-alimentação (clausula 19ª da CCT 2021): </t>
  </si>
  <si>
    <t>C.2) Quantidade de dias do mês de recebimento de auxílio-lanche</t>
  </si>
  <si>
    <t>A.4) Participação do empregado em percentual do salário-base</t>
  </si>
  <si>
    <r>
      <t xml:space="preserve">RAT x FAP
</t>
    </r>
    <r>
      <rPr>
        <sz val="8"/>
        <color indexed="10"/>
        <rFont val="Arial"/>
        <family val="2"/>
      </rPr>
      <t>Cálculo do valor: % do SAT x FAP (Fator Acidentário de Prevenção de cada empresa)</t>
    </r>
  </si>
  <si>
    <r>
      <t>Uniformes</t>
    </r>
    <r>
      <rPr>
        <sz val="10"/>
        <color indexed="12"/>
        <rFont val="Arial"/>
        <family val="2"/>
      </rPr>
      <t xml:space="preserve"> </t>
    </r>
  </si>
  <si>
    <r>
      <t>Materiais</t>
    </r>
    <r>
      <rPr>
        <sz val="10"/>
        <color indexed="12"/>
        <rFont val="Arial"/>
        <family val="2"/>
      </rPr>
      <t xml:space="preserve"> </t>
    </r>
  </si>
  <si>
    <r>
      <t>Equipamentos</t>
    </r>
    <r>
      <rPr>
        <sz val="10"/>
        <color indexed="12"/>
        <rFont val="Arial"/>
        <family val="2"/>
      </rPr>
      <t xml:space="preserve"> </t>
    </r>
  </si>
  <si>
    <r>
      <t xml:space="preserve">  a) Cofins  </t>
    </r>
    <r>
      <rPr>
        <sz val="10"/>
        <color indexed="10"/>
        <rFont val="Arial"/>
        <family val="2"/>
      </rPr>
      <t>(depende do regime de tributação - utilizada a hipótese de Lucro Real)</t>
    </r>
  </si>
  <si>
    <r>
      <t xml:space="preserve">  b) PIS </t>
    </r>
    <r>
      <rPr>
        <sz val="10"/>
        <color indexed="10"/>
        <rFont val="Arial"/>
        <family val="2"/>
      </rPr>
      <t>(depende do regime de tributação - utilizada a hipótese de Lucro Real)</t>
    </r>
  </si>
  <si>
    <t>Servente de Limpeza</t>
  </si>
  <si>
    <r>
      <t>QUANTIDADE DE PESSOAL ALOCADO NA EXECUÇÃO CONTRATUAL (item 6.2.e do Anexo VII da IN nº 5/2017  e</t>
    </r>
    <r>
      <rPr>
        <b/>
        <u val="double"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item 6.5.4."e" do edital)</t>
    </r>
  </si>
  <si>
    <t>TOTAL ÁREAS M²</t>
  </si>
  <si>
    <t>*</t>
  </si>
  <si>
    <t>TOTAL SERVENTES&gt;&gt;&gt;</t>
  </si>
  <si>
    <t>EPI'S Coletivos</t>
  </si>
  <si>
    <r>
      <t xml:space="preserve"> c) IRPJ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 xml:space="preserve">- </t>
    </r>
    <r>
      <rPr>
        <sz val="10"/>
        <color rgb="FFFF0000"/>
        <rFont val="Arial"/>
        <family val="2"/>
      </rPr>
      <t xml:space="preserve"> Em face dos Acórdãos TCU nºs 950/2007-P e 205/2018-P, o licitante não pode cotar expressamente este tributo.</t>
    </r>
  </si>
  <si>
    <r>
      <t xml:space="preserve"> d) CSLL </t>
    </r>
    <r>
      <rPr>
        <sz val="10"/>
        <color indexed="12"/>
        <rFont val="Arial"/>
        <family val="2"/>
      </rPr>
      <t xml:space="preserve">- </t>
    </r>
    <r>
      <rPr>
        <sz val="10"/>
        <color rgb="FFFF0000"/>
        <rFont val="Arial"/>
        <family val="2"/>
      </rPr>
      <t xml:space="preserve"> Em face dos Acórdãos TCU nºs 950/2007-P e 205/2018-P, o licitante não pode cotar expressamente este tributo.</t>
    </r>
  </si>
  <si>
    <t>5143 - Servente de Limpeza</t>
  </si>
  <si>
    <t>Submódulo 2.1 – 13º (décimo terceiro) Salário e Adicional de Férias</t>
  </si>
  <si>
    <t>13º (décimo terceiro) Salário e Adicional de Férias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</si>
  <si>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</si>
  <si>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Multa do FGTS sobre o Aviso Prévio Indenizado= Cálculo do valor = [40%x8%x(Rem+13º+Férias+1/3xFérias)]x5% de rotatividade</t>
  </si>
  <si>
    <t>Substituto na cobertura de Férias = Cálculo do valor = BCCPA/12</t>
  </si>
  <si>
    <t>Substituto na cobertura de Ausências Legais = Cálculo do valor = [(BCCPA/30)x1dia]/12</t>
  </si>
  <si>
    <t>Substituto na cobertura de Licença-Paternidade = Cálculo do valor = (BCCPA/30)x5dias]/12}x1,5%</t>
  </si>
  <si>
    <t>Substituto na cobertura de Ausência por acidente de trabalho = Cálculo do valor  = {[(BCCPA/30)x15dias]/12}x0,78%</t>
  </si>
  <si>
    <r>
      <t xml:space="preserve">Substituto na cobertura de Afastamento Maternidade = </t>
    </r>
    <r>
      <rPr>
        <sz val="8.5"/>
        <rFont val="Arial"/>
        <family val="2"/>
      </rPr>
      <t>Cálculo do valor = {[(MÓD1 + MÓD1 / 3)/12 + [(SUB2.2 + SUB2.3 - VA - VT+ MÓD3)]  x (4/12)} x 2%</t>
    </r>
  </si>
  <si>
    <t xml:space="preserve">Substituto na cobertura de Ausência por doença = Cálculo do valor = [(BCCPA)/30)x5dias]/12 </t>
  </si>
  <si>
    <r>
      <t xml:space="preserve">Salário-Base    (valor para somente 1 servente de limpeza) para a jornada de </t>
    </r>
    <r>
      <rPr>
        <sz val="12"/>
        <rFont val="Arial"/>
        <family val="2"/>
      </rPr>
      <t>44</t>
    </r>
    <r>
      <rPr>
        <sz val="10"/>
        <rFont val="Arial"/>
        <family val="2"/>
      </rPr>
      <t xml:space="preserve"> horas semanais Cálculo do valor: (44/6)x30xR$(SB/220)</t>
    </r>
  </si>
  <si>
    <r>
      <t>Adicional de Insalubridade</t>
    </r>
    <r>
      <rPr>
        <sz val="9"/>
        <rFont val="Arial"/>
        <family val="2"/>
      </rPr>
      <t xml:space="preserve"> (40% do SB proporcionalizado conf cláus. 17ª  da CCT 2021)</t>
    </r>
  </si>
  <si>
    <t>13º (décimo terceiro) Salário  (Cálculo do valor = Rem/12)</t>
  </si>
  <si>
    <r>
      <t xml:space="preserve">Adicional de Férias </t>
    </r>
    <r>
      <rPr>
        <sz val="11"/>
        <rFont val="Arial"/>
        <family val="2"/>
      </rPr>
      <t xml:space="preserve"> (</t>
    </r>
    <r>
      <rPr>
        <sz val="10"/>
        <rFont val="Arial"/>
        <family val="2"/>
      </rPr>
      <t>Cálculo do valor = [ (Rem/ 3) / 12])</t>
    </r>
  </si>
  <si>
    <t>Auxílio-Refeição/Alimentação (Cálculo do valor = [(22xVA)x(1-0,19%)])</t>
  </si>
  <si>
    <r>
      <t>Aviso Prévio Indenizado -</t>
    </r>
    <r>
      <rPr>
        <sz val="8"/>
        <color indexed="10"/>
        <rFont val="Arial"/>
        <family val="2"/>
      </rPr>
      <t xml:space="preserve">  </t>
    </r>
    <r>
      <rPr>
        <sz val="8"/>
        <rFont val="Arial"/>
        <family val="2"/>
      </rPr>
      <t xml:space="preserve">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</si>
  <si>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>Aviso Previo Trabalhado</t>
    </r>
    <r>
      <rPr>
        <sz val="10"/>
        <color indexed="10"/>
        <rFont val="Arial"/>
        <family val="2"/>
      </rPr>
      <t xml:space="preserve"> </t>
    </r>
    <r>
      <rPr>
        <sz val="9"/>
        <rFont val="Arial"/>
        <family val="2"/>
      </rPr>
      <t xml:space="preserve">Cálculo do valor= [(Rem/30)x7]/12 meses do contratox100% dos empregados </t>
    </r>
    <r>
      <rPr>
        <sz val="8"/>
        <rFont val="Arial"/>
        <family val="2"/>
      </rPr>
      <t>- ao final do contrato</t>
    </r>
    <r>
      <rPr>
        <sz val="10"/>
        <rFont val="Arial"/>
        <family val="2"/>
      </rPr>
      <t xml:space="preserve"> acórdão do TCU nº 1.186/2017 - P.</t>
    </r>
  </si>
  <si>
    <t>Multa do FGTS sobre o Aviso Prévio Trabalhado= Cálculo do valor = [40%x8%x(Rem+13º+Férias+1/3xFérias)]x100% dos empregados</t>
  </si>
  <si>
    <r>
      <t xml:space="preserve">MÓD 2 = </t>
    </r>
    <r>
      <rPr>
        <b/>
        <sz val="10"/>
        <color indexed="10"/>
        <rFont val="Arial"/>
        <family val="2"/>
      </rPr>
      <t>(sem VA, VL e VT)</t>
    </r>
  </si>
  <si>
    <t>2. QUADRO-RESUMO DO CUSTO POR EMPREGADO</t>
  </si>
  <si>
    <t>(2) PREÇO HOMEM-MÊS (R$)</t>
  </si>
  <si>
    <t xml:space="preserve">(1) PRODUTIVIDADE (1/M²)
</t>
  </si>
  <si>
    <t>(1 X 2) SUBTOTAL (R$/M²)</t>
  </si>
  <si>
    <t>(2) PREÇO HOMEM-MÊS     (R$)</t>
  </si>
  <si>
    <t>ÁREA INTERNA (Fórmulas de cálculo para área interna - alíneas "a" e "b" do subitem 3.1 do Anexo VI-B; para as demais alíneas, deverão ser incluídos novos campos na planilha com a metragem adequada).</t>
  </si>
  <si>
    <t>ÁREA EXTERNA (Fórmulas Cálculo para área externa - alíneas "a", "c" , "d" e "e" do subitem 3.2 do Anexo VI-B; para as demais alíneas, deverão ser incluídos novos campos na planilha com a metragem adequada)</t>
  </si>
  <si>
    <t>ESQUADRIA EXTERNA (Fórmulas Cálculo para esquadria externa - alíneas "b" e "c" do subitem 3.3 do Anexo VI-B; para as demais alíneas, deverão ser incluídos novos campos na planilha com a metragem adequada).</t>
  </si>
  <si>
    <t xml:space="preserve">  a) ISS (Anexo II, Lei Municipal de Rio Grande nº 6.822/2009)</t>
  </si>
  <si>
    <t>23370.000233/2021-32</t>
  </si>
  <si>
    <t>Dia:</t>
  </si>
  <si>
    <r>
      <t xml:space="preserve">MATERIAIS DE LIMPEZA - SANEANTES DOMISSANITÁRIOS
</t>
    </r>
    <r>
      <rPr>
        <b/>
        <sz val="12"/>
        <color rgb="FF000080"/>
        <rFont val="Arial"/>
        <family val="2"/>
      </rPr>
      <t xml:space="preserve"> Disponibilidade mensal</t>
    </r>
  </si>
  <si>
    <t>MIN</t>
  </si>
  <si>
    <t>Cálculo Quantidade de Serventes</t>
  </si>
  <si>
    <t>Álcool em Gel. Embalagem 500ml</t>
  </si>
  <si>
    <t>Sabão liquido, embalagem de 3 litros, padrão de qualidade OMO.</t>
  </si>
  <si>
    <t>Cera líquida para parquet. 750ml</t>
  </si>
  <si>
    <t>Und.</t>
  </si>
  <si>
    <t>Aparador de cerca viva 20” com no mínimo 700w</t>
  </si>
  <si>
    <t xml:space="preserve">Protetor Solar em bisnaga de 120ml_x000D_
_x000D_
</t>
  </si>
  <si>
    <t>Resumo da Proposta</t>
  </si>
  <si>
    <t>TIPO DE SERVIÇO</t>
  </si>
  <si>
    <t>Quantidade de Postos/Mão de Obra a ser alocados</t>
  </si>
  <si>
    <t>VALOR TOTAL POR MÊS (R$)</t>
  </si>
  <si>
    <t>VALOR TOTAL 12 MESES (R$)</t>
  </si>
  <si>
    <t xml:space="preserve"> </t>
  </si>
  <si>
    <t>Declaro para devidos fins que:</t>
  </si>
  <si>
    <t>1. Estou CIENTE e de ACORDO com as condições previstas Projeto Básico.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</si>
  <si>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</si>
  <si>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2009.</t>
  </si>
  <si>
    <t>4. Que não possuo, em sua cadeia produtiva, empregados executando trabalho degradante ou forçado, observando o disposto nos incisos III e IV do art. 1º e no inciso III do art. 5º da Constituição Federal.</t>
  </si>
  <si>
    <t>5. Que para elaboração da presenta proposta foram considereados todos os custos diretos, indiretos, impostos, despesas de pessoa e insumos.</t>
  </si>
  <si>
    <t>6. Que a validade da presente proposta é de 60 dias.</t>
  </si>
  <si>
    <t>Razão Social:</t>
  </si>
  <si>
    <t>CNPJ:</t>
  </si>
  <si>
    <t xml:space="preserve">          Carimbo</t>
  </si>
  <si>
    <t>Responsável pela Empresa:</t>
  </si>
  <si>
    <t>CPF do Responsável:</t>
  </si>
  <si>
    <t>Cargo ou Função:</t>
  </si>
  <si>
    <t>Serviços de Limpeza e Conservação, COM banheiros. Postos com jornada de 44h semanais de seg a sábado.</t>
  </si>
  <si>
    <r>
      <t xml:space="preserve">ANEXO IV -  </t>
    </r>
    <r>
      <rPr>
        <b/>
        <sz val="18"/>
        <color indexed="10"/>
        <rFont val="Arial"/>
        <family val="2"/>
      </rPr>
      <t xml:space="preserve">do Pregão  nº 36/2021
</t>
    </r>
    <r>
      <rPr>
        <b/>
        <sz val="16"/>
        <color indexed="12"/>
        <rFont val="Arial"/>
        <family val="2"/>
      </rPr>
      <t xml:space="preserve">Conta Vinculada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</si>
  <si>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t>Pregão  nº 036/2021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</si>
</sst>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  <numFmt numFmtId="165" formatCode="#,##0.0000000"/>
    <numFmt numFmtId="166" formatCode="_(* #,##0.00_);_(* \(#,##0.00\);_(* \-??_);_(@_)"/>
    <numFmt numFmtId="167" formatCode="&quot;R$ &quot;#,##0.00"/>
    <numFmt numFmtId="168" formatCode="0;[Red]\-0"/>
    <numFmt numFmtId="169" formatCode="0.0000"/>
    <numFmt numFmtId="170" formatCode="0.0000%"/>
    <numFmt numFmtId="171" formatCode="#,##0.00;[Red]#,##0.00"/>
    <numFmt numFmtId="172" formatCode="d/m/yyyy"/>
    <numFmt numFmtId="173" formatCode="[$R$ -416]#,##0.0000"/>
    <numFmt numFmtId="174" formatCode="#,##0.0000"/>
    <numFmt numFmtId="175" formatCode="_(&quot;R$ &quot;* #,##0.00_);_(&quot;R$ &quot;* \(#,##0.00\);_(&quot;R$ &quot;* \-??_);_(@_)"/>
    <numFmt numFmtId="176" formatCode="&quot;R$&quot;\ #,##0.00"/>
    <numFmt numFmtId="177" formatCode="dd/mm/yy;@"/>
  </numFmts>
  <fonts count="74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Calibri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b/>
      <sz val="15"/>
      <color rgb="FF000080"/>
      <name val="Arial"/>
      <family val="2"/>
    </font>
    <font>
      <b/>
      <sz val="12"/>
      <color rgb="FF00008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8"/>
      <color indexed="20"/>
      <name val="Arial"/>
      <family val="2"/>
    </font>
    <font>
      <b/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5"/>
      <name val="Arial"/>
      <family val="2"/>
    </font>
    <font>
      <b/>
      <sz val="11"/>
      <color indexed="10"/>
      <name val="Arial"/>
      <family val="2"/>
    </font>
    <font>
      <b/>
      <sz val="8"/>
      <name val="Arial"/>
      <family val="2"/>
    </font>
    <font>
      <b/>
      <sz val="10"/>
      <color indexed="21"/>
      <name val="Arial"/>
      <family val="2"/>
    </font>
    <font>
      <sz val="10"/>
      <color indexed="17"/>
      <name val="Arial"/>
      <family val="2"/>
    </font>
    <font>
      <b/>
      <sz val="12"/>
      <color indexed="21"/>
      <name val="Arial"/>
      <family val="2"/>
    </font>
    <font>
      <b/>
      <sz val="11"/>
      <color indexed="12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1"/>
    </font>
    <font>
      <b/>
      <sz val="10"/>
      <color indexed="17"/>
      <name val="Arial"/>
      <family val="2"/>
    </font>
    <font>
      <b/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name val="Arial"/>
      <family val="2"/>
      <scheme val="major"/>
    </font>
    <font>
      <b/>
      <sz val="9"/>
      <name val="Arial"/>
      <family val="2"/>
      <scheme val="minor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u val="double"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</font>
    <font>
      <b/>
      <sz val="9"/>
      <name val="Arial"/>
      <family val="2"/>
      <scheme val="major"/>
    </font>
    <font>
      <b/>
      <sz val="9"/>
      <color rgb="FFFF0000"/>
      <name val="Arial"/>
      <family val="2"/>
      <scheme val="major"/>
    </font>
    <font>
      <b/>
      <sz val="9"/>
      <color rgb="FFFF0000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1"/>
      <name val="RobotoLightRegular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5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9999FF"/>
        <bgColor rgb="FF9999FF"/>
      </patternFill>
    </fill>
    <fill>
      <patternFill patternType="solid">
        <fgColor rgb="FFFFF200"/>
        <bgColor rgb="FFFFF200"/>
      </patternFill>
    </fill>
    <fill>
      <patternFill patternType="solid">
        <fgColor rgb="FFFFFFFF"/>
        <bgColor rgb="FFFFFFFF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9"/>
    <xf numFmtId="44" fontId="60" fillId="0" borderId="0" applyFont="0" applyFill="0" applyBorder="0" applyAlignment="0" applyProtection="0"/>
    <xf numFmtId="175" fontId="3" fillId="0" borderId="9" applyFill="0" applyBorder="0" applyAlignment="0" applyProtection="0"/>
  </cellStyleXfs>
  <cellXfs count="613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4" fontId="2" fillId="0" borderId="3" xfId="0" applyNumberFormat="1" applyFont="1" applyBorder="1"/>
    <xf numFmtId="4" fontId="1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6" borderId="0" xfId="0" applyFont="1" applyFill="1" applyAlignment="1">
      <alignment horizontal="right"/>
    </xf>
    <xf numFmtId="4" fontId="1" fillId="6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6" borderId="0" xfId="0" applyFont="1" applyFill="1" applyAlignment="1">
      <alignment horizontal="right"/>
    </xf>
    <xf numFmtId="2" fontId="1" fillId="6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6" borderId="0" xfId="0" applyFont="1" applyFill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2" fillId="0" borderId="0" xfId="0" applyFont="1" applyAlignment="1"/>
    <xf numFmtId="0" fontId="2" fillId="0" borderId="6" xfId="0" applyFont="1" applyBorder="1" applyAlignment="1"/>
    <xf numFmtId="0" fontId="1" fillId="6" borderId="0" xfId="0" applyFont="1" applyFill="1" applyAlignment="1"/>
    <xf numFmtId="0" fontId="1" fillId="6" borderId="6" xfId="0" applyFont="1" applyFill="1" applyBorder="1" applyAlignment="1"/>
    <xf numFmtId="0" fontId="1" fillId="0" borderId="0" xfId="0" applyFont="1" applyAlignment="1"/>
    <xf numFmtId="0" fontId="0" fillId="0" borderId="0" xfId="0"/>
    <xf numFmtId="0" fontId="23" fillId="0" borderId="11" xfId="0" applyFont="1" applyBorder="1" applyAlignment="1">
      <alignment horizontal="center" vertical="center"/>
    </xf>
    <xf numFmtId="0" fontId="0" fillId="12" borderId="0" xfId="0" applyFill="1"/>
    <xf numFmtId="0" fontId="2" fillId="13" borderId="3" xfId="0" applyFont="1" applyFill="1" applyBorder="1" applyAlignment="1"/>
    <xf numFmtId="4" fontId="2" fillId="13" borderId="3" xfId="0" applyNumberFormat="1" applyFont="1" applyFill="1" applyBorder="1"/>
    <xf numFmtId="4" fontId="2" fillId="13" borderId="3" xfId="0" applyNumberFormat="1" applyFont="1" applyFill="1" applyBorder="1" applyAlignment="1"/>
    <xf numFmtId="0" fontId="24" fillId="0" borderId="11" xfId="0" applyFont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vertical="center"/>
    </xf>
    <xf numFmtId="4" fontId="37" fillId="14" borderId="21" xfId="0" applyNumberFormat="1" applyFont="1" applyFill="1" applyBorder="1" applyAlignment="1">
      <alignment horizontal="right" vertical="center" wrapText="1"/>
    </xf>
    <xf numFmtId="0" fontId="0" fillId="14" borderId="22" xfId="0" applyFill="1" applyBorder="1" applyAlignment="1">
      <alignment horizontal="right" vertical="center" wrapText="1"/>
    </xf>
    <xf numFmtId="0" fontId="34" fillId="9" borderId="15" xfId="0" applyFont="1" applyFill="1" applyBorder="1" applyAlignment="1">
      <alignment horizontal="center" vertical="center" wrapText="1"/>
    </xf>
    <xf numFmtId="10" fontId="24" fillId="0" borderId="11" xfId="0" applyNumberFormat="1" applyFont="1" applyBorder="1" applyAlignment="1">
      <alignment horizontal="center" vertical="center"/>
    </xf>
    <xf numFmtId="4" fontId="34" fillId="9" borderId="11" xfId="0" applyNumberFormat="1" applyFont="1" applyFill="1" applyBorder="1" applyAlignment="1">
      <alignment vertic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2" fontId="24" fillId="9" borderId="11" xfId="0" applyNumberFormat="1" applyFont="1" applyFill="1" applyBorder="1" applyAlignment="1">
      <alignment horizontal="right" vertical="center"/>
    </xf>
    <xf numFmtId="0" fontId="34" fillId="9" borderId="20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right" vertical="center"/>
    </xf>
    <xf numFmtId="0" fontId="0" fillId="14" borderId="21" xfId="0" applyFill="1" applyBorder="1" applyAlignment="1">
      <alignment horizontal="right" vertical="center"/>
    </xf>
    <xf numFmtId="10" fontId="24" fillId="14" borderId="21" xfId="0" applyNumberFormat="1" applyFont="1" applyFill="1" applyBorder="1" applyAlignment="1">
      <alignment horizontal="right" vertical="center"/>
    </xf>
    <xf numFmtId="4" fontId="24" fillId="14" borderId="22" xfId="0" applyNumberFormat="1" applyFont="1" applyFill="1" applyBorder="1" applyAlignment="1">
      <alignment horizontal="right" vertical="center"/>
    </xf>
    <xf numFmtId="0" fontId="34" fillId="9" borderId="11" xfId="0" applyFont="1" applyFill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2" fontId="0" fillId="0" borderId="0" xfId="0" applyNumberFormat="1"/>
    <xf numFmtId="4" fontId="34" fillId="9" borderId="11" xfId="0" applyNumberFormat="1" applyFont="1" applyFill="1" applyBorder="1" applyAlignment="1">
      <alignment horizontal="center" vertical="center"/>
    </xf>
    <xf numFmtId="0" fontId="27" fillId="14" borderId="20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4" fontId="34" fillId="9" borderId="11" xfId="0" applyNumberFormat="1" applyFont="1" applyFill="1" applyBorder="1" applyAlignment="1">
      <alignment horizontal="center" vertical="center" wrapText="1"/>
    </xf>
    <xf numFmtId="10" fontId="24" fillId="0" borderId="11" xfId="0" applyNumberFormat="1" applyFont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166" fontId="26" fillId="0" borderId="9" xfId="0" applyNumberFormat="1" applyFont="1" applyBorder="1" applyAlignment="1">
      <alignment horizontal="left"/>
    </xf>
    <xf numFmtId="166" fontId="26" fillId="15" borderId="9" xfId="0" applyNumberFormat="1" applyFont="1" applyFill="1" applyBorder="1" applyAlignment="1">
      <alignment horizontal="left"/>
    </xf>
    <xf numFmtId="0" fontId="21" fillId="9" borderId="1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24" fillId="15" borderId="0" xfId="0" applyFont="1" applyFill="1" applyAlignment="1">
      <alignment horizontal="right" vertical="center" wrapText="1"/>
    </xf>
    <xf numFmtId="0" fontId="24" fillId="15" borderId="9" xfId="0" applyFont="1" applyFill="1" applyBorder="1" applyAlignment="1">
      <alignment horizontal="right" vertical="center" wrapText="1"/>
    </xf>
    <xf numFmtId="0" fontId="24" fillId="9" borderId="15" xfId="0" applyFont="1" applyFill="1" applyBorder="1" applyAlignment="1">
      <alignment horizontal="center" vertical="center" wrapText="1"/>
    </xf>
    <xf numFmtId="39" fontId="26" fillId="9" borderId="11" xfId="0" applyNumberFormat="1" applyFont="1" applyFill="1" applyBorder="1" applyAlignment="1">
      <alignment horizontal="right"/>
    </xf>
    <xf numFmtId="39" fontId="26" fillId="9" borderId="11" xfId="0" applyNumberFormat="1" applyFont="1" applyFill="1" applyBorder="1" applyAlignment="1">
      <alignment horizontal="right" vertical="center"/>
    </xf>
    <xf numFmtId="39" fontId="24" fillId="0" borderId="15" xfId="0" applyNumberFormat="1" applyFont="1" applyBorder="1" applyAlignment="1">
      <alignment horizontal="right"/>
    </xf>
    <xf numFmtId="39" fontId="26" fillId="0" borderId="15" xfId="0" applyNumberFormat="1" applyFont="1" applyBorder="1" applyAlignment="1">
      <alignment horizontal="right"/>
    </xf>
    <xf numFmtId="39" fontId="26" fillId="0" borderId="11" xfId="0" applyNumberFormat="1" applyFont="1" applyBorder="1" applyAlignment="1">
      <alignment horizontal="right"/>
    </xf>
    <xf numFmtId="0" fontId="24" fillId="0" borderId="11" xfId="0" applyFont="1" applyBorder="1" applyAlignment="1">
      <alignment horizontal="center" vertical="center" wrapText="1"/>
    </xf>
    <xf numFmtId="0" fontId="20" fillId="0" borderId="0" xfId="0" applyFont="1"/>
    <xf numFmtId="0" fontId="20" fillId="15" borderId="0" xfId="0" applyFont="1" applyFill="1"/>
    <xf numFmtId="170" fontId="24" fillId="9" borderId="11" xfId="0" applyNumberFormat="1" applyFont="1" applyFill="1" applyBorder="1" applyAlignment="1">
      <alignment horizontal="center" vertical="center"/>
    </xf>
    <xf numFmtId="4" fontId="24" fillId="9" borderId="11" xfId="0" applyNumberFormat="1" applyFont="1" applyFill="1" applyBorder="1" applyAlignment="1">
      <alignment horizontal="center" vertical="center"/>
    </xf>
    <xf numFmtId="4" fontId="46" fillId="9" borderId="11" xfId="0" applyNumberFormat="1" applyFont="1" applyFill="1" applyBorder="1" applyAlignment="1">
      <alignment horizontal="center" vertical="center" wrapText="1"/>
    </xf>
    <xf numFmtId="4" fontId="24" fillId="9" borderId="11" xfId="0" applyNumberFormat="1" applyFont="1" applyFill="1" applyBorder="1" applyAlignment="1">
      <alignment horizontal="center"/>
    </xf>
    <xf numFmtId="4" fontId="24" fillId="9" borderId="11" xfId="0" applyNumberFormat="1" applyFont="1" applyFill="1" applyBorder="1" applyAlignment="1">
      <alignment horizontal="center" vertical="center" wrapText="1"/>
    </xf>
    <xf numFmtId="0" fontId="24" fillId="13" borderId="15" xfId="0" applyFont="1" applyFill="1" applyBorder="1" applyAlignment="1">
      <alignment horizontal="center" vertical="center"/>
    </xf>
    <xf numFmtId="4" fontId="24" fillId="13" borderId="11" xfId="0" applyNumberFormat="1" applyFont="1" applyFill="1" applyBorder="1" applyAlignment="1">
      <alignment horizontal="center" vertical="center" wrapText="1"/>
    </xf>
    <xf numFmtId="0" fontId="49" fillId="9" borderId="11" xfId="0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7" fontId="23" fillId="0" borderId="11" xfId="0" applyNumberFormat="1" applyFont="1" applyBorder="1" applyAlignment="1">
      <alignment vertical="center" wrapText="1"/>
    </xf>
    <xf numFmtId="0" fontId="34" fillId="9" borderId="12" xfId="0" applyFont="1" applyFill="1" applyBorder="1" applyAlignment="1">
      <alignment horizontal="center" vertical="center"/>
    </xf>
    <xf numFmtId="0" fontId="50" fillId="6" borderId="6" xfId="0" applyFont="1" applyFill="1" applyBorder="1" applyAlignment="1"/>
    <xf numFmtId="4" fontId="24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vertical="center"/>
    </xf>
    <xf numFmtId="0" fontId="35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10" fontId="3" fillId="0" borderId="11" xfId="0" applyNumberFormat="1" applyFont="1" applyBorder="1" applyAlignment="1">
      <alignment horizontal="center" vertical="center" wrapText="1"/>
    </xf>
    <xf numFmtId="0" fontId="8" fillId="0" borderId="0" xfId="0" applyFont="1"/>
    <xf numFmtId="49" fontId="3" fillId="0" borderId="1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8" fillId="0" borderId="2" xfId="0" applyFont="1" applyBorder="1"/>
    <xf numFmtId="0" fontId="2" fillId="0" borderId="2" xfId="0" applyFont="1" applyBorder="1"/>
    <xf numFmtId="0" fontId="4" fillId="0" borderId="6" xfId="0" applyFont="1" applyBorder="1"/>
    <xf numFmtId="0" fontId="6" fillId="0" borderId="0" xfId="0" applyFont="1"/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/>
    <xf numFmtId="0" fontId="12" fillId="0" borderId="0" xfId="0" applyFont="1"/>
    <xf numFmtId="0" fontId="9" fillId="6" borderId="0" xfId="0" applyFont="1" applyFill="1" applyAlignment="1"/>
    <xf numFmtId="0" fontId="51" fillId="0" borderId="0" xfId="0" applyFont="1" applyAlignment="1"/>
    <xf numFmtId="2" fontId="58" fillId="6" borderId="1" xfId="0" applyNumberFormat="1" applyFont="1" applyFill="1" applyBorder="1" applyAlignment="1">
      <alignment horizontal="center" vertical="center"/>
    </xf>
    <xf numFmtId="174" fontId="1" fillId="6" borderId="2" xfId="0" applyNumberFormat="1" applyFont="1" applyFill="1" applyBorder="1" applyAlignment="1">
      <alignment horizontal="right"/>
    </xf>
    <xf numFmtId="0" fontId="4" fillId="0" borderId="0" xfId="0" applyFont="1" applyAlignment="1"/>
    <xf numFmtId="0" fontId="9" fillId="0" borderId="0" xfId="0" applyFont="1" applyAlignment="1"/>
    <xf numFmtId="169" fontId="2" fillId="0" borderId="0" xfId="0" applyNumberFormat="1" applyFont="1" applyAlignment="1"/>
    <xf numFmtId="174" fontId="24" fillId="6" borderId="2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8" fillId="0" borderId="9" xfId="2" applyFont="1" applyAlignment="1">
      <alignment horizontal="left" vertical="center" indent="2"/>
    </xf>
    <xf numFmtId="49" fontId="24" fillId="0" borderId="9" xfId="2" applyNumberFormat="1" applyFont="1" applyAlignment="1" applyProtection="1">
      <alignment horizontal="left" vertical="center" indent="2"/>
      <protection locked="0" hidden="1"/>
    </xf>
    <xf numFmtId="0" fontId="20" fillId="0" borderId="0" xfId="0" applyFont="1" applyAlignment="1">
      <alignment horizontal="left" indent="1"/>
    </xf>
    <xf numFmtId="49" fontId="24" fillId="0" borderId="11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28" xfId="0" applyFont="1" applyBorder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4" fontId="59" fillId="0" borderId="37" xfId="0" applyNumberFormat="1" applyFont="1" applyBorder="1" applyAlignment="1">
      <alignment horizontal="center"/>
    </xf>
    <xf numFmtId="2" fontId="23" fillId="1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167" fontId="61" fillId="12" borderId="34" xfId="0" applyNumberFormat="1" applyFont="1" applyFill="1" applyBorder="1" applyAlignment="1">
      <alignment horizontal="center" vertical="center"/>
    </xf>
    <xf numFmtId="4" fontId="61" fillId="12" borderId="34" xfId="0" applyNumberFormat="1" applyFont="1" applyFill="1" applyBorder="1" applyAlignment="1">
      <alignment horizontal="center" vertical="center"/>
    </xf>
    <xf numFmtId="10" fontId="61" fillId="12" borderId="36" xfId="0" applyNumberFormat="1" applyFont="1" applyFill="1" applyBorder="1" applyAlignment="1">
      <alignment horizontal="center" vertical="center" wrapText="1"/>
    </xf>
    <xf numFmtId="3" fontId="62" fillId="12" borderId="34" xfId="0" applyNumberFormat="1" applyFont="1" applyFill="1" applyBorder="1" applyAlignment="1">
      <alignment horizontal="center" vertical="center"/>
    </xf>
    <xf numFmtId="167" fontId="21" fillId="13" borderId="11" xfId="0" applyNumberFormat="1" applyFont="1" applyFill="1" applyBorder="1" applyAlignment="1">
      <alignment horizontal="center" vertical="center"/>
    </xf>
    <xf numFmtId="10" fontId="21" fillId="13" borderId="11" xfId="0" applyNumberFormat="1" applyFont="1" applyFill="1" applyBorder="1" applyAlignment="1">
      <alignment horizontal="center" vertical="center"/>
    </xf>
    <xf numFmtId="3" fontId="63" fillId="13" borderId="11" xfId="0" applyNumberFormat="1" applyFont="1" applyFill="1" applyBorder="1" applyAlignment="1">
      <alignment horizontal="center" vertical="center"/>
    </xf>
    <xf numFmtId="167" fontId="21" fillId="12" borderId="11" xfId="0" applyNumberFormat="1" applyFont="1" applyFill="1" applyBorder="1" applyAlignment="1">
      <alignment horizontal="center" vertical="center"/>
    </xf>
    <xf numFmtId="10" fontId="21" fillId="12" borderId="11" xfId="0" applyNumberFormat="1" applyFont="1" applyFill="1" applyBorder="1" applyAlignment="1">
      <alignment horizontal="center" vertical="center"/>
    </xf>
    <xf numFmtId="3" fontId="63" fillId="12" borderId="11" xfId="0" applyNumberFormat="1" applyFont="1" applyFill="1" applyBorder="1" applyAlignment="1">
      <alignment horizontal="center" vertical="center"/>
    </xf>
    <xf numFmtId="4" fontId="24" fillId="0" borderId="11" xfId="0" applyNumberFormat="1" applyFont="1" applyBorder="1" applyAlignment="1">
      <alignment vertical="center"/>
    </xf>
    <xf numFmtId="4" fontId="0" fillId="0" borderId="0" xfId="3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24" fillId="0" borderId="11" xfId="0" applyFont="1" applyBorder="1"/>
    <xf numFmtId="165" fontId="24" fillId="0" borderId="11" xfId="0" applyNumberFormat="1" applyFont="1" applyBorder="1"/>
    <xf numFmtId="4" fontId="24" fillId="0" borderId="11" xfId="0" applyNumberFormat="1" applyFont="1" applyBorder="1"/>
    <xf numFmtId="10" fontId="24" fillId="16" borderId="11" xfId="0" applyNumberFormat="1" applyFont="1" applyFill="1" applyBorder="1" applyAlignment="1">
      <alignment horizontal="center" vertical="center"/>
    </xf>
    <xf numFmtId="17" fontId="0" fillId="12" borderId="0" xfId="0" applyNumberFormat="1" applyFill="1"/>
    <xf numFmtId="10" fontId="4" fillId="0" borderId="0" xfId="0" applyNumberFormat="1" applyFont="1"/>
    <xf numFmtId="0" fontId="44" fillId="0" borderId="14" xfId="0" applyFont="1" applyBorder="1" applyAlignment="1">
      <alignment horizontal="center" vertical="center" wrapText="1"/>
    </xf>
    <xf numFmtId="4" fontId="44" fillId="0" borderId="14" xfId="0" applyNumberFormat="1" applyFont="1" applyBorder="1" applyAlignment="1">
      <alignment horizontal="center" vertical="center" wrapText="1"/>
    </xf>
    <xf numFmtId="0" fontId="44" fillId="14" borderId="14" xfId="0" applyFont="1" applyFill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4" fillId="9" borderId="14" xfId="0" applyFont="1" applyFill="1" applyBorder="1" applyAlignment="1">
      <alignment horizontal="center"/>
    </xf>
    <xf numFmtId="4" fontId="25" fillId="0" borderId="14" xfId="0" applyNumberFormat="1" applyFont="1" applyBorder="1" applyAlignment="1">
      <alignment horizontal="center" vertical="center" wrapText="1"/>
    </xf>
    <xf numFmtId="9" fontId="24" fillId="16" borderId="11" xfId="0" applyNumberFormat="1" applyFont="1" applyFill="1" applyBorder="1" applyAlignment="1">
      <alignment horizontal="center" vertical="center" wrapText="1"/>
    </xf>
    <xf numFmtId="169" fontId="24" fillId="16" borderId="11" xfId="0" applyNumberFormat="1" applyFont="1" applyFill="1" applyBorder="1" applyAlignment="1">
      <alignment horizontal="center" vertical="center" wrapText="1"/>
    </xf>
    <xf numFmtId="10" fontId="26" fillId="0" borderId="42" xfId="0" applyNumberFormat="1" applyFont="1" applyBorder="1" applyAlignment="1">
      <alignment horizontal="center" vertical="center"/>
    </xf>
    <xf numFmtId="4" fontId="26" fillId="0" borderId="4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165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15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39" fontId="3" fillId="0" borderId="11" xfId="0" applyNumberFormat="1" applyFont="1" applyBorder="1" applyAlignment="1">
      <alignment horizontal="right"/>
    </xf>
    <xf numFmtId="39" fontId="3" fillId="0" borderId="11" xfId="0" applyNumberFormat="1" applyFont="1" applyBorder="1" applyAlignment="1">
      <alignment horizontal="right" vertical="center"/>
    </xf>
    <xf numFmtId="39" fontId="3" fillId="0" borderId="15" xfId="0" applyNumberFormat="1" applyFont="1" applyBorder="1" applyAlignment="1">
      <alignment horizontal="right"/>
    </xf>
    <xf numFmtId="0" fontId="67" fillId="6" borderId="6" xfId="0" applyFont="1" applyFill="1" applyBorder="1" applyAlignment="1"/>
    <xf numFmtId="0" fontId="16" fillId="6" borderId="3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right"/>
    </xf>
    <xf numFmtId="0" fontId="17" fillId="6" borderId="37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right"/>
    </xf>
    <xf numFmtId="164" fontId="2" fillId="0" borderId="37" xfId="0" applyNumberFormat="1" applyFont="1" applyBorder="1" applyAlignment="1">
      <alignment horizontal="right"/>
    </xf>
    <xf numFmtId="0" fontId="4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37" xfId="0" applyFont="1" applyBorder="1" applyAlignment="1"/>
    <xf numFmtId="0" fontId="4" fillId="8" borderId="37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4" fillId="7" borderId="37" xfId="0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right"/>
    </xf>
    <xf numFmtId="173" fontId="2" fillId="0" borderId="37" xfId="0" applyNumberFormat="1" applyFont="1" applyBorder="1" applyAlignment="1"/>
    <xf numFmtId="0" fontId="3" fillId="0" borderId="37" xfId="0" applyFont="1" applyBorder="1" applyAlignment="1">
      <alignment horizontal="left"/>
    </xf>
    <xf numFmtId="0" fontId="66" fillId="0" borderId="37" xfId="0" applyFont="1" applyBorder="1" applyAlignment="1"/>
    <xf numFmtId="0" fontId="3" fillId="0" borderId="37" xfId="0" applyFont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2" fontId="3" fillId="4" borderId="37" xfId="0" applyNumberFormat="1" applyFont="1" applyFill="1" applyBorder="1" applyAlignment="1">
      <alignment horizontal="right"/>
    </xf>
    <xf numFmtId="0" fontId="4" fillId="0" borderId="37" xfId="0" applyFont="1" applyBorder="1" applyAlignment="1"/>
    <xf numFmtId="0" fontId="3" fillId="0" borderId="37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37" xfId="0" applyFont="1" applyBorder="1" applyAlignment="1">
      <alignment horizontal="left" wrapText="1"/>
    </xf>
    <xf numFmtId="0" fontId="3" fillId="0" borderId="37" xfId="0" applyFont="1" applyBorder="1" applyAlignment="1"/>
    <xf numFmtId="0" fontId="17" fillId="6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right" vertical="center"/>
    </xf>
    <xf numFmtId="164" fontId="2" fillId="0" borderId="37" xfId="0" applyNumberFormat="1" applyFont="1" applyBorder="1" applyAlignment="1">
      <alignment vertical="center"/>
    </xf>
    <xf numFmtId="0" fontId="2" fillId="7" borderId="3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/>
    <xf numFmtId="0" fontId="2" fillId="0" borderId="37" xfId="0" applyFont="1" applyBorder="1" applyAlignment="1">
      <alignment horizontal="left" wrapText="1"/>
    </xf>
    <xf numFmtId="4" fontId="2" fillId="4" borderId="37" xfId="0" applyNumberFormat="1" applyFont="1" applyFill="1" applyBorder="1" applyAlignment="1">
      <alignment horizontal="right"/>
    </xf>
    <xf numFmtId="0" fontId="15" fillId="6" borderId="37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right"/>
    </xf>
    <xf numFmtId="0" fontId="2" fillId="0" borderId="37" xfId="0" applyFont="1" applyBorder="1" applyAlignment="1">
      <alignment wrapText="1"/>
    </xf>
    <xf numFmtId="4" fontId="4" fillId="4" borderId="37" xfId="0" applyNumberFormat="1" applyFont="1" applyFill="1" applyBorder="1" applyAlignment="1">
      <alignment horizontal="right"/>
    </xf>
    <xf numFmtId="0" fontId="15" fillId="5" borderId="38" xfId="0" applyFont="1" applyFill="1" applyBorder="1" applyAlignment="1">
      <alignment horizontal="center"/>
    </xf>
    <xf numFmtId="0" fontId="12" fillId="0" borderId="0" xfId="0" applyFont="1" applyAlignment="1"/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9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" fillId="0" borderId="56" xfId="0" applyFont="1" applyBorder="1" applyAlignment="1"/>
    <xf numFmtId="2" fontId="2" fillId="0" borderId="57" xfId="0" applyNumberFormat="1" applyFont="1" applyBorder="1" applyAlignment="1">
      <alignment horizontal="center"/>
    </xf>
    <xf numFmtId="0" fontId="1" fillId="2" borderId="58" xfId="0" applyFont="1" applyFill="1" applyBorder="1" applyAlignment="1">
      <alignment horizontal="center" vertical="center" wrapText="1"/>
    </xf>
    <xf numFmtId="4" fontId="1" fillId="2" borderId="59" xfId="0" applyNumberFormat="1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4" fontId="1" fillId="2" borderId="60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2" fontId="1" fillId="2" borderId="60" xfId="0" applyNumberFormat="1" applyFont="1" applyFill="1" applyBorder="1" applyAlignment="1">
      <alignment horizontal="center" vertical="center" wrapText="1"/>
    </xf>
    <xf numFmtId="0" fontId="3" fillId="0" borderId="9" xfId="2"/>
    <xf numFmtId="0" fontId="3" fillId="0" borderId="9" xfId="2" applyAlignment="1">
      <alignment horizontal="center"/>
    </xf>
    <xf numFmtId="0" fontId="8" fillId="0" borderId="9" xfId="2" applyFont="1" applyAlignment="1">
      <alignment vertical="center"/>
    </xf>
    <xf numFmtId="0" fontId="70" fillId="0" borderId="9" xfId="2" applyFont="1"/>
    <xf numFmtId="0" fontId="10" fillId="0" borderId="9" xfId="2" applyFont="1"/>
    <xf numFmtId="0" fontId="6" fillId="0" borderId="9" xfId="2" applyFont="1"/>
    <xf numFmtId="49" fontId="8" fillId="0" borderId="9" xfId="2" applyNumberFormat="1" applyFont="1" applyAlignment="1">
      <alignment vertical="center"/>
    </xf>
    <xf numFmtId="0" fontId="71" fillId="0" borderId="9" xfId="2" applyFont="1" applyAlignment="1">
      <alignment vertical="center"/>
    </xf>
    <xf numFmtId="0" fontId="72" fillId="0" borderId="9" xfId="2" applyFont="1"/>
    <xf numFmtId="0" fontId="65" fillId="0" borderId="69" xfId="2" applyFont="1" applyBorder="1" applyAlignment="1">
      <alignment horizontal="justify" vertical="center" wrapText="1"/>
    </xf>
    <xf numFmtId="4" fontId="73" fillId="0" borderId="14" xfId="4" applyNumberFormat="1" applyFont="1" applyFill="1" applyBorder="1" applyAlignment="1">
      <alignment vertical="center"/>
    </xf>
    <xf numFmtId="4" fontId="73" fillId="0" borderId="70" xfId="4" applyNumberFormat="1" applyFont="1" applyFill="1" applyBorder="1" applyAlignment="1">
      <alignment vertical="center"/>
    </xf>
    <xf numFmtId="0" fontId="23" fillId="10" borderId="71" xfId="2" applyFont="1" applyFill="1" applyBorder="1" applyAlignment="1">
      <alignment horizontal="right" vertical="center" wrapText="1"/>
    </xf>
    <xf numFmtId="4" fontId="27" fillId="10" borderId="14" xfId="4" applyNumberFormat="1" applyFont="1" applyFill="1" applyBorder="1" applyAlignment="1">
      <alignment vertical="center"/>
    </xf>
    <xf numFmtId="4" fontId="27" fillId="10" borderId="70" xfId="4" applyNumberFormat="1" applyFont="1" applyFill="1" applyBorder="1" applyAlignment="1">
      <alignment vertical="center"/>
    </xf>
    <xf numFmtId="0" fontId="20" fillId="0" borderId="9" xfId="2" applyFont="1" applyAlignment="1">
      <alignment horizontal="center" vertical="center" wrapText="1"/>
    </xf>
    <xf numFmtId="176" fontId="22" fillId="0" borderId="9" xfId="4" applyNumberFormat="1" applyFont="1" applyBorder="1" applyAlignment="1">
      <alignment horizontal="center" vertical="center"/>
    </xf>
    <xf numFmtId="0" fontId="20" fillId="0" borderId="9" xfId="2" applyFont="1" applyAlignment="1">
      <alignment horizontal="center" vertical="center"/>
    </xf>
    <xf numFmtId="0" fontId="23" fillId="0" borderId="9" xfId="2" applyFont="1"/>
    <xf numFmtId="0" fontId="65" fillId="0" borderId="9" xfId="2" applyFont="1"/>
    <xf numFmtId="0" fontId="23" fillId="0" borderId="9" xfId="2" applyFont="1" applyAlignment="1">
      <alignment horizontal="right"/>
    </xf>
    <xf numFmtId="0" fontId="65" fillId="0" borderId="46" xfId="2" applyFont="1" applyBorder="1"/>
    <xf numFmtId="0" fontId="65" fillId="0" borderId="9" xfId="2" applyFont="1" applyAlignment="1">
      <alignment vertical="center"/>
    </xf>
    <xf numFmtId="49" fontId="65" fillId="0" borderId="9" xfId="2" applyNumberFormat="1" applyFont="1" applyAlignment="1">
      <alignment horizontal="right" vertical="center"/>
    </xf>
    <xf numFmtId="0" fontId="23" fillId="17" borderId="64" xfId="2" applyFont="1" applyFill="1" applyBorder="1" applyAlignment="1">
      <alignment horizontal="center" vertical="center"/>
    </xf>
    <xf numFmtId="0" fontId="23" fillId="17" borderId="65" xfId="2" applyFont="1" applyFill="1" applyBorder="1" applyAlignment="1">
      <alignment horizontal="center" vertical="center" wrapText="1"/>
    </xf>
    <xf numFmtId="0" fontId="23" fillId="17" borderId="68" xfId="2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2" fillId="13" borderId="4" xfId="0" applyFont="1" applyFill="1" applyBorder="1" applyAlignment="1">
      <alignment vertical="center"/>
    </xf>
    <xf numFmtId="0" fontId="3" fillId="13" borderId="5" xfId="0" applyFont="1" applyFill="1" applyBorder="1"/>
    <xf numFmtId="0" fontId="3" fillId="13" borderId="6" xfId="0" applyFont="1" applyFill="1" applyBorder="1"/>
    <xf numFmtId="0" fontId="1" fillId="2" borderId="7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69" fillId="10" borderId="55" xfId="0" applyFont="1" applyFill="1" applyBorder="1" applyAlignment="1">
      <alignment horizontal="center" vertical="center"/>
    </xf>
    <xf numFmtId="0" fontId="69" fillId="10" borderId="46" xfId="0" applyFont="1" applyFill="1" applyBorder="1" applyAlignment="1">
      <alignment horizontal="center" vertical="center"/>
    </xf>
    <xf numFmtId="0" fontId="69" fillId="10" borderId="47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4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23" fillId="10" borderId="41" xfId="0" applyFont="1" applyFill="1" applyBorder="1" applyAlignment="1">
      <alignment horizontal="center"/>
    </xf>
    <xf numFmtId="0" fontId="23" fillId="10" borderId="10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3" borderId="0" xfId="0" applyFont="1" applyFill="1" applyAlignment="1">
      <alignment horizontal="left"/>
    </xf>
    <xf numFmtId="2" fontId="8" fillId="6" borderId="7" xfId="0" applyNumberFormat="1" applyFont="1" applyFill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0" fontId="3" fillId="0" borderId="2" xfId="0" applyFont="1" applyBorder="1"/>
    <xf numFmtId="0" fontId="1" fillId="6" borderId="41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0" fontId="3" fillId="0" borderId="8" xfId="0" applyFont="1" applyBorder="1"/>
    <xf numFmtId="0" fontId="17" fillId="6" borderId="8" xfId="0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right"/>
    </xf>
    <xf numFmtId="4" fontId="1" fillId="6" borderId="8" xfId="0" applyNumberFormat="1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8" fillId="6" borderId="41" xfId="0" applyFont="1" applyFill="1" applyBorder="1" applyAlignment="1">
      <alignment horizontal="right"/>
    </xf>
    <xf numFmtId="0" fontId="8" fillId="6" borderId="7" xfId="0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3" fillId="0" borderId="1" xfId="0" applyNumberFormat="1" applyFont="1" applyBorder="1"/>
    <xf numFmtId="2" fontId="1" fillId="6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wrapText="1"/>
    </xf>
    <xf numFmtId="4" fontId="67" fillId="6" borderId="8" xfId="0" applyNumberFormat="1" applyFont="1" applyFill="1" applyBorder="1" applyAlignment="1">
      <alignment horizontal="right"/>
    </xf>
    <xf numFmtId="0" fontId="68" fillId="0" borderId="1" xfId="0" applyFont="1" applyBorder="1"/>
    <xf numFmtId="4" fontId="67" fillId="6" borderId="8" xfId="0" applyNumberFormat="1" applyFont="1" applyFill="1" applyBorder="1" applyAlignment="1">
      <alignment horizontal="center"/>
    </xf>
    <xf numFmtId="0" fontId="68" fillId="0" borderId="8" xfId="0" applyFont="1" applyBorder="1"/>
    <xf numFmtId="0" fontId="18" fillId="6" borderId="7" xfId="0" applyFont="1" applyFill="1" applyBorder="1" applyAlignment="1">
      <alignment horizontal="right" wrapText="1"/>
    </xf>
    <xf numFmtId="0" fontId="34" fillId="9" borderId="11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53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2" fontId="24" fillId="0" borderId="11" xfId="0" applyNumberFormat="1" applyFont="1" applyBorder="1" applyAlignment="1">
      <alignment horizontal="center" vertical="center" wrapText="1"/>
    </xf>
    <xf numFmtId="172" fontId="9" fillId="12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4" fontId="26" fillId="9" borderId="11" xfId="0" applyNumberFormat="1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" fontId="0" fillId="0" borderId="11" xfId="0" applyNumberFormat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 wrapText="1"/>
    </xf>
    <xf numFmtId="4" fontId="26" fillId="0" borderId="11" xfId="1" applyNumberFormat="1" applyFont="1" applyFill="1" applyBorder="1" applyAlignment="1" applyProtection="1">
      <alignment horizontal="center" vertical="center"/>
    </xf>
    <xf numFmtId="0" fontId="24" fillId="14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justify" vertical="center" wrapText="1"/>
    </xf>
    <xf numFmtId="0" fontId="26" fillId="9" borderId="20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4" fontId="0" fillId="0" borderId="22" xfId="0" applyNumberFormat="1" applyBorder="1" applyAlignment="1">
      <alignment horizontal="center" vertical="center" wrapText="1"/>
    </xf>
    <xf numFmtId="4" fontId="26" fillId="9" borderId="22" xfId="0" applyNumberFormat="1" applyFont="1" applyFill="1" applyBorder="1" applyAlignment="1">
      <alignment horizontal="center" vertical="center" wrapText="1"/>
    </xf>
    <xf numFmtId="167" fontId="39" fillId="0" borderId="11" xfId="0" applyNumberFormat="1" applyFont="1" applyBorder="1" applyAlignment="1">
      <alignment horizontal="center" vertical="center"/>
    </xf>
    <xf numFmtId="14" fontId="39" fillId="0" borderId="11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horizontal="left" vertical="center" wrapText="1"/>
    </xf>
    <xf numFmtId="0" fontId="38" fillId="14" borderId="11" xfId="0" applyFont="1" applyFill="1" applyBorder="1" applyAlignment="1">
      <alignment horizontal="center" vertical="center" wrapText="1"/>
    </xf>
    <xf numFmtId="168" fontId="39" fillId="0" borderId="1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center" vertical="center" wrapText="1"/>
    </xf>
    <xf numFmtId="0" fontId="26" fillId="9" borderId="2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14" borderId="11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 vertical="center" wrapText="1"/>
    </xf>
    <xf numFmtId="0" fontId="34" fillId="9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6" fillId="9" borderId="11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right" vertical="center"/>
    </xf>
    <xf numFmtId="0" fontId="20" fillId="0" borderId="11" xfId="0" applyFont="1" applyBorder="1" applyAlignment="1">
      <alignment horizontal="justify" vertical="center"/>
    </xf>
    <xf numFmtId="0" fontId="41" fillId="14" borderId="11" xfId="0" applyFont="1" applyFill="1" applyBorder="1" applyAlignment="1">
      <alignment horizontal="left" vertical="center" wrapText="1"/>
    </xf>
    <xf numFmtId="0" fontId="24" fillId="14" borderId="11" xfId="0" applyFont="1" applyFill="1" applyBorder="1" applyAlignment="1">
      <alignment horizontal="right" vertical="center" wrapText="1"/>
    </xf>
    <xf numFmtId="0" fontId="0" fillId="15" borderId="11" xfId="0" applyFill="1" applyBorder="1" applyAlignment="1">
      <alignment horizontal="justify" vertical="center" wrapText="1"/>
    </xf>
    <xf numFmtId="0" fontId="42" fillId="14" borderId="11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/>
    </xf>
    <xf numFmtId="0" fontId="34" fillId="9" borderId="11" xfId="0" applyFont="1" applyFill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0" fontId="24" fillId="9" borderId="11" xfId="0" applyFont="1" applyFill="1" applyBorder="1" applyAlignment="1">
      <alignment horizontal="right" vertical="center"/>
    </xf>
    <xf numFmtId="0" fontId="34" fillId="0" borderId="11" xfId="0" applyFont="1" applyBorder="1" applyAlignment="1">
      <alignment horizontal="justify" vertical="center" wrapText="1"/>
    </xf>
    <xf numFmtId="0" fontId="34" fillId="0" borderId="11" xfId="0" applyFont="1" applyBorder="1" applyAlignment="1">
      <alignment horizontal="left" vertical="center"/>
    </xf>
    <xf numFmtId="0" fontId="34" fillId="9" borderId="12" xfId="0" applyFont="1" applyFill="1" applyBorder="1" applyAlignment="1">
      <alignment horizontal="center" vertical="center" wrapText="1"/>
    </xf>
    <xf numFmtId="0" fontId="24" fillId="12" borderId="30" xfId="0" applyFont="1" applyFill="1" applyBorder="1" applyAlignment="1">
      <alignment horizontal="center" vertical="center"/>
    </xf>
    <xf numFmtId="0" fontId="24" fillId="12" borderId="33" xfId="0" applyFont="1" applyFill="1" applyBorder="1" applyAlignment="1">
      <alignment horizontal="center" vertical="center"/>
    </xf>
    <xf numFmtId="0" fontId="24" fillId="12" borderId="35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left" vertical="center" wrapText="1"/>
    </xf>
    <xf numFmtId="0" fontId="21" fillId="12" borderId="32" xfId="0" applyFont="1" applyFill="1" applyBorder="1" applyAlignment="1">
      <alignment horizontal="left" vertical="center" wrapText="1"/>
    </xf>
    <xf numFmtId="4" fontId="3" fillId="12" borderId="27" xfId="0" applyNumberFormat="1" applyFont="1" applyFill="1" applyBorder="1" applyAlignment="1">
      <alignment horizontal="center" vertical="center"/>
    </xf>
    <xf numFmtId="4" fontId="3" fillId="12" borderId="29" xfId="0" applyNumberFormat="1" applyFont="1" applyFill="1" applyBorder="1" applyAlignment="1">
      <alignment horizontal="center" vertical="center"/>
    </xf>
    <xf numFmtId="4" fontId="3" fillId="12" borderId="23" xfId="0" applyNumberFormat="1" applyFont="1" applyFill="1" applyBorder="1" applyAlignment="1">
      <alignment horizontal="center" vertical="center"/>
    </xf>
    <xf numFmtId="0" fontId="53" fillId="12" borderId="20" xfId="0" applyFont="1" applyFill="1" applyBorder="1" applyAlignment="1">
      <alignment horizontal="left" vertical="center" wrapText="1"/>
    </xf>
    <xf numFmtId="0" fontId="53" fillId="12" borderId="11" xfId="0" applyFont="1" applyFill="1" applyBorder="1" applyAlignment="1">
      <alignment horizontal="left" vertical="center" wrapText="1"/>
    </xf>
    <xf numFmtId="0" fontId="62" fillId="12" borderId="11" xfId="0" applyFont="1" applyFill="1" applyBorder="1" applyAlignment="1">
      <alignment horizontal="left" vertical="center" wrapText="1"/>
    </xf>
    <xf numFmtId="0" fontId="53" fillId="12" borderId="18" xfId="0" applyFont="1" applyFill="1" applyBorder="1"/>
    <xf numFmtId="0" fontId="24" fillId="12" borderId="12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left" vertical="center" wrapText="1"/>
    </xf>
    <xf numFmtId="4" fontId="3" fillId="12" borderId="12" xfId="0" applyNumberFormat="1" applyFont="1" applyFill="1" applyBorder="1" applyAlignment="1">
      <alignment horizontal="center" vertical="center"/>
    </xf>
    <xf numFmtId="4" fontId="3" fillId="12" borderId="13" xfId="0" applyNumberFormat="1" applyFont="1" applyFill="1" applyBorder="1" applyAlignment="1">
      <alignment horizontal="center" vertical="center"/>
    </xf>
    <xf numFmtId="4" fontId="3" fillId="12" borderId="15" xfId="0" applyNumberFormat="1" applyFont="1" applyFill="1" applyBorder="1" applyAlignment="1">
      <alignment horizontal="center" vertical="center"/>
    </xf>
    <xf numFmtId="0" fontId="20" fillId="12" borderId="20" xfId="0" applyFont="1" applyFill="1" applyBorder="1" applyAlignment="1">
      <alignment vertical="center" wrapText="1"/>
    </xf>
    <xf numFmtId="0" fontId="63" fillId="12" borderId="20" xfId="0" applyFont="1" applyFill="1" applyBorder="1" applyAlignment="1">
      <alignment vertical="center" wrapText="1"/>
    </xf>
    <xf numFmtId="0" fontId="20" fillId="12" borderId="21" xfId="0" applyFont="1" applyFill="1" applyBorder="1" applyAlignment="1">
      <alignment vertical="center" wrapText="1"/>
    </xf>
    <xf numFmtId="0" fontId="20" fillId="12" borderId="22" xfId="0" applyFont="1" applyFill="1" applyBorder="1" applyAlignment="1">
      <alignment vertical="center" wrapText="1"/>
    </xf>
    <xf numFmtId="0" fontId="24" fillId="13" borderId="13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54" fillId="13" borderId="24" xfId="0" applyFont="1" applyFill="1" applyBorder="1" applyAlignment="1">
      <alignment horizontal="left" vertical="center" wrapText="1"/>
    </xf>
    <xf numFmtId="4" fontId="3" fillId="13" borderId="12" xfId="0" applyNumberFormat="1" applyFont="1" applyFill="1" applyBorder="1" applyAlignment="1">
      <alignment horizontal="center" vertical="center"/>
    </xf>
    <xf numFmtId="4" fontId="3" fillId="13" borderId="13" xfId="0" applyNumberFormat="1" applyFont="1" applyFill="1" applyBorder="1" applyAlignment="1">
      <alignment horizontal="center" vertical="center"/>
    </xf>
    <xf numFmtId="4" fontId="3" fillId="13" borderId="15" xfId="0" applyNumberFormat="1" applyFont="1" applyFill="1" applyBorder="1" applyAlignment="1">
      <alignment horizontal="center" vertical="center"/>
    </xf>
    <xf numFmtId="0" fontId="20" fillId="13" borderId="20" xfId="0" applyFont="1" applyFill="1" applyBorder="1" applyAlignment="1">
      <alignment horizontal="left" vertical="center" wrapText="1"/>
    </xf>
    <xf numFmtId="0" fontId="63" fillId="13" borderId="20" xfId="0" applyFont="1" applyFill="1" applyBorder="1" applyAlignment="1">
      <alignment horizontal="left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20" fillId="13" borderId="21" xfId="0" applyFont="1" applyFill="1" applyBorder="1" applyAlignment="1">
      <alignment horizontal="left" vertical="center" wrapText="1"/>
    </xf>
    <xf numFmtId="0" fontId="20" fillId="13" borderId="22" xfId="0" applyFont="1" applyFill="1" applyBorder="1" applyAlignment="1">
      <alignment horizontal="left" vertical="center" wrapText="1"/>
    </xf>
    <xf numFmtId="0" fontId="24" fillId="9" borderId="11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4" fillId="14" borderId="42" xfId="0" applyFont="1" applyFill="1" applyBorder="1" applyAlignment="1">
      <alignment horizontal="justify" vertical="center" wrapText="1"/>
    </xf>
    <xf numFmtId="0" fontId="44" fillId="14" borderId="14" xfId="0" applyFont="1" applyFill="1" applyBorder="1" applyAlignment="1">
      <alignment horizontal="right" vertical="center" wrapText="1"/>
    </xf>
    <xf numFmtId="0" fontId="34" fillId="9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center" wrapText="1"/>
    </xf>
    <xf numFmtId="0" fontId="20" fillId="9" borderId="11" xfId="0" applyFont="1" applyFill="1" applyBorder="1" applyAlignment="1">
      <alignment horizontal="left" vertical="center" wrapText="1"/>
    </xf>
    <xf numFmtId="0" fontId="24" fillId="11" borderId="11" xfId="0" applyFont="1" applyFill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27" fillId="14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4" fillId="14" borderId="11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right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45" fillId="0" borderId="46" xfId="0" applyFont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48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45" fillId="0" borderId="5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49" fontId="24" fillId="9" borderId="20" xfId="0" applyNumberFormat="1" applyFont="1" applyFill="1" applyBorder="1" applyAlignment="1">
      <alignment horizontal="center" vertical="center" wrapText="1"/>
    </xf>
    <xf numFmtId="0" fontId="37" fillId="14" borderId="14" xfId="0" applyFont="1" applyFill="1" applyBorder="1" applyAlignment="1">
      <alignment vertical="center"/>
    </xf>
    <xf numFmtId="0" fontId="20" fillId="0" borderId="15" xfId="0" applyFont="1" applyBorder="1" applyAlignment="1">
      <alignment horizontal="left" vertical="center" wrapText="1"/>
    </xf>
    <xf numFmtId="49" fontId="34" fillId="0" borderId="11" xfId="0" applyNumberFormat="1" applyFont="1" applyBorder="1" applyAlignment="1">
      <alignment horizontal="left" vertical="top" wrapText="1"/>
    </xf>
    <xf numFmtId="49" fontId="23" fillId="0" borderId="11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3" fillId="9" borderId="38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24" fillId="0" borderId="16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left" wrapText="1"/>
    </xf>
    <xf numFmtId="2" fontId="3" fillId="0" borderId="12" xfId="0" applyNumberFormat="1" applyFont="1" applyBorder="1" applyAlignment="1">
      <alignment horizontal="center" vertical="center"/>
    </xf>
    <xf numFmtId="0" fontId="24" fillId="14" borderId="12" xfId="0" applyFont="1" applyFill="1" applyBorder="1" applyAlignment="1">
      <alignment horizontal="right" vertical="center" wrapText="1"/>
    </xf>
    <xf numFmtId="0" fontId="20" fillId="0" borderId="12" xfId="0" applyFont="1" applyBorder="1" applyAlignment="1">
      <alignment horizontal="left" vertical="center" wrapText="1"/>
    </xf>
    <xf numFmtId="0" fontId="24" fillId="14" borderId="11" xfId="0" applyFont="1" applyFill="1" applyBorder="1" applyAlignment="1">
      <alignment horizontal="center"/>
    </xf>
    <xf numFmtId="0" fontId="24" fillId="0" borderId="2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top" wrapText="1"/>
    </xf>
    <xf numFmtId="0" fontId="24" fillId="14" borderId="11" xfId="0" applyFont="1" applyFill="1" applyBorder="1" applyAlignment="1">
      <alignment wrapText="1"/>
    </xf>
    <xf numFmtId="0" fontId="24" fillId="0" borderId="25" xfId="0" applyFont="1" applyBorder="1" applyAlignment="1">
      <alignment horizontal="left" vertical="center"/>
    </xf>
    <xf numFmtId="0" fontId="0" fillId="9" borderId="11" xfId="0" applyFill="1" applyBorder="1" applyAlignment="1">
      <alignment horizontal="center" vertical="top" wrapText="1"/>
    </xf>
    <xf numFmtId="171" fontId="24" fillId="0" borderId="11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24" fillId="0" borderId="20" xfId="0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left"/>
    </xf>
    <xf numFmtId="4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 vertical="center" wrapText="1"/>
    </xf>
    <xf numFmtId="0" fontId="24" fillId="14" borderId="11" xfId="0" applyFont="1" applyFill="1" applyBorder="1"/>
    <xf numFmtId="0" fontId="0" fillId="0" borderId="26" xfId="0" applyBorder="1" applyAlignment="1">
      <alignment horizontal="justify" vertical="center" wrapText="1"/>
    </xf>
    <xf numFmtId="0" fontId="24" fillId="9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4" fontId="3" fillId="0" borderId="15" xfId="0" applyNumberFormat="1" applyFont="1" applyBorder="1" applyAlignment="1">
      <alignment horizontal="center"/>
    </xf>
    <xf numFmtId="0" fontId="26" fillId="9" borderId="11" xfId="0" applyFont="1" applyFill="1" applyBorder="1" applyAlignment="1">
      <alignment horizontal="center" wrapText="1"/>
    </xf>
    <xf numFmtId="4" fontId="26" fillId="9" borderId="11" xfId="0" applyNumberFormat="1" applyFont="1" applyFill="1" applyBorder="1" applyAlignment="1">
      <alignment horizontal="right" vertical="center" wrapText="1"/>
    </xf>
    <xf numFmtId="0" fontId="24" fillId="14" borderId="11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justify" wrapText="1"/>
    </xf>
    <xf numFmtId="0" fontId="26" fillId="14" borderId="11" xfId="0" applyFont="1" applyFill="1" applyBorder="1" applyAlignment="1">
      <alignment horizontal="right" wrapText="1"/>
    </xf>
    <xf numFmtId="0" fontId="3" fillId="0" borderId="15" xfId="0" applyFont="1" applyBorder="1" applyAlignment="1">
      <alignment horizontal="justify" wrapText="1"/>
    </xf>
    <xf numFmtId="0" fontId="24" fillId="0" borderId="15" xfId="0" applyFont="1" applyBorder="1" applyAlignment="1">
      <alignment horizontal="left"/>
    </xf>
    <xf numFmtId="4" fontId="24" fillId="0" borderId="15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4" fontId="26" fillId="0" borderId="11" xfId="0" applyNumberFormat="1" applyFont="1" applyBorder="1" applyAlignment="1">
      <alignment horizontal="righ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wrapText="1"/>
    </xf>
    <xf numFmtId="0" fontId="24" fillId="14" borderId="11" xfId="0" applyFont="1" applyFill="1" applyBorder="1" applyAlignment="1">
      <alignment horizontal="left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14" borderId="26" xfId="0" applyFont="1" applyFill="1" applyBorder="1" applyAlignment="1">
      <alignment horizontal="center"/>
    </xf>
    <xf numFmtId="0" fontId="26" fillId="0" borderId="11" xfId="0" applyFont="1" applyBorder="1" applyAlignment="1">
      <alignment horizontal="center" wrapText="1"/>
    </xf>
    <xf numFmtId="0" fontId="24" fillId="14" borderId="20" xfId="0" applyFont="1" applyFill="1" applyBorder="1" applyAlignment="1">
      <alignment horizontal="left"/>
    </xf>
    <xf numFmtId="0" fontId="24" fillId="14" borderId="21" xfId="0" applyFont="1" applyFill="1" applyBorder="1" applyAlignment="1">
      <alignment horizontal="left"/>
    </xf>
    <xf numFmtId="0" fontId="24" fillId="14" borderId="22" xfId="0" applyFont="1" applyFill="1" applyBorder="1" applyAlignment="1">
      <alignment horizontal="left"/>
    </xf>
    <xf numFmtId="0" fontId="24" fillId="0" borderId="11" xfId="0" applyFont="1" applyBorder="1" applyAlignment="1">
      <alignment horizontal="justify" vertical="top"/>
    </xf>
    <xf numFmtId="0" fontId="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1" fontId="8" fillId="0" borderId="11" xfId="0" applyNumberFormat="1" applyFont="1" applyBorder="1" applyAlignment="1">
      <alignment horizontal="center"/>
    </xf>
    <xf numFmtId="0" fontId="27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center" wrapText="1"/>
    </xf>
    <xf numFmtId="0" fontId="27" fillId="14" borderId="21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justify" vertical="center" wrapText="1"/>
    </xf>
    <xf numFmtId="167" fontId="28" fillId="0" borderId="11" xfId="0" applyNumberFormat="1" applyFont="1" applyBorder="1" applyAlignment="1">
      <alignment horizontal="center" vertical="center"/>
    </xf>
    <xf numFmtId="0" fontId="24" fillId="14" borderId="11" xfId="0" applyFont="1" applyFill="1" applyBorder="1" applyAlignment="1">
      <alignment horizontal="justify" vertical="center" wrapText="1"/>
    </xf>
    <xf numFmtId="0" fontId="24" fillId="0" borderId="11" xfId="0" applyFont="1" applyBorder="1" applyAlignment="1">
      <alignment horizontal="left"/>
    </xf>
    <xf numFmtId="0" fontId="24" fillId="0" borderId="11" xfId="0" applyFont="1" applyBorder="1" applyAlignment="1">
      <alignment horizontal="justify" wrapText="1"/>
    </xf>
    <xf numFmtId="0" fontId="39" fillId="0" borderId="11" xfId="0" applyFont="1" applyBorder="1" applyAlignment="1">
      <alignment horizontal="center"/>
    </xf>
    <xf numFmtId="0" fontId="71" fillId="0" borderId="9" xfId="2" applyFont="1" applyAlignment="1">
      <alignment horizontal="left" vertical="center"/>
    </xf>
    <xf numFmtId="0" fontId="23" fillId="17" borderId="66" xfId="2" applyFont="1" applyFill="1" applyBorder="1" applyAlignment="1">
      <alignment horizontal="center" vertical="center" wrapText="1"/>
    </xf>
    <xf numFmtId="0" fontId="23" fillId="17" borderId="67" xfId="2" applyFont="1" applyFill="1" applyBorder="1" applyAlignment="1">
      <alignment horizontal="center" vertical="center" wrapText="1"/>
    </xf>
    <xf numFmtId="4" fontId="73" fillId="0" borderId="16" xfId="2" applyNumberFormat="1" applyFont="1" applyBorder="1" applyAlignment="1">
      <alignment horizontal="right" vertical="center"/>
    </xf>
    <xf numFmtId="4" fontId="73" fillId="0" borderId="17" xfId="2" applyNumberFormat="1" applyFont="1" applyBorder="1" applyAlignment="1">
      <alignment horizontal="right" vertical="center"/>
    </xf>
    <xf numFmtId="4" fontId="27" fillId="10" borderId="16" xfId="2" applyNumberFormat="1" applyFont="1" applyFill="1" applyBorder="1" applyAlignment="1">
      <alignment horizontal="right" vertical="center"/>
    </xf>
    <xf numFmtId="4" fontId="27" fillId="10" borderId="17" xfId="2" applyNumberFormat="1" applyFont="1" applyFill="1" applyBorder="1" applyAlignment="1">
      <alignment horizontal="right" vertical="center"/>
    </xf>
    <xf numFmtId="0" fontId="65" fillId="0" borderId="9" xfId="2" applyFont="1" applyAlignment="1">
      <alignment horizontal="justify"/>
    </xf>
    <xf numFmtId="14" fontId="65" fillId="0" borderId="9" xfId="2" applyNumberFormat="1" applyFont="1" applyAlignment="1">
      <alignment horizontal="left" vertical="center"/>
    </xf>
    <xf numFmtId="0" fontId="65" fillId="0" borderId="9" xfId="2" applyFont="1" applyAlignment="1">
      <alignment horizontal="justify" wrapText="1"/>
    </xf>
    <xf numFmtId="0" fontId="65" fillId="0" borderId="9" xfId="2" applyFont="1" applyAlignment="1">
      <alignment horizontal="left"/>
    </xf>
    <xf numFmtId="0" fontId="65" fillId="0" borderId="9" xfId="2" applyFont="1" applyAlignment="1">
      <alignment horizontal="center"/>
    </xf>
    <xf numFmtId="0" fontId="65" fillId="0" borderId="9" xfId="2" applyFont="1" applyAlignment="1">
      <alignment horizontal="left" vertical="center"/>
    </xf>
    <xf numFmtId="177" fontId="65" fillId="0" borderId="9" xfId="2" applyNumberFormat="1" applyFont="1" applyAlignment="1">
      <alignment horizontal="left" vertical="center"/>
    </xf>
  </cellXfs>
  <cellStyles count="5">
    <cellStyle name="Moeda" xfId="3" builtinId="4"/>
    <cellStyle name="Moeda 2" xfId="4" xr:uid="{940E9786-7325-491A-B992-88DC90655962}"/>
    <cellStyle name="Normal" xfId="0" builtinId="0"/>
    <cellStyle name="Normal 2" xfId="2" xr:uid="{74CF077A-8E17-4E08-A163-33677A568AE3}"/>
    <cellStyle name="Vírgula" xfId="1" builtinId="3"/>
  </cellStyles>
  <dxfs count="2"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2</xdr:col>
      <xdr:colOff>151675</xdr:colOff>
      <xdr:row>4</xdr:row>
      <xdr:rowOff>15240</xdr:rowOff>
    </xdr:to>
    <xdr:pic>
      <xdr:nvPicPr>
        <xdr:cNvPr id="2" name="Imagem 1" descr="logo_reitoria">
          <a:extLst>
            <a:ext uri="{FF2B5EF4-FFF2-40B4-BE49-F238E27FC236}">
              <a16:creationId xmlns:a16="http://schemas.microsoft.com/office/drawing/2014/main" id="{08FE9EEF-1AAF-4F0B-B535-42D788DE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8100"/>
          <a:ext cx="178235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201083</xdr:colOff>
      <xdr:row>24</xdr:row>
      <xdr:rowOff>158751</xdr:rowOff>
    </xdr:from>
    <xdr:to>
      <xdr:col>5</xdr:col>
      <xdr:colOff>1587500</xdr:colOff>
      <xdr:row>35</xdr:row>
      <xdr:rowOff>105835</xdr:rowOff>
    </xdr:to>
    <xdr:sp macro="" textlink="">
      <xdr:nvSpPr>
        <xdr:cNvPr id="2" name="Colchete duplo 3">
          <a:extLst>
            <a:ext uri="{FF2B5EF4-FFF2-40B4-BE49-F238E27FC236}">
              <a16:creationId xmlns:a16="http://schemas.microsoft.com/office/drawing/2014/main" id="{0DFFD156-5A1F-46B8-A865-56C0731EA6BB}"/>
            </a:ext>
          </a:extLst>
        </xdr:cNvPr>
        <xdr:cNvSpPr/>
      </xdr:nvSpPr>
      <xdr:spPr>
        <a:xfrm>
          <a:off x="4992158" y="7702551"/>
          <a:ext cx="4139142" cy="204258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76200</xdr:colOff>
      <xdr:row>1</xdr:row>
      <xdr:rowOff>76200</xdr:rowOff>
    </xdr:from>
    <xdr:to>
      <xdr:col>1</xdr:col>
      <xdr:colOff>2428875</xdr:colOff>
      <xdr:row>5</xdr:row>
      <xdr:rowOff>152400</xdr:rowOff>
    </xdr:to>
    <xdr:pic>
      <xdr:nvPicPr>
        <xdr:cNvPr id="3" name="Imagem 2" descr="logo_reitoria">
          <a:extLst>
            <a:ext uri="{FF2B5EF4-FFF2-40B4-BE49-F238E27FC236}">
              <a16:creationId xmlns:a16="http://schemas.microsoft.com/office/drawing/2014/main" id="{56BFE5B0-4AB4-40BD-9225-AB1A6FD4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8125"/>
          <a:ext cx="2352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\Downloads\&#193;reas%20Ajustadas%20Limpeza%20-%20Cfe%20Farroupil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-%20MICRO%20307%20-%2020MAR20\FINANCEIRO\SERVI&#199;OS%20C%20CONTRATO\LIMPEZA\PREG&#195;O%202021\LIMPEZA-RG%20-%20Modelo%20Farroupilh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lte\Desktop\Item-2-Planilha-de-Custos-LIMPEZA-Campus-Vacari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S AJUSTADAS"/>
      <sheetName val="ÁREAS TOTAIS após ajuste"/>
      <sheetName val="Plan_Custos Completa"/>
      <sheetName val="Plan_Custos Sem Insumos"/>
      <sheetName val="Cálculo Quantidade"/>
      <sheetName val="Insumos"/>
      <sheetName val="qtd roberto"/>
    </sheetNames>
    <sheetDataSet>
      <sheetData sheetId="0"/>
      <sheetData sheetId="1">
        <row r="4">
          <cell r="C4">
            <v>138.30000000000001</v>
          </cell>
        </row>
        <row r="5">
          <cell r="C5">
            <v>7300.19</v>
          </cell>
        </row>
        <row r="6">
          <cell r="C6">
            <v>124.1</v>
          </cell>
        </row>
        <row r="7">
          <cell r="C7">
            <v>307.38</v>
          </cell>
        </row>
        <row r="8">
          <cell r="C8">
            <v>2449.77</v>
          </cell>
        </row>
        <row r="9">
          <cell r="C9">
            <v>2163.91</v>
          </cell>
        </row>
        <row r="10">
          <cell r="C10">
            <v>526.21</v>
          </cell>
        </row>
        <row r="11">
          <cell r="C11">
            <v>1065.8699999999999</v>
          </cell>
        </row>
        <row r="12">
          <cell r="C12">
            <v>623.59</v>
          </cell>
        </row>
        <row r="13">
          <cell r="C13">
            <v>0</v>
          </cell>
        </row>
        <row r="14">
          <cell r="C14">
            <v>1417.99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308.81</v>
          </cell>
        </row>
        <row r="18">
          <cell r="C18">
            <v>1102.26</v>
          </cell>
        </row>
        <row r="19">
          <cell r="C19">
            <v>1411.06</v>
          </cell>
        </row>
        <row r="20">
          <cell r="C20">
            <v>75.569999999999993</v>
          </cell>
        </row>
        <row r="21">
          <cell r="C21">
            <v>56.82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  <sheetDataSet>
      <sheetData sheetId="0">
        <row r="68">
          <cell r="B68">
            <v>1.6500000000000001E-2</v>
          </cell>
        </row>
        <row r="69">
          <cell r="B69">
            <v>7.5999999999999998E-2</v>
          </cell>
        </row>
        <row r="85">
          <cell r="B85">
            <v>0.03</v>
          </cell>
        </row>
        <row r="86">
          <cell r="B86">
            <v>1</v>
          </cell>
        </row>
        <row r="87">
          <cell r="B87">
            <v>18.2</v>
          </cell>
        </row>
        <row r="99">
          <cell r="C99">
            <v>0.03</v>
          </cell>
        </row>
        <row r="100">
          <cell r="C100">
            <v>6.7900000000000002E-2</v>
          </cell>
        </row>
      </sheetData>
      <sheetData sheetId="1">
        <row r="101">
          <cell r="F101" t="e">
            <v>#REF!</v>
          </cell>
        </row>
      </sheetData>
      <sheetData sheetId="2">
        <row r="4">
          <cell r="C4">
            <v>210.07512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214"/>
  <sheetViews>
    <sheetView tabSelected="1" workbookViewId="0">
      <selection activeCell="B8" sqref="B8"/>
    </sheetView>
  </sheetViews>
  <sheetFormatPr defaultColWidth="14.42578125" defaultRowHeight="15.75" customHeight="1"/>
  <cols>
    <col min="1" max="1" width="54.28515625" customWidth="1"/>
  </cols>
  <sheetData>
    <row r="1" spans="1:25" ht="32.25" customHeight="1">
      <c r="A1" s="316" t="s">
        <v>0</v>
      </c>
      <c r="B1" s="317"/>
      <c r="C1" s="317"/>
      <c r="D1" s="3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2.25" customHeight="1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>
      <c r="A3" s="315" t="s">
        <v>1</v>
      </c>
      <c r="B3" s="315"/>
      <c r="C3" s="315"/>
      <c r="D3" s="3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8.25">
      <c r="A4" s="276" t="s">
        <v>2</v>
      </c>
      <c r="B4" s="113" t="s">
        <v>3</v>
      </c>
      <c r="C4" s="113" t="s">
        <v>4</v>
      </c>
      <c r="D4" s="277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>
      <c r="A5" s="278" t="s">
        <v>6</v>
      </c>
      <c r="B5" s="40">
        <v>230.5</v>
      </c>
      <c r="C5" s="40">
        <v>3</v>
      </c>
      <c r="D5" s="279">
        <f>(B5/5)*C5</f>
        <v>138.30000000000001</v>
      </c>
    </row>
    <row r="6" spans="1:25" ht="12.75">
      <c r="A6" s="280" t="s">
        <v>7</v>
      </c>
      <c r="B6" s="281">
        <f>SUM(B5)</f>
        <v>230.5</v>
      </c>
      <c r="C6" s="282"/>
      <c r="D6" s="283">
        <f>ROUND(SUM(D5),2)</f>
        <v>138.30000000000001</v>
      </c>
    </row>
    <row r="8" spans="1:25" ht="38.25">
      <c r="A8" s="284" t="s">
        <v>8</v>
      </c>
      <c r="B8" s="285" t="s">
        <v>3</v>
      </c>
      <c r="C8" s="285" t="s">
        <v>4</v>
      </c>
      <c r="D8" s="286" t="s">
        <v>5</v>
      </c>
    </row>
    <row r="9" spans="1:25" ht="12.75">
      <c r="A9" s="278" t="s">
        <v>9</v>
      </c>
      <c r="B9" s="40">
        <v>731.01</v>
      </c>
      <c r="C9" s="40">
        <v>3</v>
      </c>
      <c r="D9" s="279">
        <f t="shared" ref="D9:D29" si="0">(B9/5)*C9</f>
        <v>438.60599999999999</v>
      </c>
    </row>
    <row r="10" spans="1:25" ht="12.75">
      <c r="A10" s="278" t="s">
        <v>10</v>
      </c>
      <c r="B10" s="40">
        <v>923.44</v>
      </c>
      <c r="C10" s="40">
        <v>3</v>
      </c>
      <c r="D10" s="279">
        <f t="shared" si="0"/>
        <v>554.06400000000008</v>
      </c>
    </row>
    <row r="11" spans="1:25" ht="12.75">
      <c r="A11" s="278" t="s">
        <v>11</v>
      </c>
      <c r="B11" s="40">
        <v>213.59</v>
      </c>
      <c r="C11" s="40">
        <v>3</v>
      </c>
      <c r="D11" s="279">
        <f t="shared" si="0"/>
        <v>128.154</v>
      </c>
    </row>
    <row r="12" spans="1:25" ht="12.75">
      <c r="A12" s="278" t="s">
        <v>12</v>
      </c>
      <c r="B12" s="40">
        <v>497.3</v>
      </c>
      <c r="C12" s="40">
        <v>5</v>
      </c>
      <c r="D12" s="279">
        <f t="shared" si="0"/>
        <v>497.30000000000007</v>
      </c>
    </row>
    <row r="13" spans="1:25" ht="12.75">
      <c r="A13" s="278" t="s">
        <v>13</v>
      </c>
      <c r="B13" s="40">
        <v>45.74</v>
      </c>
      <c r="C13" s="40">
        <v>1</v>
      </c>
      <c r="D13" s="279">
        <f t="shared" si="0"/>
        <v>9.1479999999999997</v>
      </c>
    </row>
    <row r="14" spans="1:25" ht="12.75">
      <c r="A14" s="278" t="s">
        <v>14</v>
      </c>
      <c r="B14" s="40">
        <v>474.64</v>
      </c>
      <c r="C14" s="40">
        <v>5</v>
      </c>
      <c r="D14" s="279">
        <f t="shared" si="0"/>
        <v>474.64</v>
      </c>
    </row>
    <row r="15" spans="1:25" ht="12.75">
      <c r="A15" s="278" t="s">
        <v>15</v>
      </c>
      <c r="B15" s="40">
        <v>471.94</v>
      </c>
      <c r="C15" s="40">
        <v>5</v>
      </c>
      <c r="D15" s="279">
        <f t="shared" si="0"/>
        <v>471.94000000000005</v>
      </c>
    </row>
    <row r="16" spans="1:25" ht="12.75">
      <c r="A16" s="278" t="s">
        <v>16</v>
      </c>
      <c r="B16" s="40">
        <v>132.55000000000001</v>
      </c>
      <c r="C16" s="40">
        <v>5</v>
      </c>
      <c r="D16" s="279">
        <f t="shared" si="0"/>
        <v>132.55000000000001</v>
      </c>
    </row>
    <row r="17" spans="1:4" ht="12.75">
      <c r="A17" s="278" t="s">
        <v>17</v>
      </c>
      <c r="B17" s="40">
        <v>901.96</v>
      </c>
      <c r="C17" s="40">
        <v>5</v>
      </c>
      <c r="D17" s="279">
        <f t="shared" si="0"/>
        <v>901.96</v>
      </c>
    </row>
    <row r="18" spans="1:4" ht="12.75">
      <c r="A18" s="278" t="s">
        <v>18</v>
      </c>
      <c r="B18" s="40">
        <v>503.17</v>
      </c>
      <c r="C18" s="40">
        <v>3</v>
      </c>
      <c r="D18" s="279">
        <f t="shared" si="0"/>
        <v>301.90199999999999</v>
      </c>
    </row>
    <row r="19" spans="1:4" ht="12.75">
      <c r="A19" s="278" t="s">
        <v>19</v>
      </c>
      <c r="B19" s="40">
        <v>440.73</v>
      </c>
      <c r="C19" s="40">
        <v>3</v>
      </c>
      <c r="D19" s="279">
        <f t="shared" si="0"/>
        <v>264.43799999999999</v>
      </c>
    </row>
    <row r="20" spans="1:4" ht="12.75">
      <c r="A20" s="278" t="s">
        <v>20</v>
      </c>
      <c r="B20" s="40">
        <v>726.07</v>
      </c>
      <c r="C20" s="40">
        <v>5</v>
      </c>
      <c r="D20" s="279">
        <f t="shared" si="0"/>
        <v>726.06999999999994</v>
      </c>
    </row>
    <row r="21" spans="1:4" ht="12.75">
      <c r="A21" s="278" t="s">
        <v>21</v>
      </c>
      <c r="B21" s="40">
        <v>490.02</v>
      </c>
      <c r="C21" s="40">
        <v>5</v>
      </c>
      <c r="D21" s="279">
        <f t="shared" si="0"/>
        <v>490.02</v>
      </c>
    </row>
    <row r="22" spans="1:4" ht="12.75">
      <c r="A22" s="278" t="s">
        <v>22</v>
      </c>
      <c r="B22" s="40">
        <v>471.52</v>
      </c>
      <c r="C22" s="40">
        <v>5</v>
      </c>
      <c r="D22" s="279">
        <f t="shared" si="0"/>
        <v>471.52</v>
      </c>
    </row>
    <row r="23" spans="1:4" ht="12.75">
      <c r="A23" s="278" t="s">
        <v>23</v>
      </c>
      <c r="B23" s="40">
        <v>796.21</v>
      </c>
      <c r="C23" s="40">
        <v>5</v>
      </c>
      <c r="D23" s="279">
        <f t="shared" si="0"/>
        <v>796.21</v>
      </c>
    </row>
    <row r="24" spans="1:4" ht="12.75">
      <c r="A24" s="278" t="s">
        <v>24</v>
      </c>
      <c r="B24" s="40">
        <v>34.36</v>
      </c>
      <c r="C24" s="40">
        <v>5</v>
      </c>
      <c r="D24" s="279">
        <f t="shared" si="0"/>
        <v>34.36</v>
      </c>
    </row>
    <row r="25" spans="1:4" ht="12.75">
      <c r="A25" s="278" t="s">
        <v>25</v>
      </c>
      <c r="B25" s="40">
        <v>35.57</v>
      </c>
      <c r="C25" s="40">
        <v>5</v>
      </c>
      <c r="D25" s="279">
        <f t="shared" si="0"/>
        <v>35.57</v>
      </c>
    </row>
    <row r="26" spans="1:4" ht="12.75">
      <c r="A26" s="278" t="s">
        <v>6</v>
      </c>
      <c r="B26" s="40">
        <v>178.28</v>
      </c>
      <c r="C26" s="40">
        <v>3</v>
      </c>
      <c r="D26" s="279">
        <f t="shared" si="0"/>
        <v>106.96799999999999</v>
      </c>
    </row>
    <row r="27" spans="1:4" ht="12.75">
      <c r="A27" s="278" t="s">
        <v>26</v>
      </c>
      <c r="B27" s="40">
        <v>283.60000000000002</v>
      </c>
      <c r="C27" s="40">
        <v>3</v>
      </c>
      <c r="D27" s="279">
        <f t="shared" si="0"/>
        <v>170.16000000000003</v>
      </c>
    </row>
    <row r="28" spans="1:4" ht="12.75">
      <c r="A28" s="278" t="s">
        <v>27</v>
      </c>
      <c r="B28" s="40">
        <v>207.13</v>
      </c>
      <c r="C28" s="40">
        <v>5</v>
      </c>
      <c r="D28" s="279">
        <f t="shared" si="0"/>
        <v>207.13</v>
      </c>
    </row>
    <row r="29" spans="1:4" ht="12.75">
      <c r="A29" s="278" t="s">
        <v>28</v>
      </c>
      <c r="B29" s="40">
        <v>145.80000000000001</v>
      </c>
      <c r="C29" s="40">
        <v>3</v>
      </c>
      <c r="D29" s="279">
        <f t="shared" si="0"/>
        <v>87.480000000000018</v>
      </c>
    </row>
    <row r="30" spans="1:4" ht="12.75">
      <c r="A30" s="280" t="s">
        <v>7</v>
      </c>
      <c r="B30" s="281">
        <f>SUM(B9:B29)</f>
        <v>8704.6299999999974</v>
      </c>
      <c r="C30" s="282"/>
      <c r="D30" s="283">
        <f>ROUND(SUM(D9:D29),2)</f>
        <v>7300.19</v>
      </c>
    </row>
    <row r="32" spans="1:4" ht="38.25">
      <c r="A32" s="284" t="s">
        <v>29</v>
      </c>
      <c r="B32" s="285" t="s">
        <v>3</v>
      </c>
      <c r="C32" s="285" t="s">
        <v>4</v>
      </c>
      <c r="D32" s="286" t="s">
        <v>5</v>
      </c>
    </row>
    <row r="33" spans="1:4" ht="12.75">
      <c r="A33" s="278" t="s">
        <v>17</v>
      </c>
      <c r="B33" s="40">
        <v>124.1</v>
      </c>
      <c r="C33" s="40">
        <v>5</v>
      </c>
      <c r="D33" s="279">
        <f>(B33/5)*C33</f>
        <v>124.1</v>
      </c>
    </row>
    <row r="34" spans="1:4" ht="12.75">
      <c r="A34" s="280" t="s">
        <v>7</v>
      </c>
      <c r="B34" s="281">
        <f>SUM(B33)</f>
        <v>124.1</v>
      </c>
      <c r="C34" s="282"/>
      <c r="D34" s="287">
        <f>ROUND(SUM(D33),2)</f>
        <v>124.1</v>
      </c>
    </row>
    <row r="36" spans="1:4" ht="38.25">
      <c r="A36" s="284" t="s">
        <v>30</v>
      </c>
      <c r="B36" s="285" t="s">
        <v>3</v>
      </c>
      <c r="C36" s="285" t="s">
        <v>4</v>
      </c>
      <c r="D36" s="286" t="s">
        <v>5</v>
      </c>
    </row>
    <row r="37" spans="1:4" ht="12.75">
      <c r="A37" s="278" t="s">
        <v>12</v>
      </c>
      <c r="B37" s="40">
        <v>21.96</v>
      </c>
      <c r="C37" s="40">
        <v>2</v>
      </c>
      <c r="D37" s="279">
        <f t="shared" ref="D37:D43" si="1">(B37/5)*C37</f>
        <v>8.7840000000000007</v>
      </c>
    </row>
    <row r="38" spans="1:4" ht="12.75">
      <c r="A38" s="278" t="s">
        <v>13</v>
      </c>
      <c r="B38" s="40">
        <v>421.69</v>
      </c>
      <c r="C38" s="40">
        <v>2</v>
      </c>
      <c r="D38" s="279">
        <f t="shared" si="1"/>
        <v>168.67599999999999</v>
      </c>
    </row>
    <row r="39" spans="1:4" ht="12.75">
      <c r="A39" s="278" t="s">
        <v>19</v>
      </c>
      <c r="B39" s="40">
        <v>241.81</v>
      </c>
      <c r="C39" s="40">
        <v>2</v>
      </c>
      <c r="D39" s="279">
        <f t="shared" si="1"/>
        <v>96.724000000000004</v>
      </c>
    </row>
    <row r="40" spans="1:4" ht="12.75">
      <c r="A40" s="278" t="s">
        <v>20</v>
      </c>
      <c r="B40" s="40">
        <v>26.79</v>
      </c>
      <c r="C40" s="40">
        <v>2</v>
      </c>
      <c r="D40" s="279">
        <f t="shared" si="1"/>
        <v>10.715999999999999</v>
      </c>
    </row>
    <row r="41" spans="1:4" ht="12.75">
      <c r="A41" s="278" t="s">
        <v>22</v>
      </c>
      <c r="B41" s="40">
        <v>11.84</v>
      </c>
      <c r="C41" s="40">
        <v>2</v>
      </c>
      <c r="D41" s="279">
        <f t="shared" si="1"/>
        <v>4.7359999999999998</v>
      </c>
    </row>
    <row r="42" spans="1:4" ht="12.75">
      <c r="A42" s="278" t="s">
        <v>23</v>
      </c>
      <c r="B42" s="40">
        <v>23.99</v>
      </c>
      <c r="C42" s="40">
        <v>2</v>
      </c>
      <c r="D42" s="279">
        <f t="shared" si="1"/>
        <v>9.5960000000000001</v>
      </c>
    </row>
    <row r="43" spans="1:4" ht="12.75">
      <c r="A43" s="278" t="s">
        <v>26</v>
      </c>
      <c r="B43" s="40">
        <v>20.38</v>
      </c>
      <c r="C43" s="40">
        <v>2</v>
      </c>
      <c r="D43" s="279">
        <f t="shared" si="1"/>
        <v>8.1519999999999992</v>
      </c>
    </row>
    <row r="44" spans="1:4" ht="12.75">
      <c r="A44" s="280" t="s">
        <v>7</v>
      </c>
      <c r="B44" s="282">
        <f>SUM(B37:B43)</f>
        <v>768.46</v>
      </c>
      <c r="C44" s="282"/>
      <c r="D44" s="287">
        <f>ROUND(SUM(D37:D43),2)</f>
        <v>307.38</v>
      </c>
    </row>
    <row r="46" spans="1:4" ht="38.25">
      <c r="A46" s="284" t="s">
        <v>31</v>
      </c>
      <c r="B46" s="285" t="s">
        <v>3</v>
      </c>
      <c r="C46" s="285" t="s">
        <v>4</v>
      </c>
      <c r="D46" s="286" t="s">
        <v>5</v>
      </c>
    </row>
    <row r="47" spans="1:4" ht="12.75">
      <c r="A47" s="278" t="s">
        <v>16</v>
      </c>
      <c r="B47" s="40">
        <v>393.24</v>
      </c>
      <c r="C47" s="40">
        <v>3</v>
      </c>
      <c r="D47" s="279">
        <f t="shared" ref="D47:D53" si="2">(B47/5)*C47</f>
        <v>235.94399999999999</v>
      </c>
    </row>
    <row r="48" spans="1:4" ht="12.75">
      <c r="A48" s="278" t="s">
        <v>20</v>
      </c>
      <c r="B48" s="40">
        <v>358.39</v>
      </c>
      <c r="C48" s="40">
        <v>3</v>
      </c>
      <c r="D48" s="279">
        <f t="shared" si="2"/>
        <v>215.03399999999999</v>
      </c>
    </row>
    <row r="49" spans="1:4" ht="12.75">
      <c r="A49" s="278" t="s">
        <v>22</v>
      </c>
      <c r="B49" s="40">
        <v>927.19</v>
      </c>
      <c r="C49" s="40">
        <v>3</v>
      </c>
      <c r="D49" s="279">
        <f t="shared" si="2"/>
        <v>556.31400000000008</v>
      </c>
    </row>
    <row r="50" spans="1:4" ht="12.75">
      <c r="A50" s="278" t="s">
        <v>23</v>
      </c>
      <c r="B50" s="40">
        <v>285.43</v>
      </c>
      <c r="C50" s="40">
        <v>3</v>
      </c>
      <c r="D50" s="279">
        <f t="shared" si="2"/>
        <v>171.25799999999998</v>
      </c>
    </row>
    <row r="51" spans="1:4" ht="12.75">
      <c r="A51" s="278" t="s">
        <v>24</v>
      </c>
      <c r="B51" s="40">
        <v>363.14</v>
      </c>
      <c r="C51" s="40">
        <v>3</v>
      </c>
      <c r="D51" s="279">
        <f t="shared" si="2"/>
        <v>217.88400000000001</v>
      </c>
    </row>
    <row r="52" spans="1:4" ht="12.75">
      <c r="A52" s="278" t="s">
        <v>25</v>
      </c>
      <c r="B52" s="40">
        <v>43.08</v>
      </c>
      <c r="C52" s="40">
        <v>3</v>
      </c>
      <c r="D52" s="279">
        <f t="shared" si="2"/>
        <v>25.847999999999999</v>
      </c>
    </row>
    <row r="53" spans="1:4" ht="12.75">
      <c r="A53" s="278" t="s">
        <v>26</v>
      </c>
      <c r="B53" s="112">
        <v>1712.48</v>
      </c>
      <c r="C53" s="40">
        <v>3</v>
      </c>
      <c r="D53" s="279">
        <f t="shared" si="2"/>
        <v>1027.4879999999998</v>
      </c>
    </row>
    <row r="54" spans="1:4" ht="12.75">
      <c r="A54" s="280" t="s">
        <v>7</v>
      </c>
      <c r="B54" s="281">
        <f>SUM(B47:B53)</f>
        <v>4082.9500000000003</v>
      </c>
      <c r="C54" s="282"/>
      <c r="D54" s="283">
        <f>ROUND(SUM(D47:D53),2)</f>
        <v>2449.77</v>
      </c>
    </row>
    <row r="56" spans="1:4" ht="38.25">
      <c r="A56" s="284" t="s">
        <v>32</v>
      </c>
      <c r="B56" s="285" t="s">
        <v>3</v>
      </c>
      <c r="C56" s="285" t="s">
        <v>4</v>
      </c>
      <c r="D56" s="286" t="s">
        <v>5</v>
      </c>
    </row>
    <row r="57" spans="1:4" ht="12.75">
      <c r="A57" s="278" t="s">
        <v>9</v>
      </c>
      <c r="B57" s="40">
        <v>283.39999999999998</v>
      </c>
      <c r="C57" s="40">
        <v>5</v>
      </c>
      <c r="D57" s="279">
        <f t="shared" ref="D57:D74" si="3">(B57/5)*C57</f>
        <v>283.39999999999998</v>
      </c>
    </row>
    <row r="58" spans="1:4" ht="12.75">
      <c r="A58" s="278" t="s">
        <v>10</v>
      </c>
      <c r="B58" s="40">
        <v>161.86000000000001</v>
      </c>
      <c r="C58" s="40">
        <v>5</v>
      </c>
      <c r="D58" s="279">
        <f t="shared" si="3"/>
        <v>161.86000000000001</v>
      </c>
    </row>
    <row r="59" spans="1:4" ht="12.75">
      <c r="A59" s="278" t="s">
        <v>11</v>
      </c>
      <c r="B59" s="40">
        <v>20.059999999999999</v>
      </c>
      <c r="C59" s="40">
        <v>5</v>
      </c>
      <c r="D59" s="279">
        <f t="shared" si="3"/>
        <v>20.059999999999999</v>
      </c>
    </row>
    <row r="60" spans="1:4" ht="12.75">
      <c r="A60" s="278" t="s">
        <v>12</v>
      </c>
      <c r="B60" s="40">
        <v>60.98</v>
      </c>
      <c r="C60" s="40">
        <v>5</v>
      </c>
      <c r="D60" s="279">
        <f t="shared" si="3"/>
        <v>60.98</v>
      </c>
    </row>
    <row r="61" spans="1:4" ht="12.75">
      <c r="A61" s="278" t="s">
        <v>14</v>
      </c>
      <c r="B61" s="40">
        <v>85.06</v>
      </c>
      <c r="C61" s="40">
        <v>5</v>
      </c>
      <c r="D61" s="279">
        <f t="shared" si="3"/>
        <v>85.06</v>
      </c>
    </row>
    <row r="62" spans="1:4" ht="12.75">
      <c r="A62" s="278" t="s">
        <v>15</v>
      </c>
      <c r="B62" s="40">
        <v>82.95</v>
      </c>
      <c r="C62" s="40">
        <v>5</v>
      </c>
      <c r="D62" s="279">
        <f t="shared" si="3"/>
        <v>82.95</v>
      </c>
    </row>
    <row r="63" spans="1:4" ht="12.75">
      <c r="A63" s="278" t="s">
        <v>16</v>
      </c>
      <c r="B63" s="40">
        <v>41.68</v>
      </c>
      <c r="C63" s="40">
        <v>5</v>
      </c>
      <c r="D63" s="279">
        <f t="shared" si="3"/>
        <v>41.68</v>
      </c>
    </row>
    <row r="64" spans="1:4" ht="12.75">
      <c r="A64" s="278" t="s">
        <v>17</v>
      </c>
      <c r="B64" s="40">
        <v>116.61</v>
      </c>
      <c r="C64" s="40">
        <v>5</v>
      </c>
      <c r="D64" s="279">
        <f t="shared" si="3"/>
        <v>116.61</v>
      </c>
    </row>
    <row r="65" spans="1:4" ht="12.75">
      <c r="A65" s="278" t="s">
        <v>18</v>
      </c>
      <c r="B65" s="40">
        <v>194.44</v>
      </c>
      <c r="C65" s="40">
        <v>5</v>
      </c>
      <c r="D65" s="279">
        <f t="shared" si="3"/>
        <v>194.44</v>
      </c>
    </row>
    <row r="66" spans="1:4" ht="12.75">
      <c r="A66" s="278" t="s">
        <v>19</v>
      </c>
      <c r="B66" s="40">
        <v>58.75</v>
      </c>
      <c r="C66" s="40">
        <v>5</v>
      </c>
      <c r="D66" s="279">
        <f t="shared" si="3"/>
        <v>58.75</v>
      </c>
    </row>
    <row r="67" spans="1:4" ht="12.75">
      <c r="A67" s="278" t="s">
        <v>20</v>
      </c>
      <c r="B67" s="40">
        <v>232.75</v>
      </c>
      <c r="C67" s="40">
        <v>5</v>
      </c>
      <c r="D67" s="279">
        <f t="shared" si="3"/>
        <v>232.75</v>
      </c>
    </row>
    <row r="68" spans="1:4" ht="12.75">
      <c r="A68" s="278" t="s">
        <v>21</v>
      </c>
      <c r="B68" s="40">
        <v>22.88</v>
      </c>
      <c r="C68" s="40">
        <v>5</v>
      </c>
      <c r="D68" s="279">
        <f t="shared" si="3"/>
        <v>22.88</v>
      </c>
    </row>
    <row r="69" spans="1:4" ht="12.75">
      <c r="A69" s="278" t="s">
        <v>22</v>
      </c>
      <c r="B69" s="40">
        <v>126.93</v>
      </c>
      <c r="C69" s="40">
        <v>5</v>
      </c>
      <c r="D69" s="279">
        <f t="shared" si="3"/>
        <v>126.93</v>
      </c>
    </row>
    <row r="70" spans="1:4" ht="12.75">
      <c r="A70" s="278" t="s">
        <v>23</v>
      </c>
      <c r="B70" s="40">
        <v>381.53</v>
      </c>
      <c r="C70" s="40">
        <v>5</v>
      </c>
      <c r="D70" s="279">
        <f t="shared" si="3"/>
        <v>381.53</v>
      </c>
    </row>
    <row r="71" spans="1:4" ht="12.75">
      <c r="A71" s="278" t="s">
        <v>24</v>
      </c>
      <c r="B71" s="40">
        <v>11.89</v>
      </c>
      <c r="C71" s="40">
        <v>5</v>
      </c>
      <c r="D71" s="279">
        <f t="shared" si="3"/>
        <v>11.89</v>
      </c>
    </row>
    <row r="72" spans="1:4" ht="12.75">
      <c r="A72" s="278" t="s">
        <v>25</v>
      </c>
      <c r="B72" s="40">
        <v>2</v>
      </c>
      <c r="C72" s="40">
        <v>5</v>
      </c>
      <c r="D72" s="279">
        <f t="shared" si="3"/>
        <v>2</v>
      </c>
    </row>
    <row r="73" spans="1:4" ht="12.75">
      <c r="A73" s="278" t="s">
        <v>6</v>
      </c>
      <c r="B73" s="40">
        <v>213.04</v>
      </c>
      <c r="C73" s="40">
        <v>5</v>
      </c>
      <c r="D73" s="279">
        <f t="shared" si="3"/>
        <v>213.04</v>
      </c>
    </row>
    <row r="74" spans="1:4" ht="12.75">
      <c r="A74" s="278" t="s">
        <v>26</v>
      </c>
      <c r="B74" s="40">
        <v>67.099999999999994</v>
      </c>
      <c r="C74" s="40">
        <v>5</v>
      </c>
      <c r="D74" s="279">
        <f t="shared" si="3"/>
        <v>67.099999999999994</v>
      </c>
    </row>
    <row r="75" spans="1:4" ht="12.75">
      <c r="A75" s="280" t="s">
        <v>7</v>
      </c>
      <c r="B75" s="281">
        <f>SUM(B57:B74)</f>
        <v>2163.9100000000003</v>
      </c>
      <c r="C75" s="282"/>
      <c r="D75" s="283">
        <f>ROUND(SUM(D57:D74),2)</f>
        <v>2163.91</v>
      </c>
    </row>
    <row r="77" spans="1:4" ht="38.25">
      <c r="A77" s="284" t="s">
        <v>33</v>
      </c>
      <c r="B77" s="285" t="s">
        <v>3</v>
      </c>
      <c r="C77" s="285" t="s">
        <v>4</v>
      </c>
      <c r="D77" s="286" t="s">
        <v>5</v>
      </c>
    </row>
    <row r="78" spans="1:4" ht="12.75">
      <c r="A78" s="278" t="s">
        <v>9</v>
      </c>
      <c r="B78" s="40">
        <v>33.33</v>
      </c>
      <c r="C78" s="40">
        <v>5</v>
      </c>
      <c r="D78" s="279">
        <f t="shared" ref="D78:D96" si="4">(B78/5)*C78</f>
        <v>33.33</v>
      </c>
    </row>
    <row r="79" spans="1:4" ht="12.75">
      <c r="A79" s="278" t="s">
        <v>10</v>
      </c>
      <c r="B79" s="40">
        <v>19.260000000000002</v>
      </c>
      <c r="C79" s="40">
        <v>5</v>
      </c>
      <c r="D79" s="279">
        <f t="shared" si="4"/>
        <v>19.260000000000002</v>
      </c>
    </row>
    <row r="80" spans="1:4" ht="12.75">
      <c r="A80" s="278" t="s">
        <v>11</v>
      </c>
      <c r="B80" s="40">
        <v>7.56</v>
      </c>
      <c r="C80" s="40">
        <v>5</v>
      </c>
      <c r="D80" s="279">
        <f t="shared" si="4"/>
        <v>7.5600000000000005</v>
      </c>
    </row>
    <row r="81" spans="1:4" ht="12.75">
      <c r="A81" s="278" t="s">
        <v>12</v>
      </c>
      <c r="B81" s="40">
        <v>22.37</v>
      </c>
      <c r="C81" s="40">
        <v>5</v>
      </c>
      <c r="D81" s="279">
        <f t="shared" si="4"/>
        <v>22.37</v>
      </c>
    </row>
    <row r="82" spans="1:4" ht="12.75">
      <c r="A82" s="278" t="s">
        <v>13</v>
      </c>
      <c r="B82" s="40">
        <v>13.62</v>
      </c>
      <c r="C82" s="40">
        <v>5</v>
      </c>
      <c r="D82" s="279">
        <f t="shared" si="4"/>
        <v>13.62</v>
      </c>
    </row>
    <row r="83" spans="1:4" ht="12.75">
      <c r="A83" s="278" t="s">
        <v>14</v>
      </c>
      <c r="B83" s="40">
        <v>17.61</v>
      </c>
      <c r="C83" s="40">
        <v>5</v>
      </c>
      <c r="D83" s="279">
        <f t="shared" si="4"/>
        <v>17.61</v>
      </c>
    </row>
    <row r="84" spans="1:4" ht="12.75">
      <c r="A84" s="278" t="s">
        <v>15</v>
      </c>
      <c r="B84" s="40">
        <v>27.92</v>
      </c>
      <c r="C84" s="40">
        <v>5</v>
      </c>
      <c r="D84" s="279">
        <f t="shared" si="4"/>
        <v>27.92</v>
      </c>
    </row>
    <row r="85" spans="1:4" ht="12.75">
      <c r="A85" s="278" t="s">
        <v>16</v>
      </c>
      <c r="B85" s="40">
        <v>6.56</v>
      </c>
      <c r="C85" s="40">
        <v>5</v>
      </c>
      <c r="D85" s="279">
        <f t="shared" si="4"/>
        <v>6.5599999999999987</v>
      </c>
    </row>
    <row r="86" spans="1:4" ht="12.75">
      <c r="A86" s="278" t="s">
        <v>17</v>
      </c>
      <c r="B86" s="40">
        <v>34.049999999999997</v>
      </c>
      <c r="C86" s="40">
        <v>5</v>
      </c>
      <c r="D86" s="279">
        <f t="shared" si="4"/>
        <v>34.049999999999997</v>
      </c>
    </row>
    <row r="87" spans="1:4" ht="12.75">
      <c r="A87" s="278" t="s">
        <v>18</v>
      </c>
      <c r="B87" s="40">
        <v>44.24</v>
      </c>
      <c r="C87" s="40">
        <v>5</v>
      </c>
      <c r="D87" s="279">
        <f t="shared" si="4"/>
        <v>44.24</v>
      </c>
    </row>
    <row r="88" spans="1:4" ht="12.75">
      <c r="A88" s="278" t="s">
        <v>19</v>
      </c>
      <c r="B88" s="40">
        <v>24.6</v>
      </c>
      <c r="C88" s="40">
        <v>5</v>
      </c>
      <c r="D88" s="279">
        <f t="shared" si="4"/>
        <v>24.6</v>
      </c>
    </row>
    <row r="89" spans="1:4" ht="12.75">
      <c r="A89" s="278" t="s">
        <v>20</v>
      </c>
      <c r="B89" s="40">
        <v>46.66</v>
      </c>
      <c r="C89" s="40">
        <v>5</v>
      </c>
      <c r="D89" s="279">
        <f t="shared" si="4"/>
        <v>46.66</v>
      </c>
    </row>
    <row r="90" spans="1:4" ht="12.75">
      <c r="A90" s="278" t="s">
        <v>21</v>
      </c>
      <c r="B90" s="40">
        <v>6.6</v>
      </c>
      <c r="C90" s="40">
        <v>5</v>
      </c>
      <c r="D90" s="279">
        <f t="shared" si="4"/>
        <v>6.6</v>
      </c>
    </row>
    <row r="91" spans="1:4" ht="12.75">
      <c r="A91" s="278" t="s">
        <v>22</v>
      </c>
      <c r="B91" s="40">
        <v>45.82</v>
      </c>
      <c r="C91" s="40">
        <v>5</v>
      </c>
      <c r="D91" s="279">
        <f t="shared" si="4"/>
        <v>45.82</v>
      </c>
    </row>
    <row r="92" spans="1:4" ht="12.75">
      <c r="A92" s="278" t="s">
        <v>23</v>
      </c>
      <c r="B92" s="40">
        <v>40.04</v>
      </c>
      <c r="C92" s="40">
        <v>5</v>
      </c>
      <c r="D92" s="279">
        <f t="shared" si="4"/>
        <v>40.039999999999992</v>
      </c>
    </row>
    <row r="93" spans="1:4" ht="12.75">
      <c r="A93" s="278" t="s">
        <v>24</v>
      </c>
      <c r="B93" s="40">
        <v>9.5</v>
      </c>
      <c r="C93" s="40">
        <v>5</v>
      </c>
      <c r="D93" s="279">
        <f t="shared" si="4"/>
        <v>9.5</v>
      </c>
    </row>
    <row r="94" spans="1:4" ht="12.75">
      <c r="A94" s="278" t="s">
        <v>25</v>
      </c>
      <c r="B94" s="40">
        <v>6.19</v>
      </c>
      <c r="C94" s="40">
        <v>5</v>
      </c>
      <c r="D94" s="279">
        <f t="shared" si="4"/>
        <v>6.1899999999999995</v>
      </c>
    </row>
    <row r="95" spans="1:4" ht="12.75">
      <c r="A95" s="278" t="s">
        <v>6</v>
      </c>
      <c r="B95" s="40">
        <v>35.840000000000003</v>
      </c>
      <c r="C95" s="40">
        <v>5</v>
      </c>
      <c r="D95" s="279">
        <f t="shared" si="4"/>
        <v>35.840000000000003</v>
      </c>
    </row>
    <row r="96" spans="1:4" ht="12.75">
      <c r="A96" s="278" t="s">
        <v>26</v>
      </c>
      <c r="B96" s="40">
        <v>84.44</v>
      </c>
      <c r="C96" s="40">
        <v>5</v>
      </c>
      <c r="D96" s="279">
        <f t="shared" si="4"/>
        <v>84.44</v>
      </c>
    </row>
    <row r="97" spans="1:4" ht="12.75">
      <c r="A97" s="280" t="s">
        <v>7</v>
      </c>
      <c r="B97" s="282">
        <f>SUM(B78:B96)</f>
        <v>526.21</v>
      </c>
      <c r="C97" s="282"/>
      <c r="D97" s="287">
        <f>ROUND(SUM(D78:D96),2)</f>
        <v>526.21</v>
      </c>
    </row>
    <row r="99" spans="1:4" ht="34.5" customHeight="1">
      <c r="A99" s="315" t="s">
        <v>34</v>
      </c>
      <c r="B99" s="315"/>
      <c r="C99" s="315"/>
      <c r="D99" s="315"/>
    </row>
    <row r="100" spans="1:4" ht="38.25">
      <c r="A100" s="276" t="s">
        <v>35</v>
      </c>
      <c r="B100" s="113" t="s">
        <v>3</v>
      </c>
      <c r="C100" s="113" t="s">
        <v>4</v>
      </c>
      <c r="D100" s="277" t="s">
        <v>5</v>
      </c>
    </row>
    <row r="101" spans="1:4" ht="12.75">
      <c r="A101" s="278" t="s">
        <v>9</v>
      </c>
      <c r="B101" s="40">
        <v>745.7</v>
      </c>
      <c r="C101" s="40">
        <v>1</v>
      </c>
      <c r="D101" s="279">
        <f t="shared" ref="D101:D117" si="5">(B101/5)*C101</f>
        <v>149.14000000000001</v>
      </c>
    </row>
    <row r="102" spans="1:4" ht="12.75">
      <c r="A102" s="278" t="s">
        <v>12</v>
      </c>
      <c r="B102" s="40">
        <v>300.75</v>
      </c>
      <c r="C102" s="40">
        <v>1</v>
      </c>
      <c r="D102" s="279">
        <f t="shared" si="5"/>
        <v>60.15</v>
      </c>
    </row>
    <row r="103" spans="1:4" ht="12.75">
      <c r="A103" s="278" t="s">
        <v>13</v>
      </c>
      <c r="B103" s="40">
        <v>278.43</v>
      </c>
      <c r="C103" s="40">
        <v>1</v>
      </c>
      <c r="D103" s="279">
        <f t="shared" si="5"/>
        <v>55.686</v>
      </c>
    </row>
    <row r="104" spans="1:4" ht="12.75">
      <c r="A104" s="278" t="s">
        <v>14</v>
      </c>
      <c r="B104" s="40">
        <v>222.2</v>
      </c>
      <c r="C104" s="40">
        <v>1</v>
      </c>
      <c r="D104" s="279">
        <f t="shared" si="5"/>
        <v>44.44</v>
      </c>
    </row>
    <row r="105" spans="1:4" ht="12.75">
      <c r="A105" s="278" t="s">
        <v>15</v>
      </c>
      <c r="B105" s="40">
        <v>240.69</v>
      </c>
      <c r="C105" s="40">
        <v>1</v>
      </c>
      <c r="D105" s="279">
        <f t="shared" si="5"/>
        <v>48.137999999999998</v>
      </c>
    </row>
    <row r="106" spans="1:4" ht="12.75">
      <c r="A106" s="278" t="s">
        <v>16</v>
      </c>
      <c r="B106" s="40">
        <v>178.1</v>
      </c>
      <c r="C106" s="40">
        <v>1</v>
      </c>
      <c r="D106" s="279">
        <f t="shared" si="5"/>
        <v>35.619999999999997</v>
      </c>
    </row>
    <row r="107" spans="1:4" ht="12.75">
      <c r="A107" s="278" t="s">
        <v>17</v>
      </c>
      <c r="B107" s="40">
        <v>713.77</v>
      </c>
      <c r="C107" s="40">
        <v>1</v>
      </c>
      <c r="D107" s="279">
        <f t="shared" si="5"/>
        <v>142.75399999999999</v>
      </c>
    </row>
    <row r="108" spans="1:4" ht="12.75">
      <c r="A108" s="278" t="s">
        <v>18</v>
      </c>
      <c r="B108" s="40">
        <v>84.46</v>
      </c>
      <c r="C108" s="40">
        <v>1</v>
      </c>
      <c r="D108" s="279">
        <f t="shared" si="5"/>
        <v>16.891999999999999</v>
      </c>
    </row>
    <row r="109" spans="1:4" ht="12.75">
      <c r="A109" s="278" t="s">
        <v>19</v>
      </c>
      <c r="B109" s="40">
        <v>118.93</v>
      </c>
      <c r="C109" s="40">
        <v>1</v>
      </c>
      <c r="D109" s="279">
        <f t="shared" si="5"/>
        <v>23.786000000000001</v>
      </c>
    </row>
    <row r="110" spans="1:4" ht="12.75">
      <c r="A110" s="278" t="s">
        <v>20</v>
      </c>
      <c r="B110" s="40">
        <v>625.46</v>
      </c>
      <c r="C110" s="40">
        <v>1</v>
      </c>
      <c r="D110" s="279">
        <f t="shared" si="5"/>
        <v>125.09200000000001</v>
      </c>
    </row>
    <row r="111" spans="1:4" ht="12.75">
      <c r="A111" s="278" t="s">
        <v>21</v>
      </c>
      <c r="B111" s="40">
        <v>261.17</v>
      </c>
      <c r="C111" s="40">
        <v>1</v>
      </c>
      <c r="D111" s="279">
        <f t="shared" si="5"/>
        <v>52.234000000000002</v>
      </c>
    </row>
    <row r="112" spans="1:4" ht="12.75">
      <c r="A112" s="278" t="s">
        <v>22</v>
      </c>
      <c r="B112" s="40">
        <v>194.4</v>
      </c>
      <c r="C112" s="40">
        <v>1</v>
      </c>
      <c r="D112" s="279">
        <f t="shared" si="5"/>
        <v>38.880000000000003</v>
      </c>
    </row>
    <row r="113" spans="1:4" ht="12.75">
      <c r="A113" s="278" t="s">
        <v>23</v>
      </c>
      <c r="B113" s="40">
        <v>453.6</v>
      </c>
      <c r="C113" s="40">
        <v>1</v>
      </c>
      <c r="D113" s="279">
        <f t="shared" si="5"/>
        <v>90.72</v>
      </c>
    </row>
    <row r="114" spans="1:4" ht="12.75">
      <c r="A114" s="278" t="s">
        <v>24</v>
      </c>
      <c r="B114" s="40">
        <v>480.48</v>
      </c>
      <c r="C114" s="40">
        <v>1</v>
      </c>
      <c r="D114" s="279">
        <f t="shared" si="5"/>
        <v>96.096000000000004</v>
      </c>
    </row>
    <row r="115" spans="1:4" ht="12.75">
      <c r="A115" s="278" t="s">
        <v>25</v>
      </c>
      <c r="B115" s="40">
        <v>66.83</v>
      </c>
      <c r="C115" s="40">
        <v>1</v>
      </c>
      <c r="D115" s="279">
        <f t="shared" si="5"/>
        <v>13.366</v>
      </c>
    </row>
    <row r="116" spans="1:4" ht="12.75">
      <c r="A116" s="278" t="s">
        <v>6</v>
      </c>
      <c r="B116" s="40">
        <v>86.61</v>
      </c>
      <c r="C116" s="40">
        <v>1</v>
      </c>
      <c r="D116" s="279">
        <f t="shared" si="5"/>
        <v>17.321999999999999</v>
      </c>
    </row>
    <row r="117" spans="1:4" ht="12.75">
      <c r="A117" s="278" t="s">
        <v>26</v>
      </c>
      <c r="B117" s="40">
        <v>277.75</v>
      </c>
      <c r="C117" s="40">
        <v>1</v>
      </c>
      <c r="D117" s="279">
        <f t="shared" si="5"/>
        <v>55.55</v>
      </c>
    </row>
    <row r="118" spans="1:4" ht="12.75">
      <c r="A118" s="280" t="s">
        <v>7</v>
      </c>
      <c r="B118" s="281">
        <f>SUM(B101:B117)</f>
        <v>5329.3300000000008</v>
      </c>
      <c r="C118" s="282"/>
      <c r="D118" s="283">
        <f>ROUND(SUM(D101:D117),2)</f>
        <v>1065.8699999999999</v>
      </c>
    </row>
    <row r="120" spans="1:4" ht="38.25">
      <c r="A120" s="284" t="s">
        <v>36</v>
      </c>
      <c r="B120" s="285" t="s">
        <v>3</v>
      </c>
      <c r="C120" s="285" t="s">
        <v>4</v>
      </c>
      <c r="D120" s="286" t="s">
        <v>5</v>
      </c>
    </row>
    <row r="121" spans="1:4" ht="12.75">
      <c r="A121" s="278" t="s">
        <v>9</v>
      </c>
      <c r="B121" s="40">
        <v>799.99</v>
      </c>
      <c r="C121" s="40">
        <v>1</v>
      </c>
      <c r="D121" s="279">
        <f t="shared" ref="D121:D128" si="6">(B121/5)*C121</f>
        <v>159.99799999999999</v>
      </c>
    </row>
    <row r="122" spans="1:4" ht="12.75">
      <c r="A122" s="278" t="s">
        <v>19</v>
      </c>
      <c r="B122" s="40">
        <v>464.4</v>
      </c>
      <c r="C122" s="40">
        <v>1</v>
      </c>
      <c r="D122" s="279">
        <f t="shared" si="6"/>
        <v>92.88</v>
      </c>
    </row>
    <row r="123" spans="1:4" ht="12.75">
      <c r="A123" s="278" t="s">
        <v>20</v>
      </c>
      <c r="B123" s="40">
        <v>388.8</v>
      </c>
      <c r="C123" s="40">
        <v>1</v>
      </c>
      <c r="D123" s="279">
        <f t="shared" si="6"/>
        <v>77.760000000000005</v>
      </c>
    </row>
    <row r="124" spans="1:4" ht="12.75">
      <c r="A124" s="278" t="s">
        <v>22</v>
      </c>
      <c r="B124" s="40">
        <v>411.74</v>
      </c>
      <c r="C124" s="40">
        <v>1</v>
      </c>
      <c r="D124" s="279">
        <f t="shared" si="6"/>
        <v>82.347999999999999</v>
      </c>
    </row>
    <row r="125" spans="1:4" ht="12.75">
      <c r="A125" s="278" t="s">
        <v>23</v>
      </c>
      <c r="B125" s="40">
        <v>129.15</v>
      </c>
      <c r="C125" s="40">
        <v>1</v>
      </c>
      <c r="D125" s="279">
        <f t="shared" si="6"/>
        <v>25.830000000000002</v>
      </c>
    </row>
    <row r="126" spans="1:4" ht="12.75">
      <c r="A126" s="278" t="s">
        <v>24</v>
      </c>
      <c r="B126" s="40">
        <v>230.54</v>
      </c>
      <c r="C126" s="40">
        <v>1</v>
      </c>
      <c r="D126" s="279">
        <f t="shared" si="6"/>
        <v>46.107999999999997</v>
      </c>
    </row>
    <row r="127" spans="1:4" ht="12.75">
      <c r="A127" s="278" t="s">
        <v>6</v>
      </c>
      <c r="B127" s="40">
        <v>548.88</v>
      </c>
      <c r="C127" s="40">
        <v>1</v>
      </c>
      <c r="D127" s="279">
        <f t="shared" si="6"/>
        <v>109.776</v>
      </c>
    </row>
    <row r="128" spans="1:4" ht="12.75">
      <c r="A128" s="278" t="s">
        <v>26</v>
      </c>
      <c r="B128" s="40">
        <v>144.44999999999999</v>
      </c>
      <c r="C128" s="40">
        <v>1</v>
      </c>
      <c r="D128" s="279">
        <f t="shared" si="6"/>
        <v>28.889999999999997</v>
      </c>
    </row>
    <row r="129" spans="1:4" ht="12.75">
      <c r="A129" s="280" t="s">
        <v>7</v>
      </c>
      <c r="B129" s="281">
        <f>SUM(B121:B128)</f>
        <v>3117.95</v>
      </c>
      <c r="C129" s="282"/>
      <c r="D129" s="283">
        <f>ROUND(SUM(D121:D128),2)</f>
        <v>623.59</v>
      </c>
    </row>
    <row r="131" spans="1:4" ht="38.25">
      <c r="A131" s="284" t="s">
        <v>37</v>
      </c>
      <c r="B131" s="285" t="s">
        <v>3</v>
      </c>
      <c r="C131" s="285" t="s">
        <v>4</v>
      </c>
      <c r="D131" s="286" t="s">
        <v>5</v>
      </c>
    </row>
    <row r="132" spans="1:4" ht="12.75">
      <c r="A132" s="278" t="s">
        <v>9</v>
      </c>
      <c r="B132" s="112">
        <v>1424.37</v>
      </c>
      <c r="C132" s="40">
        <v>1</v>
      </c>
      <c r="D132" s="279">
        <f t="shared" ref="D132:D142" si="7">(B132/5)*C132</f>
        <v>284.87399999999997</v>
      </c>
    </row>
    <row r="133" spans="1:4" ht="12.75">
      <c r="A133" s="278" t="s">
        <v>12</v>
      </c>
      <c r="B133" s="112">
        <v>1979.55</v>
      </c>
      <c r="C133" s="40">
        <v>1</v>
      </c>
      <c r="D133" s="279">
        <f t="shared" si="7"/>
        <v>395.90999999999997</v>
      </c>
    </row>
    <row r="134" spans="1:4" ht="12.75">
      <c r="A134" s="278" t="s">
        <v>13</v>
      </c>
      <c r="B134" s="40">
        <v>63.61</v>
      </c>
      <c r="C134" s="40">
        <v>1</v>
      </c>
      <c r="D134" s="279">
        <f t="shared" si="7"/>
        <v>12.722</v>
      </c>
    </row>
    <row r="135" spans="1:4" ht="12.75">
      <c r="A135" s="278" t="s">
        <v>14</v>
      </c>
      <c r="B135" s="40">
        <v>269.32</v>
      </c>
      <c r="C135" s="40">
        <v>1</v>
      </c>
      <c r="D135" s="279">
        <f t="shared" si="7"/>
        <v>53.863999999999997</v>
      </c>
    </row>
    <row r="136" spans="1:4" ht="12.75">
      <c r="A136" s="278" t="s">
        <v>15</v>
      </c>
      <c r="B136" s="40">
        <v>750.94</v>
      </c>
      <c r="C136" s="40">
        <v>1</v>
      </c>
      <c r="D136" s="279">
        <f t="shared" si="7"/>
        <v>150.18800000000002</v>
      </c>
    </row>
    <row r="137" spans="1:4" ht="12.75">
      <c r="A137" s="278" t="s">
        <v>16</v>
      </c>
      <c r="B137" s="40">
        <v>260.61</v>
      </c>
      <c r="C137" s="40">
        <v>1</v>
      </c>
      <c r="D137" s="279">
        <f t="shared" si="7"/>
        <v>52.122</v>
      </c>
    </row>
    <row r="138" spans="1:4" ht="12.75">
      <c r="A138" s="278" t="s">
        <v>17</v>
      </c>
      <c r="B138" s="40">
        <v>453.73</v>
      </c>
      <c r="C138" s="40">
        <v>1</v>
      </c>
      <c r="D138" s="279">
        <f t="shared" si="7"/>
        <v>90.746000000000009</v>
      </c>
    </row>
    <row r="139" spans="1:4" ht="12.75">
      <c r="A139" s="278" t="s">
        <v>20</v>
      </c>
      <c r="B139" s="40">
        <v>487.88</v>
      </c>
      <c r="C139" s="40">
        <v>1</v>
      </c>
      <c r="D139" s="279">
        <f t="shared" si="7"/>
        <v>97.575999999999993</v>
      </c>
    </row>
    <row r="140" spans="1:4" ht="12.75">
      <c r="A140" s="278" t="s">
        <v>25</v>
      </c>
      <c r="B140" s="40">
        <v>974.24</v>
      </c>
      <c r="C140" s="40">
        <v>1</v>
      </c>
      <c r="D140" s="279">
        <f t="shared" si="7"/>
        <v>194.84800000000001</v>
      </c>
    </row>
    <row r="141" spans="1:4" ht="12.75">
      <c r="A141" s="278" t="s">
        <v>6</v>
      </c>
      <c r="B141" s="40">
        <v>54.67</v>
      </c>
      <c r="C141" s="40">
        <v>1</v>
      </c>
      <c r="D141" s="279">
        <f t="shared" si="7"/>
        <v>10.934000000000001</v>
      </c>
    </row>
    <row r="142" spans="1:4" ht="12.75">
      <c r="A142" s="278" t="s">
        <v>26</v>
      </c>
      <c r="B142" s="40">
        <v>371.02</v>
      </c>
      <c r="C142" s="40">
        <v>1</v>
      </c>
      <c r="D142" s="279">
        <f t="shared" si="7"/>
        <v>74.203999999999994</v>
      </c>
    </row>
    <row r="143" spans="1:4" ht="12.75">
      <c r="A143" s="280" t="s">
        <v>7</v>
      </c>
      <c r="B143" s="281">
        <f>SUM(B132:B142)</f>
        <v>7089.9400000000005</v>
      </c>
      <c r="C143" s="282"/>
      <c r="D143" s="283">
        <f>ROUND(SUM(D132:D142),2)</f>
        <v>1417.99</v>
      </c>
    </row>
    <row r="145" spans="1:4" ht="36" customHeight="1">
      <c r="A145" s="315" t="s">
        <v>38</v>
      </c>
      <c r="B145" s="315"/>
      <c r="C145" s="315"/>
      <c r="D145" s="315"/>
    </row>
    <row r="146" spans="1:4" ht="38.25">
      <c r="A146" s="276" t="s">
        <v>39</v>
      </c>
      <c r="B146" s="113" t="s">
        <v>3</v>
      </c>
      <c r="C146" s="113" t="s">
        <v>40</v>
      </c>
      <c r="D146" s="277" t="s">
        <v>41</v>
      </c>
    </row>
    <row r="147" spans="1:4" ht="12.75">
      <c r="A147" s="278" t="s">
        <v>10</v>
      </c>
      <c r="B147" s="40">
        <v>216.48</v>
      </c>
      <c r="C147" s="40">
        <v>0.5</v>
      </c>
      <c r="D147" s="279">
        <f t="shared" ref="D147:D155" si="8">B147*C147</f>
        <v>108.24</v>
      </c>
    </row>
    <row r="148" spans="1:4" ht="12.75">
      <c r="A148" s="278" t="s">
        <v>11</v>
      </c>
      <c r="B148" s="40">
        <v>37.32</v>
      </c>
      <c r="C148" s="40">
        <v>0.5</v>
      </c>
      <c r="D148" s="279">
        <f t="shared" si="8"/>
        <v>18.66</v>
      </c>
    </row>
    <row r="149" spans="1:4" ht="12.75">
      <c r="A149" s="278" t="s">
        <v>18</v>
      </c>
      <c r="B149" s="40">
        <v>59.5</v>
      </c>
      <c r="C149" s="40">
        <v>0.5</v>
      </c>
      <c r="D149" s="279">
        <f t="shared" si="8"/>
        <v>29.75</v>
      </c>
    </row>
    <row r="150" spans="1:4" ht="12.75">
      <c r="A150" s="278" t="s">
        <v>19</v>
      </c>
      <c r="B150" s="40">
        <v>51.52</v>
      </c>
      <c r="C150" s="40">
        <v>0.5</v>
      </c>
      <c r="D150" s="279">
        <f t="shared" si="8"/>
        <v>25.76</v>
      </c>
    </row>
    <row r="151" spans="1:4" ht="12.75">
      <c r="A151" s="278" t="s">
        <v>22</v>
      </c>
      <c r="B151" s="40">
        <v>48.8</v>
      </c>
      <c r="C151" s="40">
        <v>0.5</v>
      </c>
      <c r="D151" s="279">
        <f t="shared" si="8"/>
        <v>24.4</v>
      </c>
    </row>
    <row r="152" spans="1:4" ht="12.75">
      <c r="A152" s="278" t="s">
        <v>23</v>
      </c>
      <c r="B152" s="40">
        <v>123.66</v>
      </c>
      <c r="C152" s="40">
        <v>0.5</v>
      </c>
      <c r="D152" s="279">
        <f t="shared" si="8"/>
        <v>61.83</v>
      </c>
    </row>
    <row r="153" spans="1:4" ht="12.75">
      <c r="A153" s="278" t="s">
        <v>24</v>
      </c>
      <c r="B153" s="40">
        <v>14.57</v>
      </c>
      <c r="C153" s="40">
        <v>0.5</v>
      </c>
      <c r="D153" s="279">
        <f t="shared" si="8"/>
        <v>7.2850000000000001</v>
      </c>
    </row>
    <row r="154" spans="1:4" ht="12.75">
      <c r="A154" s="278" t="s">
        <v>6</v>
      </c>
      <c r="B154" s="40">
        <v>30.45</v>
      </c>
      <c r="C154" s="40">
        <v>0.5</v>
      </c>
      <c r="D154" s="279">
        <f t="shared" si="8"/>
        <v>15.225</v>
      </c>
    </row>
    <row r="155" spans="1:4" ht="12.75">
      <c r="A155" s="278" t="s">
        <v>26</v>
      </c>
      <c r="B155" s="40">
        <v>35.31</v>
      </c>
      <c r="C155" s="40">
        <v>0.5</v>
      </c>
      <c r="D155" s="279">
        <f t="shared" si="8"/>
        <v>17.655000000000001</v>
      </c>
    </row>
    <row r="156" spans="1:4" ht="12.75">
      <c r="A156" s="280" t="s">
        <v>7</v>
      </c>
      <c r="B156" s="282">
        <f>SUM(B147:B155)</f>
        <v>617.61000000000013</v>
      </c>
      <c r="C156" s="282"/>
      <c r="D156" s="287">
        <f>ROUND(SUM(D147:D155),2)</f>
        <v>308.81</v>
      </c>
    </row>
    <row r="158" spans="1:4" ht="38.25">
      <c r="A158" s="284" t="s">
        <v>42</v>
      </c>
      <c r="B158" s="285" t="s">
        <v>3</v>
      </c>
      <c r="C158" s="285" t="s">
        <v>40</v>
      </c>
      <c r="D158" s="286" t="s">
        <v>41</v>
      </c>
    </row>
    <row r="159" spans="1:4" ht="12.75">
      <c r="A159" s="278" t="s">
        <v>9</v>
      </c>
      <c r="B159" s="40">
        <v>178.44</v>
      </c>
      <c r="C159" s="40">
        <v>0.5</v>
      </c>
      <c r="D159" s="279">
        <f t="shared" ref="D159:D177" si="9">B159*C159</f>
        <v>89.22</v>
      </c>
    </row>
    <row r="160" spans="1:4" ht="12.75">
      <c r="A160" s="278" t="s">
        <v>12</v>
      </c>
      <c r="B160" s="40">
        <v>109.65</v>
      </c>
      <c r="C160" s="40">
        <v>0.5</v>
      </c>
      <c r="D160" s="279">
        <f t="shared" si="9"/>
        <v>54.825000000000003</v>
      </c>
    </row>
    <row r="161" spans="1:4" ht="12.75">
      <c r="A161" s="278" t="s">
        <v>13</v>
      </c>
      <c r="B161" s="40">
        <v>85.14</v>
      </c>
      <c r="C161" s="40">
        <v>0.5</v>
      </c>
      <c r="D161" s="279">
        <f t="shared" si="9"/>
        <v>42.57</v>
      </c>
    </row>
    <row r="162" spans="1:4" ht="12.75">
      <c r="A162" s="278" t="s">
        <v>14</v>
      </c>
      <c r="B162" s="40">
        <v>107.68</v>
      </c>
      <c r="C162" s="40">
        <v>0.5</v>
      </c>
      <c r="D162" s="279">
        <f t="shared" si="9"/>
        <v>53.84</v>
      </c>
    </row>
    <row r="163" spans="1:4" ht="12.75">
      <c r="A163" s="278" t="s">
        <v>15</v>
      </c>
      <c r="B163" s="40">
        <v>129.88</v>
      </c>
      <c r="C163" s="40">
        <v>0.5</v>
      </c>
      <c r="D163" s="279">
        <f t="shared" si="9"/>
        <v>64.94</v>
      </c>
    </row>
    <row r="164" spans="1:4" ht="12.75">
      <c r="A164" s="278" t="s">
        <v>16</v>
      </c>
      <c r="B164" s="40">
        <v>91.52</v>
      </c>
      <c r="C164" s="40">
        <v>0.5</v>
      </c>
      <c r="D164" s="279">
        <f t="shared" si="9"/>
        <v>45.76</v>
      </c>
    </row>
    <row r="165" spans="1:4" ht="12.75">
      <c r="A165" s="278" t="s">
        <v>17</v>
      </c>
      <c r="B165" s="40">
        <v>180.36</v>
      </c>
      <c r="C165" s="40">
        <v>0.5</v>
      </c>
      <c r="D165" s="279">
        <f t="shared" si="9"/>
        <v>90.18</v>
      </c>
    </row>
    <row r="166" spans="1:4" ht="12.75">
      <c r="A166" s="278" t="s">
        <v>18</v>
      </c>
      <c r="B166" s="40">
        <v>64.5</v>
      </c>
      <c r="C166" s="40">
        <v>0.5</v>
      </c>
      <c r="D166" s="279">
        <f t="shared" si="9"/>
        <v>32.25</v>
      </c>
    </row>
    <row r="167" spans="1:4" ht="12.75">
      <c r="A167" s="278" t="s">
        <v>19</v>
      </c>
      <c r="B167" s="40">
        <v>50.24</v>
      </c>
      <c r="C167" s="40">
        <v>0.5</v>
      </c>
      <c r="D167" s="279">
        <f t="shared" si="9"/>
        <v>25.12</v>
      </c>
    </row>
    <row r="168" spans="1:4" ht="12.75">
      <c r="A168" s="278" t="s">
        <v>20</v>
      </c>
      <c r="B168" s="40">
        <v>185.44</v>
      </c>
      <c r="C168" s="40">
        <v>0.5</v>
      </c>
      <c r="D168" s="279">
        <f t="shared" si="9"/>
        <v>92.72</v>
      </c>
    </row>
    <row r="169" spans="1:4" ht="12.75">
      <c r="A169" s="278" t="s">
        <v>21</v>
      </c>
      <c r="B169" s="40">
        <v>108.78</v>
      </c>
      <c r="C169" s="40">
        <v>0.5</v>
      </c>
      <c r="D169" s="279">
        <f t="shared" si="9"/>
        <v>54.39</v>
      </c>
    </row>
    <row r="170" spans="1:4" ht="12.75">
      <c r="A170" s="278" t="s">
        <v>22</v>
      </c>
      <c r="B170" s="40">
        <v>362.02</v>
      </c>
      <c r="C170" s="40">
        <v>0.5</v>
      </c>
      <c r="D170" s="279">
        <f t="shared" si="9"/>
        <v>181.01</v>
      </c>
    </row>
    <row r="171" spans="1:4" ht="12.75">
      <c r="A171" s="278" t="s">
        <v>23</v>
      </c>
      <c r="B171" s="40">
        <v>117.58</v>
      </c>
      <c r="C171" s="40">
        <v>0.5</v>
      </c>
      <c r="D171" s="279">
        <f t="shared" si="9"/>
        <v>58.79</v>
      </c>
    </row>
    <row r="172" spans="1:4" ht="12.75">
      <c r="A172" s="278" t="s">
        <v>24</v>
      </c>
      <c r="B172" s="40">
        <v>23.79</v>
      </c>
      <c r="C172" s="40">
        <v>0.5</v>
      </c>
      <c r="D172" s="279">
        <f t="shared" si="9"/>
        <v>11.895</v>
      </c>
    </row>
    <row r="173" spans="1:4" ht="12.75">
      <c r="A173" s="278" t="s">
        <v>25</v>
      </c>
      <c r="B173" s="40">
        <v>14.34</v>
      </c>
      <c r="C173" s="40">
        <v>0.5</v>
      </c>
      <c r="D173" s="279">
        <f t="shared" si="9"/>
        <v>7.17</v>
      </c>
    </row>
    <row r="174" spans="1:4" ht="12.75">
      <c r="A174" s="278" t="s">
        <v>6</v>
      </c>
      <c r="B174" s="40">
        <v>38.85</v>
      </c>
      <c r="C174" s="40">
        <v>0.5</v>
      </c>
      <c r="D174" s="279">
        <f t="shared" si="9"/>
        <v>19.425000000000001</v>
      </c>
    </row>
    <row r="175" spans="1:4" ht="12.75">
      <c r="A175" s="278" t="s">
        <v>26</v>
      </c>
      <c r="B175" s="40">
        <v>285.13</v>
      </c>
      <c r="C175" s="40">
        <v>0.5</v>
      </c>
      <c r="D175" s="279">
        <f t="shared" si="9"/>
        <v>142.565</v>
      </c>
    </row>
    <row r="176" spans="1:4" ht="12.75">
      <c r="A176" s="278" t="s">
        <v>27</v>
      </c>
      <c r="B176" s="40">
        <v>38.770000000000003</v>
      </c>
      <c r="C176" s="40">
        <v>0.5</v>
      </c>
      <c r="D176" s="279">
        <f t="shared" si="9"/>
        <v>19.385000000000002</v>
      </c>
    </row>
    <row r="177" spans="1:4" ht="12.75">
      <c r="A177" s="278" t="s">
        <v>28</v>
      </c>
      <c r="B177" s="40">
        <v>32.4</v>
      </c>
      <c r="C177" s="40">
        <v>0.5</v>
      </c>
      <c r="D177" s="279">
        <f t="shared" si="9"/>
        <v>16.2</v>
      </c>
    </row>
    <row r="178" spans="1:4" ht="12.75">
      <c r="A178" s="280" t="s">
        <v>7</v>
      </c>
      <c r="B178" s="281">
        <f>SUM(B159:B177)</f>
        <v>2204.5099999999998</v>
      </c>
      <c r="C178" s="282"/>
      <c r="D178" s="283">
        <f>ROUND(SUM(D159:D177),2)</f>
        <v>1102.26</v>
      </c>
    </row>
    <row r="180" spans="1:4" ht="38.25">
      <c r="A180" s="284" t="s">
        <v>43</v>
      </c>
      <c r="B180" s="285" t="s">
        <v>3</v>
      </c>
      <c r="C180" s="285" t="s">
        <v>40</v>
      </c>
      <c r="D180" s="286" t="s">
        <v>41</v>
      </c>
    </row>
    <row r="181" spans="1:4" ht="12.75">
      <c r="A181" s="278" t="s">
        <v>9</v>
      </c>
      <c r="B181" s="40">
        <v>178.44</v>
      </c>
      <c r="C181" s="40">
        <v>0.5</v>
      </c>
      <c r="D181" s="279">
        <f t="shared" ref="D181:D201" si="10">B181*C181</f>
        <v>89.22</v>
      </c>
    </row>
    <row r="182" spans="1:4" ht="12.75">
      <c r="A182" s="278" t="s">
        <v>10</v>
      </c>
      <c r="B182" s="40">
        <v>216.48</v>
      </c>
      <c r="C182" s="40">
        <v>0.5</v>
      </c>
      <c r="D182" s="279">
        <f t="shared" si="10"/>
        <v>108.24</v>
      </c>
    </row>
    <row r="183" spans="1:4" ht="12.75">
      <c r="A183" s="278" t="s">
        <v>11</v>
      </c>
      <c r="B183" s="40">
        <v>37.32</v>
      </c>
      <c r="C183" s="40">
        <v>0.5</v>
      </c>
      <c r="D183" s="279">
        <f t="shared" si="10"/>
        <v>18.66</v>
      </c>
    </row>
    <row r="184" spans="1:4" ht="12.75">
      <c r="A184" s="278" t="s">
        <v>12</v>
      </c>
      <c r="B184" s="40">
        <v>109.65</v>
      </c>
      <c r="C184" s="40">
        <v>0.5</v>
      </c>
      <c r="D184" s="279">
        <f t="shared" si="10"/>
        <v>54.825000000000003</v>
      </c>
    </row>
    <row r="185" spans="1:4" ht="12.75">
      <c r="A185" s="278" t="s">
        <v>13</v>
      </c>
      <c r="B185" s="40">
        <v>85.14</v>
      </c>
      <c r="C185" s="40">
        <v>0.5</v>
      </c>
      <c r="D185" s="279">
        <f t="shared" si="10"/>
        <v>42.57</v>
      </c>
    </row>
    <row r="186" spans="1:4" ht="12.75">
      <c r="A186" s="278" t="s">
        <v>14</v>
      </c>
      <c r="B186" s="40">
        <v>107.68</v>
      </c>
      <c r="C186" s="40">
        <v>0.5</v>
      </c>
      <c r="D186" s="279">
        <f t="shared" si="10"/>
        <v>53.84</v>
      </c>
    </row>
    <row r="187" spans="1:4" ht="12.75">
      <c r="A187" s="278" t="s">
        <v>15</v>
      </c>
      <c r="B187" s="40">
        <v>129.88</v>
      </c>
      <c r="C187" s="40">
        <v>0.5</v>
      </c>
      <c r="D187" s="279">
        <f t="shared" si="10"/>
        <v>64.94</v>
      </c>
    </row>
    <row r="188" spans="1:4" ht="12.75">
      <c r="A188" s="278" t="s">
        <v>16</v>
      </c>
      <c r="B188" s="40">
        <v>91.52</v>
      </c>
      <c r="C188" s="40">
        <v>0.5</v>
      </c>
      <c r="D188" s="279">
        <f t="shared" si="10"/>
        <v>45.76</v>
      </c>
    </row>
    <row r="189" spans="1:4" ht="12.75">
      <c r="A189" s="278" t="s">
        <v>17</v>
      </c>
      <c r="B189" s="40">
        <v>180.36</v>
      </c>
      <c r="C189" s="40">
        <v>0.5</v>
      </c>
      <c r="D189" s="279">
        <f t="shared" si="10"/>
        <v>90.18</v>
      </c>
    </row>
    <row r="190" spans="1:4" ht="12.75">
      <c r="A190" s="278" t="s">
        <v>18</v>
      </c>
      <c r="B190" s="40">
        <v>124</v>
      </c>
      <c r="C190" s="40">
        <v>0.5</v>
      </c>
      <c r="D190" s="279">
        <f t="shared" si="10"/>
        <v>62</v>
      </c>
    </row>
    <row r="191" spans="1:4" ht="12.75">
      <c r="A191" s="278" t="s">
        <v>19</v>
      </c>
      <c r="B191" s="40">
        <v>101.76</v>
      </c>
      <c r="C191" s="40">
        <v>0.5</v>
      </c>
      <c r="D191" s="279">
        <f t="shared" si="10"/>
        <v>50.88</v>
      </c>
    </row>
    <row r="192" spans="1:4" ht="12.75">
      <c r="A192" s="278" t="s">
        <v>20</v>
      </c>
      <c r="B192" s="40">
        <v>185.44</v>
      </c>
      <c r="C192" s="40">
        <v>0.5</v>
      </c>
      <c r="D192" s="279">
        <f t="shared" si="10"/>
        <v>92.72</v>
      </c>
    </row>
    <row r="193" spans="1:4" ht="12.75">
      <c r="A193" s="278" t="s">
        <v>21</v>
      </c>
      <c r="B193" s="40">
        <v>108.78</v>
      </c>
      <c r="C193" s="40">
        <v>0.5</v>
      </c>
      <c r="D193" s="279">
        <f t="shared" si="10"/>
        <v>54.39</v>
      </c>
    </row>
    <row r="194" spans="1:4" ht="12.75">
      <c r="A194" s="278" t="s">
        <v>22</v>
      </c>
      <c r="B194" s="40">
        <v>410.82</v>
      </c>
      <c r="C194" s="40">
        <v>0.5</v>
      </c>
      <c r="D194" s="279">
        <f t="shared" si="10"/>
        <v>205.41</v>
      </c>
    </row>
    <row r="195" spans="1:4" ht="12.75">
      <c r="A195" s="278" t="s">
        <v>23</v>
      </c>
      <c r="B195" s="40">
        <v>241.24</v>
      </c>
      <c r="C195" s="40">
        <v>0.5</v>
      </c>
      <c r="D195" s="279">
        <f t="shared" si="10"/>
        <v>120.62</v>
      </c>
    </row>
    <row r="196" spans="1:4" ht="12.75">
      <c r="A196" s="278" t="s">
        <v>24</v>
      </c>
      <c r="B196" s="40">
        <v>38.36</v>
      </c>
      <c r="C196" s="40">
        <v>0.5</v>
      </c>
      <c r="D196" s="279">
        <f t="shared" si="10"/>
        <v>19.18</v>
      </c>
    </row>
    <row r="197" spans="1:4" ht="12.75">
      <c r="A197" s="278" t="s">
        <v>25</v>
      </c>
      <c r="B197" s="40">
        <v>14.34</v>
      </c>
      <c r="C197" s="40">
        <v>0.5</v>
      </c>
      <c r="D197" s="279">
        <f t="shared" si="10"/>
        <v>7.17</v>
      </c>
    </row>
    <row r="198" spans="1:4" ht="12.75">
      <c r="A198" s="278" t="s">
        <v>6</v>
      </c>
      <c r="B198" s="40">
        <v>69.3</v>
      </c>
      <c r="C198" s="40">
        <v>0.5</v>
      </c>
      <c r="D198" s="279">
        <f t="shared" si="10"/>
        <v>34.65</v>
      </c>
    </row>
    <row r="199" spans="1:4" ht="12.75">
      <c r="A199" s="278" t="s">
        <v>26</v>
      </c>
      <c r="B199" s="40">
        <v>320.44</v>
      </c>
      <c r="C199" s="40">
        <v>0.5</v>
      </c>
      <c r="D199" s="279">
        <f t="shared" si="10"/>
        <v>160.22</v>
      </c>
    </row>
    <row r="200" spans="1:4" ht="12.75">
      <c r="A200" s="278" t="s">
        <v>27</v>
      </c>
      <c r="B200" s="40">
        <v>38.770000000000003</v>
      </c>
      <c r="C200" s="40">
        <v>0.5</v>
      </c>
      <c r="D200" s="279">
        <f t="shared" si="10"/>
        <v>19.385000000000002</v>
      </c>
    </row>
    <row r="201" spans="1:4" ht="12.75">
      <c r="A201" s="278" t="s">
        <v>28</v>
      </c>
      <c r="B201" s="40">
        <v>32.4</v>
      </c>
      <c r="C201" s="40">
        <v>0.5</v>
      </c>
      <c r="D201" s="279">
        <f t="shared" si="10"/>
        <v>16.2</v>
      </c>
    </row>
    <row r="202" spans="1:4" ht="12.75">
      <c r="A202" s="280" t="s">
        <v>7</v>
      </c>
      <c r="B202" s="281">
        <f>SUM(B181:B201)</f>
        <v>2822.1200000000008</v>
      </c>
      <c r="C202" s="282"/>
      <c r="D202" s="283">
        <f>ROUND(SUM(D181:D201),2)</f>
        <v>1411.06</v>
      </c>
    </row>
    <row r="204" spans="1:4" ht="18.600000000000001" customHeight="1">
      <c r="A204" s="315" t="s">
        <v>44</v>
      </c>
      <c r="B204" s="315"/>
      <c r="C204" s="315"/>
      <c r="D204" s="315"/>
    </row>
    <row r="205" spans="1:4" ht="38.25">
      <c r="A205" s="276" t="s">
        <v>45</v>
      </c>
      <c r="B205" s="113" t="s">
        <v>3</v>
      </c>
      <c r="C205" s="113" t="s">
        <v>46</v>
      </c>
      <c r="D205" s="277" t="s">
        <v>47</v>
      </c>
    </row>
    <row r="206" spans="1:4" ht="12.75">
      <c r="A206" s="278" t="s">
        <v>18</v>
      </c>
      <c r="B206" s="40">
        <v>20</v>
      </c>
      <c r="C206" s="40">
        <v>1</v>
      </c>
      <c r="D206" s="279">
        <f t="shared" ref="D206:D208" si="11">B206*C206</f>
        <v>20</v>
      </c>
    </row>
    <row r="207" spans="1:4" ht="12.75">
      <c r="A207" s="278" t="s">
        <v>22</v>
      </c>
      <c r="B207" s="40">
        <v>30.05</v>
      </c>
      <c r="C207" s="40">
        <v>1</v>
      </c>
      <c r="D207" s="279">
        <f t="shared" si="11"/>
        <v>30.05</v>
      </c>
    </row>
    <row r="208" spans="1:4" ht="12.75">
      <c r="A208" s="278" t="s">
        <v>23</v>
      </c>
      <c r="B208" s="40">
        <v>25.52</v>
      </c>
      <c r="C208" s="40">
        <v>1</v>
      </c>
      <c r="D208" s="279">
        <f t="shared" si="11"/>
        <v>25.52</v>
      </c>
    </row>
    <row r="209" spans="1:4" ht="12.75">
      <c r="A209" s="280" t="s">
        <v>7</v>
      </c>
      <c r="B209" s="282">
        <f>SUM(B206:B208)</f>
        <v>75.569999999999993</v>
      </c>
      <c r="C209" s="282"/>
      <c r="D209" s="287">
        <f>ROUND(SUM(D206:D208),2)</f>
        <v>75.569999999999993</v>
      </c>
    </row>
    <row r="211" spans="1:4" ht="17.45" customHeight="1">
      <c r="A211" s="315" t="s">
        <v>48</v>
      </c>
      <c r="B211" s="315"/>
      <c r="C211" s="315"/>
      <c r="D211" s="315"/>
    </row>
    <row r="212" spans="1:4" ht="38.25">
      <c r="A212" s="276" t="s">
        <v>49</v>
      </c>
      <c r="B212" s="113" t="s">
        <v>3</v>
      </c>
      <c r="C212" s="113" t="s">
        <v>4</v>
      </c>
      <c r="D212" s="277" t="s">
        <v>5</v>
      </c>
    </row>
    <row r="213" spans="1:4" ht="12.75">
      <c r="A213" s="278" t="s">
        <v>9</v>
      </c>
      <c r="B213" s="40">
        <v>56.82</v>
      </c>
      <c r="C213" s="40">
        <v>5</v>
      </c>
      <c r="D213" s="279">
        <f>(B213/5)*C213</f>
        <v>56.820000000000007</v>
      </c>
    </row>
    <row r="214" spans="1:4" ht="12.75">
      <c r="A214" s="280" t="s">
        <v>7</v>
      </c>
      <c r="B214" s="282">
        <f>SUM(B213)</f>
        <v>56.82</v>
      </c>
      <c r="C214" s="282"/>
      <c r="D214" s="287">
        <f>ROUND(SUM(D213),2)</f>
        <v>56.82</v>
      </c>
    </row>
  </sheetData>
  <mergeCells count="6">
    <mergeCell ref="A211:D211"/>
    <mergeCell ref="A1:D1"/>
    <mergeCell ref="A3:D3"/>
    <mergeCell ref="A99:D99"/>
    <mergeCell ref="A145:D145"/>
    <mergeCell ref="A204:D204"/>
  </mergeCells>
  <pageMargins left="0.70866141732283472" right="0.70866141732283472" top="0.74803149606299213" bottom="0.74803149606299213" header="0" footer="0"/>
  <pageSetup paperSize="9" scale="91" fitToHeight="0" orientation="portrait" r:id="rId1"/>
  <headerFooter>
    <oddFooter>&amp;CANEXO IV - Planilha de Custos e Formação de Preços
Processo n.º  23370.000233/2021-32
Pregão Eletrônico 036/2021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C22"/>
  <sheetViews>
    <sheetView workbookViewId="0">
      <selection activeCell="B26" sqref="B26"/>
    </sheetView>
  </sheetViews>
  <sheetFormatPr defaultColWidth="14.42578125" defaultRowHeight="15.75" customHeight="1"/>
  <cols>
    <col min="1" max="1" width="42.28515625" customWidth="1"/>
    <col min="2" max="2" width="49.85546875" customWidth="1"/>
    <col min="3" max="3" width="13.42578125" customWidth="1"/>
  </cols>
  <sheetData>
    <row r="1" spans="1:3" ht="27.75" customHeight="1">
      <c r="A1" s="327" t="s">
        <v>50</v>
      </c>
      <c r="B1" s="328"/>
      <c r="C1" s="329"/>
    </row>
    <row r="3" spans="1:3" ht="12.75">
      <c r="A3" s="3" t="s">
        <v>51</v>
      </c>
      <c r="B3" s="3" t="s">
        <v>52</v>
      </c>
      <c r="C3" s="4" t="s">
        <v>3</v>
      </c>
    </row>
    <row r="4" spans="1:3" ht="12.75">
      <c r="A4" s="319" t="s">
        <v>1</v>
      </c>
      <c r="B4" s="5" t="s">
        <v>53</v>
      </c>
      <c r="C4" s="6">
        <f>'Áreas Ajustadas'!D6</f>
        <v>138.30000000000001</v>
      </c>
    </row>
    <row r="5" spans="1:3" ht="12.75">
      <c r="A5" s="320"/>
      <c r="B5" s="5" t="s">
        <v>54</v>
      </c>
      <c r="C5" s="6">
        <f>'Áreas Ajustadas'!D30</f>
        <v>7300.19</v>
      </c>
    </row>
    <row r="6" spans="1:3" ht="12.75">
      <c r="A6" s="320"/>
      <c r="B6" s="5" t="s">
        <v>55</v>
      </c>
      <c r="C6" s="6">
        <f>'Áreas Ajustadas'!D34</f>
        <v>124.1</v>
      </c>
    </row>
    <row r="7" spans="1:3" ht="12.75">
      <c r="A7" s="320"/>
      <c r="B7" s="5" t="s">
        <v>56</v>
      </c>
      <c r="C7" s="6">
        <f>'Áreas Ajustadas'!D44</f>
        <v>307.38</v>
      </c>
    </row>
    <row r="8" spans="1:3" ht="12.75">
      <c r="A8" s="320"/>
      <c r="B8" s="5" t="s">
        <v>57</v>
      </c>
      <c r="C8" s="6">
        <f>'Áreas Ajustadas'!D54</f>
        <v>2449.77</v>
      </c>
    </row>
    <row r="9" spans="1:3" ht="12.75">
      <c r="A9" s="320"/>
      <c r="B9" s="5" t="s">
        <v>58</v>
      </c>
      <c r="C9" s="6">
        <f>'Áreas Ajustadas'!D75</f>
        <v>2163.91</v>
      </c>
    </row>
    <row r="10" spans="1:3" ht="12.75">
      <c r="A10" s="321"/>
      <c r="B10" s="5" t="s">
        <v>59</v>
      </c>
      <c r="C10" s="6">
        <f>'Áreas Ajustadas'!D97</f>
        <v>526.21</v>
      </c>
    </row>
    <row r="11" spans="1:3" ht="12.75">
      <c r="A11" s="322" t="s">
        <v>34</v>
      </c>
      <c r="B11" s="55" t="s">
        <v>60</v>
      </c>
      <c r="C11" s="56">
        <f>'Áreas Ajustadas'!D118</f>
        <v>1065.8699999999999</v>
      </c>
    </row>
    <row r="12" spans="1:3" ht="12.75">
      <c r="A12" s="323"/>
      <c r="B12" s="55" t="s">
        <v>61</v>
      </c>
      <c r="C12" s="56">
        <f>'Áreas Ajustadas'!D129</f>
        <v>623.59</v>
      </c>
    </row>
    <row r="13" spans="1:3" ht="12.75">
      <c r="A13" s="323"/>
      <c r="B13" s="55" t="s">
        <v>62</v>
      </c>
      <c r="C13" s="57">
        <v>0</v>
      </c>
    </row>
    <row r="14" spans="1:3" ht="12.75">
      <c r="A14" s="323"/>
      <c r="B14" s="55" t="s">
        <v>63</v>
      </c>
      <c r="C14" s="56">
        <f>'Áreas Ajustadas'!D143</f>
        <v>1417.99</v>
      </c>
    </row>
    <row r="15" spans="1:3" ht="12.75">
      <c r="A15" s="323"/>
      <c r="B15" s="55" t="s">
        <v>64</v>
      </c>
      <c r="C15" s="57">
        <v>0</v>
      </c>
    </row>
    <row r="16" spans="1:3" ht="12.75">
      <c r="A16" s="324"/>
      <c r="B16" s="55" t="s">
        <v>65</v>
      </c>
      <c r="C16" s="57">
        <v>0</v>
      </c>
    </row>
    <row r="17" spans="1:3" ht="12.75">
      <c r="A17" s="319" t="s">
        <v>38</v>
      </c>
      <c r="B17" s="5" t="s">
        <v>66</v>
      </c>
      <c r="C17" s="6">
        <f>'Áreas Ajustadas'!D156</f>
        <v>308.81</v>
      </c>
    </row>
    <row r="18" spans="1:3" ht="12.75">
      <c r="A18" s="320"/>
      <c r="B18" s="5" t="s">
        <v>67</v>
      </c>
      <c r="C18" s="6">
        <f>'Áreas Ajustadas'!D178</f>
        <v>1102.26</v>
      </c>
    </row>
    <row r="19" spans="1:3" ht="12.75">
      <c r="A19" s="321"/>
      <c r="B19" s="5" t="s">
        <v>68</v>
      </c>
      <c r="C19" s="6">
        <f>'Áreas Ajustadas'!D202</f>
        <v>1411.06</v>
      </c>
    </row>
    <row r="20" spans="1:3" ht="12.75">
      <c r="A20" s="55" t="s">
        <v>44</v>
      </c>
      <c r="B20" s="55" t="s">
        <v>69</v>
      </c>
      <c r="C20" s="56">
        <f>'Áreas Ajustadas'!D209</f>
        <v>75.569999999999993</v>
      </c>
    </row>
    <row r="21" spans="1:3" ht="12.75">
      <c r="A21" s="5" t="s">
        <v>48</v>
      </c>
      <c r="B21" s="5" t="s">
        <v>70</v>
      </c>
      <c r="C21" s="6">
        <f>'Áreas Ajustadas'!D214</f>
        <v>56.82</v>
      </c>
    </row>
    <row r="22" spans="1:3" ht="12.75">
      <c r="A22" s="325" t="s">
        <v>71</v>
      </c>
      <c r="B22" s="326"/>
      <c r="C22" s="7">
        <f>SUM(C4:C21)</f>
        <v>19071.829999999998</v>
      </c>
    </row>
  </sheetData>
  <mergeCells count="5">
    <mergeCell ref="A4:A10"/>
    <mergeCell ref="A11:A16"/>
    <mergeCell ref="A17:A19"/>
    <mergeCell ref="A22:B22"/>
    <mergeCell ref="A1:C1"/>
  </mergeCells>
  <pageMargins left="0.70866141732283472" right="0.70866141732283472" top="0.74803149606299213" bottom="0.74803149606299213" header="0" footer="0"/>
  <pageSetup paperSize="9" scale="84" fitToHeight="0" orientation="portrait" r:id="rId1"/>
  <headerFooter>
    <oddFooter>&amp;CANEXO IV - Planilha de Custos e Formação de Preços
Processo n.º 23370.000233/2021-32
Pregão Eletrônico 036/2021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109B-01D2-4DC7-BD44-B288FB272E3A}">
  <sheetPr>
    <pageSetUpPr fitToPage="1"/>
  </sheetPr>
  <dimension ref="A1:Z45"/>
  <sheetViews>
    <sheetView zoomScaleNormal="100" workbookViewId="0">
      <selection activeCell="E23" sqref="E23"/>
    </sheetView>
  </sheetViews>
  <sheetFormatPr defaultColWidth="14.42578125" defaultRowHeight="12.75"/>
  <cols>
    <col min="1" max="1" width="41.85546875" style="146" customWidth="1"/>
    <col min="2" max="2" width="54.42578125" style="146" customWidth="1"/>
    <col min="3" max="8" width="14.42578125" style="141"/>
    <col min="9" max="9" width="8.140625" style="141" customWidth="1"/>
    <col min="10" max="10" width="32" style="141" customWidth="1"/>
    <col min="11" max="13" width="14.42578125" style="141"/>
    <col min="14" max="14" width="28.7109375" style="141" bestFit="1" customWidth="1"/>
    <col min="15" max="15" width="14.42578125" style="141"/>
    <col min="16" max="16" width="7.7109375" style="141" bestFit="1" customWidth="1"/>
    <col min="17" max="17" width="8.140625" style="141" customWidth="1"/>
    <col min="18" max="18" width="14.42578125" style="141"/>
    <col min="19" max="16384" width="14.42578125" style="146"/>
  </cols>
  <sheetData>
    <row r="1" spans="1:26" ht="33" customHeight="1">
      <c r="A1" s="330" t="s">
        <v>571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2"/>
    </row>
    <row r="2" spans="1:26">
      <c r="A2" s="272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5"/>
    </row>
    <row r="3" spans="1:26" ht="102">
      <c r="A3" s="268" t="s">
        <v>51</v>
      </c>
      <c r="B3" s="269" t="s">
        <v>72</v>
      </c>
      <c r="C3" s="270" t="s">
        <v>73</v>
      </c>
      <c r="D3" s="271" t="s">
        <v>74</v>
      </c>
      <c r="E3" s="270" t="s">
        <v>75</v>
      </c>
      <c r="F3" s="270" t="s">
        <v>76</v>
      </c>
      <c r="G3" s="270" t="s">
        <v>77</v>
      </c>
      <c r="H3" s="270" t="s">
        <v>78</v>
      </c>
      <c r="I3" s="334" t="s">
        <v>79</v>
      </c>
      <c r="J3" s="335"/>
      <c r="K3" s="335"/>
      <c r="L3" s="335"/>
      <c r="M3" s="335"/>
      <c r="N3" s="335"/>
      <c r="O3" s="335"/>
      <c r="P3" s="336"/>
      <c r="Q3" s="169"/>
      <c r="R3" s="169"/>
      <c r="S3" s="8"/>
      <c r="T3" s="9"/>
      <c r="U3" s="9"/>
      <c r="V3" s="9"/>
      <c r="W3" s="9"/>
      <c r="X3" s="9"/>
      <c r="Y3" s="9"/>
      <c r="Z3" s="9"/>
    </row>
    <row r="4" spans="1:26" ht="15.75" customHeight="1">
      <c r="A4" s="337" t="s">
        <v>1</v>
      </c>
      <c r="B4" s="134" t="s">
        <v>80</v>
      </c>
      <c r="C4" s="162">
        <v>1200</v>
      </c>
      <c r="D4" s="163">
        <f>'[1]ÁREAS TOTAIS após ajuste'!C4</f>
        <v>138.30000000000001</v>
      </c>
      <c r="E4" s="11">
        <f t="shared" ref="E4:E16" si="0">D4/C4</f>
        <v>0.11525000000000001</v>
      </c>
      <c r="F4" s="10">
        <f t="shared" ref="F4:F21" si="1">TRUNC(E4,0)</f>
        <v>0</v>
      </c>
      <c r="G4" s="11">
        <f t="shared" ref="G4:G21" si="2">E4-F4</f>
        <v>0.11525000000000001</v>
      </c>
      <c r="H4" s="11">
        <f t="shared" ref="H4:H21" si="3">G4*$C$25*60</f>
        <v>55.32</v>
      </c>
      <c r="I4" s="12">
        <f t="shared" ref="I4:I21" si="4">F4</f>
        <v>0</v>
      </c>
      <c r="J4" s="39" t="s">
        <v>81</v>
      </c>
      <c r="K4" s="12">
        <f t="shared" ref="K4:K21" si="5">$C$25</f>
        <v>8</v>
      </c>
      <c r="L4" s="39" t="s">
        <v>82</v>
      </c>
      <c r="M4" s="12">
        <v>1</v>
      </c>
      <c r="N4" s="39" t="s">
        <v>83</v>
      </c>
      <c r="O4" s="13">
        <f t="shared" ref="O4:O21" si="6">H4</f>
        <v>55.32</v>
      </c>
      <c r="P4" s="39" t="s">
        <v>84</v>
      </c>
      <c r="Q4" s="25"/>
      <c r="R4" s="25"/>
      <c r="S4" s="14"/>
    </row>
    <row r="5" spans="1:26" ht="15.75" customHeight="1">
      <c r="A5" s="338"/>
      <c r="B5" s="134" t="s">
        <v>85</v>
      </c>
      <c r="C5" s="162">
        <v>1200</v>
      </c>
      <c r="D5" s="163">
        <f>'[1]ÁREAS TOTAIS após ajuste'!C5</f>
        <v>7300.19</v>
      </c>
      <c r="E5" s="11">
        <f t="shared" si="0"/>
        <v>6.0834916666666663</v>
      </c>
      <c r="F5" s="10">
        <f t="shared" si="1"/>
        <v>6</v>
      </c>
      <c r="G5" s="11">
        <f t="shared" si="2"/>
        <v>8.3491666666666298E-2</v>
      </c>
      <c r="H5" s="11">
        <f t="shared" si="3"/>
        <v>40.075999999999823</v>
      </c>
      <c r="I5" s="12">
        <f t="shared" si="4"/>
        <v>6</v>
      </c>
      <c r="J5" s="39" t="s">
        <v>81</v>
      </c>
      <c r="K5" s="12">
        <f t="shared" si="5"/>
        <v>8</v>
      </c>
      <c r="L5" s="39" t="s">
        <v>82</v>
      </c>
      <c r="M5" s="12">
        <v>1</v>
      </c>
      <c r="N5" s="39" t="s">
        <v>83</v>
      </c>
      <c r="O5" s="13">
        <f t="shared" si="6"/>
        <v>40.075999999999823</v>
      </c>
      <c r="P5" s="39" t="s">
        <v>84</v>
      </c>
      <c r="Q5" s="25"/>
      <c r="R5" s="25"/>
      <c r="S5" s="14"/>
    </row>
    <row r="6" spans="1:26" ht="15.75" customHeight="1">
      <c r="A6" s="338"/>
      <c r="B6" s="134" t="s">
        <v>86</v>
      </c>
      <c r="C6" s="164">
        <v>450</v>
      </c>
      <c r="D6" s="163">
        <f>'[1]ÁREAS TOTAIS após ajuste'!C6</f>
        <v>124.1</v>
      </c>
      <c r="E6" s="11">
        <f t="shared" si="0"/>
        <v>0.27577777777777779</v>
      </c>
      <c r="F6" s="10">
        <f t="shared" si="1"/>
        <v>0</v>
      </c>
      <c r="G6" s="11">
        <f t="shared" si="2"/>
        <v>0.27577777777777779</v>
      </c>
      <c r="H6" s="11">
        <f t="shared" si="3"/>
        <v>132.37333333333333</v>
      </c>
      <c r="I6" s="12">
        <f t="shared" si="4"/>
        <v>0</v>
      </c>
      <c r="J6" s="39" t="s">
        <v>81</v>
      </c>
      <c r="K6" s="12">
        <f t="shared" si="5"/>
        <v>8</v>
      </c>
      <c r="L6" s="39" t="s">
        <v>82</v>
      </c>
      <c r="M6" s="12">
        <v>1</v>
      </c>
      <c r="N6" s="39" t="s">
        <v>83</v>
      </c>
      <c r="O6" s="13">
        <f t="shared" si="6"/>
        <v>132.37333333333333</v>
      </c>
      <c r="P6" s="39" t="s">
        <v>84</v>
      </c>
      <c r="Q6" s="25"/>
      <c r="R6" s="25"/>
      <c r="S6" s="14"/>
    </row>
    <row r="7" spans="1:26" ht="15.75" customHeight="1">
      <c r="A7" s="338"/>
      <c r="B7" s="134" t="s">
        <v>87</v>
      </c>
      <c r="C7" s="162">
        <v>2500</v>
      </c>
      <c r="D7" s="163">
        <f>'[1]ÁREAS TOTAIS após ajuste'!C7</f>
        <v>307.38</v>
      </c>
      <c r="E7" s="11">
        <f t="shared" si="0"/>
        <v>0.12295199999999999</v>
      </c>
      <c r="F7" s="10">
        <f t="shared" si="1"/>
        <v>0</v>
      </c>
      <c r="G7" s="11">
        <f t="shared" si="2"/>
        <v>0.12295199999999999</v>
      </c>
      <c r="H7" s="11">
        <f t="shared" si="3"/>
        <v>59.016959999999997</v>
      </c>
      <c r="I7" s="12">
        <f t="shared" si="4"/>
        <v>0</v>
      </c>
      <c r="J7" s="39" t="s">
        <v>81</v>
      </c>
      <c r="K7" s="12">
        <f t="shared" si="5"/>
        <v>8</v>
      </c>
      <c r="L7" s="39" t="s">
        <v>82</v>
      </c>
      <c r="M7" s="12">
        <v>1</v>
      </c>
      <c r="N7" s="39" t="s">
        <v>83</v>
      </c>
      <c r="O7" s="13">
        <f t="shared" si="6"/>
        <v>59.016959999999997</v>
      </c>
      <c r="P7" s="39" t="s">
        <v>84</v>
      </c>
      <c r="Q7" s="25"/>
      <c r="R7" s="25"/>
      <c r="S7" s="14"/>
    </row>
    <row r="8" spans="1:26" ht="15.75" customHeight="1">
      <c r="A8" s="338"/>
      <c r="B8" s="134" t="s">
        <v>88</v>
      </c>
      <c r="C8" s="162">
        <v>1800</v>
      </c>
      <c r="D8" s="163">
        <f>'[1]ÁREAS TOTAIS após ajuste'!C8</f>
        <v>2449.77</v>
      </c>
      <c r="E8" s="11">
        <f t="shared" si="0"/>
        <v>1.3609833333333334</v>
      </c>
      <c r="F8" s="10">
        <f t="shared" si="1"/>
        <v>1</v>
      </c>
      <c r="G8" s="11">
        <f t="shared" si="2"/>
        <v>0.36098333333333343</v>
      </c>
      <c r="H8" s="11">
        <f t="shared" si="3"/>
        <v>173.27200000000005</v>
      </c>
      <c r="I8" s="12">
        <f t="shared" si="4"/>
        <v>1</v>
      </c>
      <c r="J8" s="39" t="s">
        <v>81</v>
      </c>
      <c r="K8" s="12">
        <f t="shared" si="5"/>
        <v>8</v>
      </c>
      <c r="L8" s="39" t="s">
        <v>82</v>
      </c>
      <c r="M8" s="12">
        <v>1</v>
      </c>
      <c r="N8" s="39" t="s">
        <v>83</v>
      </c>
      <c r="O8" s="13">
        <f t="shared" si="6"/>
        <v>173.27200000000005</v>
      </c>
      <c r="P8" s="39" t="s">
        <v>84</v>
      </c>
      <c r="Q8" s="25"/>
      <c r="R8" s="25"/>
      <c r="S8" s="14"/>
    </row>
    <row r="9" spans="1:26" ht="15.75" customHeight="1">
      <c r="A9" s="338"/>
      <c r="B9" s="134" t="s">
        <v>89</v>
      </c>
      <c r="C9" s="162">
        <v>1500</v>
      </c>
      <c r="D9" s="163">
        <f>'[1]ÁREAS TOTAIS após ajuste'!C9</f>
        <v>2163.91</v>
      </c>
      <c r="E9" s="11">
        <f t="shared" si="0"/>
        <v>1.4426066666666666</v>
      </c>
      <c r="F9" s="10">
        <f t="shared" si="1"/>
        <v>1</v>
      </c>
      <c r="G9" s="11">
        <f t="shared" si="2"/>
        <v>0.44260666666666659</v>
      </c>
      <c r="H9" s="11">
        <f t="shared" si="3"/>
        <v>212.45119999999997</v>
      </c>
      <c r="I9" s="12">
        <f t="shared" si="4"/>
        <v>1</v>
      </c>
      <c r="J9" s="39" t="s">
        <v>81</v>
      </c>
      <c r="K9" s="12">
        <f t="shared" si="5"/>
        <v>8</v>
      </c>
      <c r="L9" s="39" t="s">
        <v>82</v>
      </c>
      <c r="M9" s="12">
        <v>1</v>
      </c>
      <c r="N9" s="39" t="s">
        <v>83</v>
      </c>
      <c r="O9" s="13">
        <f t="shared" si="6"/>
        <v>212.45119999999997</v>
      </c>
      <c r="P9" s="39" t="s">
        <v>84</v>
      </c>
      <c r="Q9" s="25"/>
      <c r="R9" s="25"/>
      <c r="S9" s="14"/>
    </row>
    <row r="10" spans="1:26" ht="15.75" customHeight="1">
      <c r="A10" s="339"/>
      <c r="B10" s="135" t="s">
        <v>90</v>
      </c>
      <c r="C10" s="164">
        <v>300</v>
      </c>
      <c r="D10" s="163">
        <f>'[1]ÁREAS TOTAIS após ajuste'!C10</f>
        <v>526.21</v>
      </c>
      <c r="E10" s="11">
        <f t="shared" si="0"/>
        <v>1.7540333333333336</v>
      </c>
      <c r="F10" s="10">
        <f t="shared" si="1"/>
        <v>1</v>
      </c>
      <c r="G10" s="11">
        <f t="shared" si="2"/>
        <v>0.75403333333333356</v>
      </c>
      <c r="H10" s="11">
        <f t="shared" si="3"/>
        <v>361.93600000000009</v>
      </c>
      <c r="I10" s="12">
        <f t="shared" si="4"/>
        <v>1</v>
      </c>
      <c r="J10" s="39" t="s">
        <v>81</v>
      </c>
      <c r="K10" s="12">
        <f t="shared" si="5"/>
        <v>8</v>
      </c>
      <c r="L10" s="39" t="s">
        <v>82</v>
      </c>
      <c r="M10" s="12">
        <v>1</v>
      </c>
      <c r="N10" s="39" t="s">
        <v>83</v>
      </c>
      <c r="O10" s="13">
        <f t="shared" si="6"/>
        <v>361.93600000000009</v>
      </c>
      <c r="P10" s="39" t="s">
        <v>84</v>
      </c>
      <c r="Q10" s="25"/>
      <c r="R10" s="25"/>
      <c r="S10" s="14"/>
    </row>
    <row r="11" spans="1:26" ht="15.75" customHeight="1">
      <c r="A11" s="337" t="s">
        <v>34</v>
      </c>
      <c r="B11" s="134" t="s">
        <v>91</v>
      </c>
      <c r="C11" s="165">
        <v>2700</v>
      </c>
      <c r="D11" s="163">
        <f>'[1]ÁREAS TOTAIS após ajuste'!C11</f>
        <v>1065.8699999999999</v>
      </c>
      <c r="E11" s="11">
        <f t="shared" si="0"/>
        <v>0.3947666666666666</v>
      </c>
      <c r="F11" s="10">
        <f t="shared" si="1"/>
        <v>0</v>
      </c>
      <c r="G11" s="11">
        <f t="shared" si="2"/>
        <v>0.3947666666666666</v>
      </c>
      <c r="H11" s="11">
        <f t="shared" si="3"/>
        <v>189.48799999999997</v>
      </c>
      <c r="I11" s="12">
        <f t="shared" si="4"/>
        <v>0</v>
      </c>
      <c r="J11" s="39" t="s">
        <v>81</v>
      </c>
      <c r="K11" s="12">
        <f t="shared" si="5"/>
        <v>8</v>
      </c>
      <c r="L11" s="39" t="s">
        <v>82</v>
      </c>
      <c r="M11" s="12">
        <v>1</v>
      </c>
      <c r="N11" s="39" t="s">
        <v>83</v>
      </c>
      <c r="O11" s="13">
        <f t="shared" si="6"/>
        <v>189.48799999999997</v>
      </c>
      <c r="P11" s="39" t="s">
        <v>84</v>
      </c>
      <c r="Q11" s="25"/>
      <c r="R11" s="25"/>
      <c r="S11" s="14"/>
    </row>
    <row r="12" spans="1:26" ht="15.75" customHeight="1">
      <c r="A12" s="338"/>
      <c r="B12" s="134" t="s">
        <v>92</v>
      </c>
      <c r="C12" s="165">
        <v>9000</v>
      </c>
      <c r="D12" s="163">
        <f>'[1]ÁREAS TOTAIS após ajuste'!C12</f>
        <v>623.59</v>
      </c>
      <c r="E12" s="11">
        <f t="shared" si="0"/>
        <v>6.9287777777777781E-2</v>
      </c>
      <c r="F12" s="10">
        <f t="shared" si="1"/>
        <v>0</v>
      </c>
      <c r="G12" s="11">
        <f t="shared" si="2"/>
        <v>6.9287777777777781E-2</v>
      </c>
      <c r="H12" s="11">
        <f t="shared" si="3"/>
        <v>33.258133333333333</v>
      </c>
      <c r="I12" s="12">
        <f t="shared" si="4"/>
        <v>0</v>
      </c>
      <c r="J12" s="39" t="s">
        <v>81</v>
      </c>
      <c r="K12" s="12">
        <f t="shared" si="5"/>
        <v>8</v>
      </c>
      <c r="L12" s="39" t="s">
        <v>82</v>
      </c>
      <c r="M12" s="12">
        <v>1</v>
      </c>
      <c r="N12" s="39" t="s">
        <v>83</v>
      </c>
      <c r="O12" s="13">
        <f t="shared" si="6"/>
        <v>33.258133333333333</v>
      </c>
      <c r="P12" s="39" t="s">
        <v>84</v>
      </c>
      <c r="Q12" s="25"/>
      <c r="R12" s="25"/>
      <c r="S12" s="14"/>
    </row>
    <row r="13" spans="1:26" ht="15.75" customHeight="1">
      <c r="A13" s="338"/>
      <c r="B13" s="134" t="s">
        <v>93</v>
      </c>
      <c r="C13" s="165">
        <v>2700</v>
      </c>
      <c r="D13" s="163">
        <f>'[1]ÁREAS TOTAIS após ajuste'!C13</f>
        <v>0</v>
      </c>
      <c r="E13" s="11">
        <f t="shared" si="0"/>
        <v>0</v>
      </c>
      <c r="F13" s="10">
        <f t="shared" si="1"/>
        <v>0</v>
      </c>
      <c r="G13" s="11">
        <f t="shared" si="2"/>
        <v>0</v>
      </c>
      <c r="H13" s="11">
        <f t="shared" si="3"/>
        <v>0</v>
      </c>
      <c r="I13" s="12">
        <f t="shared" si="4"/>
        <v>0</v>
      </c>
      <c r="J13" s="39" t="s">
        <v>81</v>
      </c>
      <c r="K13" s="12">
        <f t="shared" si="5"/>
        <v>8</v>
      </c>
      <c r="L13" s="39" t="s">
        <v>82</v>
      </c>
      <c r="M13" s="12">
        <v>1</v>
      </c>
      <c r="N13" s="39" t="s">
        <v>83</v>
      </c>
      <c r="O13" s="13">
        <f t="shared" si="6"/>
        <v>0</v>
      </c>
      <c r="P13" s="39" t="s">
        <v>84</v>
      </c>
      <c r="Q13" s="25"/>
      <c r="R13" s="25"/>
      <c r="S13" s="14"/>
    </row>
    <row r="14" spans="1:26" ht="15.75" customHeight="1">
      <c r="A14" s="338"/>
      <c r="B14" s="134" t="s">
        <v>94</v>
      </c>
      <c r="C14" s="165">
        <v>2700</v>
      </c>
      <c r="D14" s="163">
        <f>'[1]ÁREAS TOTAIS após ajuste'!C14</f>
        <v>1417.99</v>
      </c>
      <c r="E14" s="11">
        <f t="shared" si="0"/>
        <v>0.52518148148148147</v>
      </c>
      <c r="F14" s="10">
        <f t="shared" si="1"/>
        <v>0</v>
      </c>
      <c r="G14" s="11">
        <f t="shared" si="2"/>
        <v>0.52518148148148147</v>
      </c>
      <c r="H14" s="11">
        <f t="shared" si="3"/>
        <v>252.08711111111111</v>
      </c>
      <c r="I14" s="12">
        <f t="shared" si="4"/>
        <v>0</v>
      </c>
      <c r="J14" s="39" t="s">
        <v>81</v>
      </c>
      <c r="K14" s="12">
        <f t="shared" si="5"/>
        <v>8</v>
      </c>
      <c r="L14" s="39" t="s">
        <v>82</v>
      </c>
      <c r="M14" s="12">
        <v>1</v>
      </c>
      <c r="N14" s="39" t="s">
        <v>83</v>
      </c>
      <c r="O14" s="13">
        <f t="shared" si="6"/>
        <v>252.08711111111111</v>
      </c>
      <c r="P14" s="39" t="s">
        <v>84</v>
      </c>
      <c r="Q14" s="25"/>
      <c r="R14" s="25"/>
      <c r="S14" s="14"/>
    </row>
    <row r="15" spans="1:26" ht="15.75">
      <c r="A15" s="338"/>
      <c r="B15" s="134" t="s">
        <v>95</v>
      </c>
      <c r="C15" s="165">
        <v>2700</v>
      </c>
      <c r="D15" s="163">
        <f>'[1]ÁREAS TOTAIS após ajuste'!C15</f>
        <v>0</v>
      </c>
      <c r="E15" s="11">
        <f t="shared" si="0"/>
        <v>0</v>
      </c>
      <c r="F15" s="10">
        <f t="shared" si="1"/>
        <v>0</v>
      </c>
      <c r="G15" s="11">
        <f t="shared" si="2"/>
        <v>0</v>
      </c>
      <c r="H15" s="11">
        <f t="shared" si="3"/>
        <v>0</v>
      </c>
      <c r="I15" s="12">
        <f t="shared" si="4"/>
        <v>0</v>
      </c>
      <c r="J15" s="39" t="s">
        <v>81</v>
      </c>
      <c r="K15" s="12">
        <f t="shared" si="5"/>
        <v>8</v>
      </c>
      <c r="L15" s="39" t="s">
        <v>82</v>
      </c>
      <c r="M15" s="12">
        <v>1</v>
      </c>
      <c r="N15" s="39" t="s">
        <v>83</v>
      </c>
      <c r="O15" s="13">
        <f t="shared" si="6"/>
        <v>0</v>
      </c>
      <c r="P15" s="39" t="s">
        <v>84</v>
      </c>
      <c r="Q15" s="25"/>
      <c r="R15" s="25"/>
      <c r="S15" s="14"/>
    </row>
    <row r="16" spans="1:26" ht="15.75">
      <c r="A16" s="339"/>
      <c r="B16" s="134" t="s">
        <v>96</v>
      </c>
      <c r="C16" s="165">
        <v>100000</v>
      </c>
      <c r="D16" s="163">
        <f>'[1]ÁREAS TOTAIS após ajuste'!C16</f>
        <v>0</v>
      </c>
      <c r="E16" s="11">
        <f t="shared" si="0"/>
        <v>0</v>
      </c>
      <c r="F16" s="10">
        <f t="shared" si="1"/>
        <v>0</v>
      </c>
      <c r="G16" s="11">
        <f t="shared" si="2"/>
        <v>0</v>
      </c>
      <c r="H16" s="11">
        <f t="shared" si="3"/>
        <v>0</v>
      </c>
      <c r="I16" s="12">
        <f t="shared" si="4"/>
        <v>0</v>
      </c>
      <c r="J16" s="39" t="s">
        <v>81</v>
      </c>
      <c r="K16" s="12">
        <f t="shared" si="5"/>
        <v>8</v>
      </c>
      <c r="L16" s="39" t="s">
        <v>82</v>
      </c>
      <c r="M16" s="12">
        <v>1</v>
      </c>
      <c r="N16" s="39" t="s">
        <v>83</v>
      </c>
      <c r="O16" s="13">
        <f t="shared" si="6"/>
        <v>0</v>
      </c>
      <c r="P16" s="39" t="s">
        <v>84</v>
      </c>
      <c r="Q16" s="25"/>
      <c r="R16" s="25"/>
      <c r="S16" s="14"/>
    </row>
    <row r="17" spans="1:19" ht="15.75">
      <c r="A17" s="337" t="s">
        <v>38</v>
      </c>
      <c r="B17" s="136" t="s">
        <v>97</v>
      </c>
      <c r="C17" s="39">
        <v>160</v>
      </c>
      <c r="D17" s="163">
        <f>'[1]ÁREAS TOTAIS após ajuste'!C17</f>
        <v>308.81</v>
      </c>
      <c r="E17" s="11">
        <f t="shared" ref="E17:E19" si="7">(D17/C17)*(16/188.76)</f>
        <v>0.16359927950837044</v>
      </c>
      <c r="F17" s="10">
        <f t="shared" si="1"/>
        <v>0</v>
      </c>
      <c r="G17" s="11">
        <f t="shared" si="2"/>
        <v>0.16359927950837044</v>
      </c>
      <c r="H17" s="11">
        <f t="shared" si="3"/>
        <v>78.527654164017818</v>
      </c>
      <c r="I17" s="12">
        <f t="shared" si="4"/>
        <v>0</v>
      </c>
      <c r="J17" s="39" t="s">
        <v>81</v>
      </c>
      <c r="K17" s="12">
        <f t="shared" si="5"/>
        <v>8</v>
      </c>
      <c r="L17" s="39" t="s">
        <v>82</v>
      </c>
      <c r="M17" s="12">
        <v>1</v>
      </c>
      <c r="N17" s="39" t="s">
        <v>83</v>
      </c>
      <c r="O17" s="13">
        <f t="shared" si="6"/>
        <v>78.527654164017818</v>
      </c>
      <c r="P17" s="39" t="s">
        <v>84</v>
      </c>
      <c r="Q17" s="25"/>
      <c r="R17" s="25"/>
      <c r="S17" s="14"/>
    </row>
    <row r="18" spans="1:19" ht="15.75">
      <c r="A18" s="338"/>
      <c r="B18" s="136" t="s">
        <v>98</v>
      </c>
      <c r="C18" s="39">
        <v>380</v>
      </c>
      <c r="D18" s="163">
        <f>'[1]ÁREAS TOTAIS após ajuste'!C18</f>
        <v>1102.26</v>
      </c>
      <c r="E18" s="11">
        <f t="shared" si="7"/>
        <v>0.2458727874995818</v>
      </c>
      <c r="F18" s="10">
        <f t="shared" si="1"/>
        <v>0</v>
      </c>
      <c r="G18" s="11">
        <f t="shared" si="2"/>
        <v>0.2458727874995818</v>
      </c>
      <c r="H18" s="11">
        <f t="shared" si="3"/>
        <v>118.01893799979926</v>
      </c>
      <c r="I18" s="12">
        <f t="shared" si="4"/>
        <v>0</v>
      </c>
      <c r="J18" s="39" t="s">
        <v>81</v>
      </c>
      <c r="K18" s="12">
        <f t="shared" si="5"/>
        <v>8</v>
      </c>
      <c r="L18" s="39" t="s">
        <v>82</v>
      </c>
      <c r="M18" s="12">
        <v>1</v>
      </c>
      <c r="N18" s="39" t="s">
        <v>83</v>
      </c>
      <c r="O18" s="13">
        <f t="shared" si="6"/>
        <v>118.01893799979926</v>
      </c>
      <c r="P18" s="39" t="s">
        <v>84</v>
      </c>
      <c r="Q18" s="25"/>
      <c r="R18" s="25"/>
      <c r="S18" s="14"/>
    </row>
    <row r="19" spans="1:19" ht="15.75">
      <c r="A19" s="339"/>
      <c r="B19" s="134" t="s">
        <v>99</v>
      </c>
      <c r="C19" s="39">
        <v>380</v>
      </c>
      <c r="D19" s="163">
        <f>'[1]ÁREAS TOTAIS após ajuste'!C19</f>
        <v>1411.06</v>
      </c>
      <c r="E19" s="11">
        <f t="shared" si="7"/>
        <v>0.31475446403676072</v>
      </c>
      <c r="F19" s="10">
        <f t="shared" si="1"/>
        <v>0</v>
      </c>
      <c r="G19" s="11">
        <f t="shared" si="2"/>
        <v>0.31475446403676072</v>
      </c>
      <c r="H19" s="11">
        <f t="shared" si="3"/>
        <v>151.08214273764514</v>
      </c>
      <c r="I19" s="12">
        <f t="shared" si="4"/>
        <v>0</v>
      </c>
      <c r="J19" s="39" t="s">
        <v>81</v>
      </c>
      <c r="K19" s="12">
        <f t="shared" si="5"/>
        <v>8</v>
      </c>
      <c r="L19" s="39" t="s">
        <v>82</v>
      </c>
      <c r="M19" s="12">
        <v>1</v>
      </c>
      <c r="N19" s="39" t="s">
        <v>83</v>
      </c>
      <c r="O19" s="13">
        <f t="shared" si="6"/>
        <v>151.08214273764514</v>
      </c>
      <c r="P19" s="39" t="s">
        <v>84</v>
      </c>
      <c r="Q19" s="25"/>
      <c r="R19" s="25"/>
      <c r="S19" s="14"/>
    </row>
    <row r="20" spans="1:19" ht="15.75">
      <c r="A20" s="137" t="s">
        <v>44</v>
      </c>
      <c r="B20" s="134" t="s">
        <v>100</v>
      </c>
      <c r="C20" s="39">
        <v>160</v>
      </c>
      <c r="D20" s="163">
        <f>'[1]ÁREAS TOTAIS após ajuste'!C20</f>
        <v>75.569999999999993</v>
      </c>
      <c r="E20" s="11">
        <f>(D20/C20)*(8/1132.6)</f>
        <v>3.3361292601094827E-3</v>
      </c>
      <c r="F20" s="10">
        <f t="shared" si="1"/>
        <v>0</v>
      </c>
      <c r="G20" s="11">
        <f t="shared" si="2"/>
        <v>3.3361292601094827E-3</v>
      </c>
      <c r="H20" s="11">
        <f t="shared" si="3"/>
        <v>1.6013420448525517</v>
      </c>
      <c r="I20" s="12">
        <f t="shared" si="4"/>
        <v>0</v>
      </c>
      <c r="J20" s="39" t="s">
        <v>81</v>
      </c>
      <c r="K20" s="12">
        <f t="shared" si="5"/>
        <v>8</v>
      </c>
      <c r="L20" s="39" t="s">
        <v>82</v>
      </c>
      <c r="M20" s="12">
        <v>1</v>
      </c>
      <c r="N20" s="39" t="s">
        <v>83</v>
      </c>
      <c r="O20" s="13">
        <f t="shared" si="6"/>
        <v>1.6013420448525517</v>
      </c>
      <c r="P20" s="39" t="s">
        <v>84</v>
      </c>
      <c r="Q20" s="25"/>
      <c r="R20" s="25"/>
      <c r="S20" s="14"/>
    </row>
    <row r="21" spans="1:19" ht="15.75">
      <c r="A21" s="167" t="s">
        <v>48</v>
      </c>
      <c r="B21" s="168" t="s">
        <v>101</v>
      </c>
      <c r="C21" s="171">
        <v>450</v>
      </c>
      <c r="D21" s="166">
        <f>'[1]ÁREAS TOTAIS após ajuste'!C21</f>
        <v>56.82</v>
      </c>
      <c r="E21" s="11">
        <f>D21/C21</f>
        <v>0.12626666666666667</v>
      </c>
      <c r="F21" s="10">
        <f t="shared" si="1"/>
        <v>0</v>
      </c>
      <c r="G21" s="11">
        <f t="shared" si="2"/>
        <v>0.12626666666666667</v>
      </c>
      <c r="H21" s="11">
        <f t="shared" si="3"/>
        <v>60.607999999999997</v>
      </c>
      <c r="I21" s="12">
        <f t="shared" si="4"/>
        <v>0</v>
      </c>
      <c r="J21" s="39" t="s">
        <v>81</v>
      </c>
      <c r="K21" s="12">
        <f t="shared" si="5"/>
        <v>8</v>
      </c>
      <c r="L21" s="39" t="s">
        <v>82</v>
      </c>
      <c r="M21" s="12">
        <v>1</v>
      </c>
      <c r="N21" s="39" t="s">
        <v>83</v>
      </c>
      <c r="O21" s="13">
        <f t="shared" si="6"/>
        <v>60.607999999999997</v>
      </c>
      <c r="P21" s="39" t="s">
        <v>84</v>
      </c>
      <c r="Q21" s="25"/>
      <c r="R21" s="25"/>
      <c r="S21" s="14"/>
    </row>
    <row r="22" spans="1:19" ht="15.75">
      <c r="A22" s="340" t="s">
        <v>532</v>
      </c>
      <c r="B22" s="340"/>
      <c r="C22" s="340"/>
      <c r="D22" s="172">
        <f>SUM(D4:D21)</f>
        <v>19071.829999999998</v>
      </c>
      <c r="E22" s="144"/>
      <c r="F22" s="16"/>
      <c r="G22" s="144"/>
      <c r="H22" s="17"/>
      <c r="I22" s="26"/>
      <c r="J22" s="25"/>
      <c r="K22" s="26"/>
      <c r="L22" s="25"/>
      <c r="M22" s="26"/>
      <c r="N22" s="25"/>
      <c r="O22" s="18"/>
      <c r="P22" s="25"/>
      <c r="Q22" s="25"/>
      <c r="R22" s="25"/>
      <c r="S22" s="14"/>
    </row>
    <row r="23" spans="1:19" ht="18">
      <c r="A23" s="341" t="s">
        <v>534</v>
      </c>
      <c r="B23" s="342"/>
      <c r="C23" s="342"/>
      <c r="D23" s="343"/>
      <c r="E23" s="173">
        <f>SUM(E4:E21)</f>
        <v>12.998160030675193</v>
      </c>
      <c r="F23" s="10">
        <f>TRUNC(E23,0)</f>
        <v>12</v>
      </c>
      <c r="G23" s="133">
        <f>E23-F23</f>
        <v>0.99816003067519254</v>
      </c>
      <c r="H23" s="19">
        <f>G23*$C$25*60</f>
        <v>479.11681472409242</v>
      </c>
      <c r="I23" s="20">
        <f>F23</f>
        <v>12</v>
      </c>
      <c r="J23" s="21" t="s">
        <v>81</v>
      </c>
      <c r="K23" s="22">
        <f>$C$25</f>
        <v>8</v>
      </c>
      <c r="L23" s="21" t="s">
        <v>82</v>
      </c>
      <c r="M23" s="20">
        <v>1</v>
      </c>
      <c r="N23" s="21" t="s">
        <v>83</v>
      </c>
      <c r="O23" s="23">
        <f>H23</f>
        <v>479.11681472409242</v>
      </c>
      <c r="P23" s="21" t="s">
        <v>84</v>
      </c>
      <c r="Q23" s="25"/>
      <c r="R23" s="25"/>
      <c r="S23" s="14"/>
    </row>
    <row r="24" spans="1:19" ht="15.75">
      <c r="A24" s="14"/>
      <c r="B24" s="14"/>
      <c r="C24" s="25"/>
      <c r="D24" s="24"/>
      <c r="E24" s="25"/>
      <c r="F24" s="24"/>
      <c r="G24" s="25"/>
      <c r="H24" s="25"/>
      <c r="I24" s="26"/>
      <c r="J24" s="25"/>
      <c r="K24" s="26"/>
      <c r="L24" s="25"/>
      <c r="M24" s="26"/>
      <c r="N24" s="25"/>
      <c r="O24" s="26">
        <f>INT(O23/60)</f>
        <v>7</v>
      </c>
      <c r="P24" s="25" t="s">
        <v>102</v>
      </c>
      <c r="S24" s="14"/>
    </row>
    <row r="25" spans="1:19" ht="15">
      <c r="A25" s="344" t="s">
        <v>103</v>
      </c>
      <c r="B25" s="344"/>
      <c r="C25" s="26">
        <v>8</v>
      </c>
      <c r="D25" s="26" t="s">
        <v>104</v>
      </c>
      <c r="E25" s="26" t="s">
        <v>105</v>
      </c>
      <c r="F25" s="26"/>
      <c r="G25" s="26"/>
      <c r="H25" s="26"/>
      <c r="I25" s="25"/>
      <c r="J25" s="25"/>
      <c r="K25" s="25"/>
      <c r="L25" s="25"/>
      <c r="M25" s="25"/>
      <c r="N25" s="25"/>
      <c r="O25" s="170">
        <f>ROUNDUP(O23-(60*O24),0)</f>
        <v>60</v>
      </c>
      <c r="P25" s="170" t="s">
        <v>570</v>
      </c>
      <c r="Q25" s="25"/>
      <c r="R25" s="25"/>
      <c r="S25" s="14"/>
    </row>
    <row r="26" spans="1:19" ht="18">
      <c r="A26" s="345" t="s">
        <v>106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25"/>
      <c r="R26" s="25"/>
      <c r="S26" s="14"/>
    </row>
    <row r="27" spans="1:19" ht="15.75">
      <c r="A27" s="138" t="s">
        <v>107</v>
      </c>
      <c r="B27" s="13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5"/>
      <c r="R27" s="25"/>
      <c r="S27" s="14"/>
    </row>
    <row r="28" spans="1:19" ht="33" customHeight="1">
      <c r="A28" s="346" t="s">
        <v>108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25"/>
      <c r="R28" s="25"/>
      <c r="S28" s="14"/>
    </row>
    <row r="29" spans="1:19" ht="18">
      <c r="A29" s="347" t="s">
        <v>109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25"/>
      <c r="R29" s="25"/>
      <c r="S29" s="14"/>
    </row>
    <row r="30" spans="1:19" ht="18">
      <c r="A30" s="347" t="s">
        <v>110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25"/>
      <c r="R30" s="25"/>
      <c r="S30" s="14"/>
    </row>
    <row r="31" spans="1:19" ht="18">
      <c r="A31" s="147"/>
      <c r="B31" s="14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5"/>
      <c r="R31" s="25"/>
      <c r="S31" s="14"/>
    </row>
    <row r="32" spans="1:19" ht="18">
      <c r="A32" s="145" t="s">
        <v>111</v>
      </c>
      <c r="B32" s="14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5"/>
      <c r="R32" s="25"/>
      <c r="S32" s="14"/>
    </row>
    <row r="33" spans="1:19" ht="18">
      <c r="A33" s="333" t="s">
        <v>112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25"/>
      <c r="R33" s="25"/>
      <c r="S33" s="14"/>
    </row>
    <row r="34" spans="1:19" ht="18">
      <c r="A34" s="349" t="s">
        <v>113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25"/>
      <c r="R34" s="25"/>
      <c r="S34" s="14"/>
    </row>
    <row r="35" spans="1:19" ht="18">
      <c r="A35" s="350" t="s">
        <v>114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25"/>
      <c r="R35" s="25"/>
      <c r="S35" s="14"/>
    </row>
    <row r="36" spans="1:19" ht="18">
      <c r="A36" s="351" t="s">
        <v>115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25"/>
      <c r="R36" s="25"/>
      <c r="S36" s="14"/>
    </row>
    <row r="37" spans="1:19" ht="18">
      <c r="A37" s="147"/>
      <c r="B37" s="14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5"/>
      <c r="R37" s="25"/>
      <c r="S37" s="14"/>
    </row>
    <row r="38" spans="1:19" ht="18">
      <c r="A38" s="147"/>
      <c r="B38" s="14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5"/>
      <c r="R38" s="25"/>
      <c r="S38" s="14"/>
    </row>
    <row r="39" spans="1:19" ht="18">
      <c r="A39" s="267" t="s">
        <v>116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</row>
    <row r="40" spans="1:19" ht="18">
      <c r="A40" s="147"/>
      <c r="B40" s="14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5"/>
      <c r="R40" s="25"/>
      <c r="S40" s="14"/>
    </row>
    <row r="41" spans="1:19" ht="18">
      <c r="A41" s="267" t="s">
        <v>117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</row>
    <row r="42" spans="1:19" ht="18">
      <c r="A42" s="147"/>
      <c r="B42" s="14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5"/>
      <c r="R42" s="25"/>
      <c r="S42" s="14"/>
    </row>
    <row r="43" spans="1:19" ht="18">
      <c r="A43" s="267" t="s">
        <v>118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</row>
    <row r="44" spans="1:19" ht="18">
      <c r="A44" s="348" t="s">
        <v>119</v>
      </c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27"/>
      <c r="Q44" s="25"/>
      <c r="R44" s="25"/>
      <c r="S44" s="14"/>
    </row>
    <row r="45" spans="1:19" ht="18">
      <c r="A45" s="345" t="s">
        <v>120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27"/>
      <c r="Q45" s="25"/>
      <c r="R45" s="25"/>
      <c r="S45" s="14"/>
    </row>
  </sheetData>
  <mergeCells count="18">
    <mergeCell ref="A44:O44"/>
    <mergeCell ref="A45:O45"/>
    <mergeCell ref="A34:P34"/>
    <mergeCell ref="A35:P35"/>
    <mergeCell ref="A36:P36"/>
    <mergeCell ref="A1:P1"/>
    <mergeCell ref="A33:P33"/>
    <mergeCell ref="I3:P3"/>
    <mergeCell ref="A4:A10"/>
    <mergeCell ref="A11:A16"/>
    <mergeCell ref="A17:A19"/>
    <mergeCell ref="A22:C22"/>
    <mergeCell ref="A23:D23"/>
    <mergeCell ref="A25:B25"/>
    <mergeCell ref="A26:P26"/>
    <mergeCell ref="A28:P28"/>
    <mergeCell ref="A29:P29"/>
    <mergeCell ref="A30:P30"/>
  </mergeCells>
  <pageMargins left="0.51181102362204722" right="0.51181102362204722" top="0.78740157480314965" bottom="0.78740157480314965" header="0.31496062992125984" footer="0.31496062992125984"/>
  <pageSetup paperSize="9" scale="43" fitToHeight="0" orientation="landscape" r:id="rId1"/>
  <headerFooter>
    <oddFooter>&amp;CANEXO IV - Planilha de Custos e Formação de Preços
Processo n.º 23370.000233/2021-32
Pregão Eletrônico 036/2021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I161"/>
  <sheetViews>
    <sheetView zoomScaleNormal="100" workbookViewId="0">
      <selection activeCell="L153" sqref="L153"/>
    </sheetView>
  </sheetViews>
  <sheetFormatPr defaultColWidth="14.42578125" defaultRowHeight="15.75" customHeight="1"/>
  <cols>
    <col min="1" max="1" width="5.140625" customWidth="1"/>
    <col min="2" max="2" width="52.42578125" customWidth="1"/>
    <col min="3" max="3" width="11.140625" customWidth="1"/>
    <col min="4" max="4" width="13.140625" customWidth="1"/>
    <col min="5" max="5" width="13.5703125" customWidth="1"/>
    <col min="6" max="6" width="10.28515625" customWidth="1"/>
    <col min="7" max="7" width="13" customWidth="1"/>
    <col min="8" max="8" width="13.7109375" customWidth="1"/>
  </cols>
  <sheetData>
    <row r="1" spans="1:9" ht="22.9" customHeight="1">
      <c r="A1" s="266"/>
      <c r="B1" s="364" t="s">
        <v>127</v>
      </c>
      <c r="C1" s="365"/>
      <c r="D1" s="365"/>
      <c r="E1" s="365"/>
      <c r="F1" s="365"/>
      <c r="G1" s="366"/>
      <c r="H1" s="28"/>
      <c r="I1" s="28"/>
    </row>
    <row r="2" spans="1:9" ht="15.6" customHeight="1">
      <c r="A2" s="29"/>
      <c r="B2" s="367"/>
      <c r="C2" s="368"/>
      <c r="D2" s="368"/>
      <c r="E2" s="368"/>
      <c r="F2" s="368"/>
      <c r="G2" s="368"/>
      <c r="H2" s="28"/>
      <c r="I2" s="28"/>
    </row>
    <row r="3" spans="1:9" ht="12.75">
      <c r="A3" s="30"/>
      <c r="B3" s="30"/>
      <c r="C3" s="30"/>
      <c r="D3" s="30"/>
      <c r="E3" s="30"/>
      <c r="F3" s="30"/>
      <c r="G3" s="30"/>
      <c r="H3" s="28"/>
      <c r="I3" s="28"/>
    </row>
    <row r="4" spans="1:9" ht="12.75">
      <c r="B4" s="368"/>
      <c r="C4" s="368"/>
      <c r="D4" s="368"/>
      <c r="E4" s="368"/>
      <c r="F4" s="368"/>
      <c r="G4" s="368"/>
      <c r="H4" s="28"/>
      <c r="I4" s="28"/>
    </row>
    <row r="5" spans="1:9" s="142" customFormat="1" ht="54.75">
      <c r="A5" s="222" t="s">
        <v>128</v>
      </c>
      <c r="B5" s="224" t="s">
        <v>569</v>
      </c>
      <c r="C5" s="222" t="s">
        <v>129</v>
      </c>
      <c r="D5" s="225" t="s">
        <v>130</v>
      </c>
      <c r="E5" s="225" t="s">
        <v>131</v>
      </c>
      <c r="F5" s="225" t="s">
        <v>132</v>
      </c>
      <c r="G5" s="225" t="s">
        <v>133</v>
      </c>
      <c r="H5" s="9"/>
      <c r="I5" s="9"/>
    </row>
    <row r="6" spans="1:9" ht="12.75">
      <c r="A6" s="226">
        <v>1</v>
      </c>
      <c r="B6" s="226" t="s">
        <v>134</v>
      </c>
      <c r="C6" s="227" t="s">
        <v>135</v>
      </c>
      <c r="D6" s="228">
        <v>60</v>
      </c>
      <c r="E6" s="227">
        <f t="shared" ref="E6:E48" si="0">D6*12</f>
        <v>720</v>
      </c>
      <c r="F6" s="229">
        <v>5.7</v>
      </c>
      <c r="G6" s="230">
        <f>ROUND(E6*F6,2)</f>
        <v>4104</v>
      </c>
      <c r="H6" s="28"/>
      <c r="I6" s="31"/>
    </row>
    <row r="7" spans="1:9" ht="12.75">
      <c r="A7" s="226">
        <f>A6+1</f>
        <v>2</v>
      </c>
      <c r="B7" s="226" t="s">
        <v>572</v>
      </c>
      <c r="C7" s="227" t="s">
        <v>141</v>
      </c>
      <c r="D7" s="228">
        <v>20</v>
      </c>
      <c r="E7" s="227">
        <f t="shared" si="0"/>
        <v>240</v>
      </c>
      <c r="F7" s="229">
        <v>5.7</v>
      </c>
      <c r="G7" s="230">
        <f t="shared" ref="G7:G48" si="1">ROUND(E7*F7,2)</f>
        <v>1368</v>
      </c>
      <c r="H7" s="28"/>
      <c r="I7" s="31"/>
    </row>
    <row r="8" spans="1:9" ht="12.75">
      <c r="A8" s="226">
        <f t="shared" ref="A8:A48" si="2">A7+1</f>
        <v>3</v>
      </c>
      <c r="B8" s="226" t="s">
        <v>136</v>
      </c>
      <c r="C8" s="231" t="s">
        <v>137</v>
      </c>
      <c r="D8" s="228">
        <v>30</v>
      </c>
      <c r="E8" s="227">
        <f t="shared" si="0"/>
        <v>360</v>
      </c>
      <c r="F8" s="229">
        <v>7.46</v>
      </c>
      <c r="G8" s="230">
        <f t="shared" si="1"/>
        <v>2685.6</v>
      </c>
      <c r="H8" s="28"/>
      <c r="I8" s="32"/>
    </row>
    <row r="9" spans="1:9" ht="12.75">
      <c r="A9" s="226">
        <f t="shared" si="2"/>
        <v>4</v>
      </c>
      <c r="B9" s="226" t="s">
        <v>138</v>
      </c>
      <c r="C9" s="231" t="s">
        <v>137</v>
      </c>
      <c r="D9" s="228">
        <v>30</v>
      </c>
      <c r="E9" s="227">
        <f t="shared" si="0"/>
        <v>360</v>
      </c>
      <c r="F9" s="229">
        <v>6.9</v>
      </c>
      <c r="G9" s="230">
        <f t="shared" si="1"/>
        <v>2484</v>
      </c>
      <c r="H9" s="28"/>
      <c r="I9" s="32"/>
    </row>
    <row r="10" spans="1:9" ht="12.75">
      <c r="A10" s="226">
        <f t="shared" si="2"/>
        <v>5</v>
      </c>
      <c r="B10" s="226" t="s">
        <v>139</v>
      </c>
      <c r="C10" s="231" t="s">
        <v>137</v>
      </c>
      <c r="D10" s="228">
        <v>10</v>
      </c>
      <c r="E10" s="227">
        <f t="shared" si="0"/>
        <v>120</v>
      </c>
      <c r="F10" s="229">
        <v>30</v>
      </c>
      <c r="G10" s="230">
        <f t="shared" si="1"/>
        <v>3600</v>
      </c>
      <c r="H10" s="28"/>
      <c r="I10" s="32"/>
    </row>
    <row r="11" spans="1:9" ht="12.75">
      <c r="A11" s="226">
        <f t="shared" si="2"/>
        <v>6</v>
      </c>
      <c r="B11" s="226" t="s">
        <v>140</v>
      </c>
      <c r="C11" s="231" t="s">
        <v>141</v>
      </c>
      <c r="D11" s="228">
        <v>60</v>
      </c>
      <c r="E11" s="227">
        <f t="shared" si="0"/>
        <v>720</v>
      </c>
      <c r="F11" s="229">
        <v>1.35</v>
      </c>
      <c r="G11" s="230">
        <f t="shared" si="1"/>
        <v>972</v>
      </c>
      <c r="H11" s="28"/>
      <c r="I11" s="32"/>
    </row>
    <row r="12" spans="1:9" ht="12.75">
      <c r="A12" s="226">
        <f t="shared" si="2"/>
        <v>7</v>
      </c>
      <c r="B12" s="226" t="s">
        <v>142</v>
      </c>
      <c r="C12" s="231" t="s">
        <v>137</v>
      </c>
      <c r="D12" s="228">
        <v>4</v>
      </c>
      <c r="E12" s="227">
        <f t="shared" si="0"/>
        <v>48</v>
      </c>
      <c r="F12" s="229">
        <v>17.8</v>
      </c>
      <c r="G12" s="230">
        <f t="shared" si="1"/>
        <v>854.4</v>
      </c>
      <c r="H12" s="28"/>
      <c r="I12" s="32"/>
    </row>
    <row r="13" spans="1:9" ht="12.75">
      <c r="A13" s="226">
        <f t="shared" si="2"/>
        <v>8</v>
      </c>
      <c r="B13" s="226" t="s">
        <v>143</v>
      </c>
      <c r="C13" s="231" t="s">
        <v>141</v>
      </c>
      <c r="D13" s="228">
        <v>30</v>
      </c>
      <c r="E13" s="227">
        <f t="shared" si="0"/>
        <v>360</v>
      </c>
      <c r="F13" s="229">
        <v>1.91</v>
      </c>
      <c r="G13" s="230">
        <f t="shared" si="1"/>
        <v>687.6</v>
      </c>
      <c r="H13" s="28"/>
      <c r="I13" s="32"/>
    </row>
    <row r="14" spans="1:9" ht="12.75">
      <c r="A14" s="226">
        <f t="shared" si="2"/>
        <v>9</v>
      </c>
      <c r="B14" s="226" t="s">
        <v>573</v>
      </c>
      <c r="C14" s="231" t="s">
        <v>137</v>
      </c>
      <c r="D14" s="228">
        <v>4</v>
      </c>
      <c r="E14" s="227">
        <f t="shared" si="0"/>
        <v>48</v>
      </c>
      <c r="F14" s="229">
        <v>20.99</v>
      </c>
      <c r="G14" s="230">
        <f t="shared" si="1"/>
        <v>1007.52</v>
      </c>
      <c r="H14" s="28"/>
      <c r="I14" s="32"/>
    </row>
    <row r="15" spans="1:9" ht="12.75">
      <c r="A15" s="226">
        <f t="shared" si="2"/>
        <v>10</v>
      </c>
      <c r="B15" s="226" t="s">
        <v>144</v>
      </c>
      <c r="C15" s="231" t="s">
        <v>141</v>
      </c>
      <c r="D15" s="228">
        <v>30</v>
      </c>
      <c r="E15" s="227">
        <f t="shared" si="0"/>
        <v>360</v>
      </c>
      <c r="F15" s="229">
        <v>1.8</v>
      </c>
      <c r="G15" s="230">
        <f t="shared" si="1"/>
        <v>648</v>
      </c>
      <c r="H15" s="28"/>
      <c r="I15" s="32"/>
    </row>
    <row r="16" spans="1:9" ht="12.75">
      <c r="A16" s="226">
        <f t="shared" si="2"/>
        <v>11</v>
      </c>
      <c r="B16" s="226" t="s">
        <v>145</v>
      </c>
      <c r="C16" s="231" t="s">
        <v>146</v>
      </c>
      <c r="D16" s="228">
        <v>30</v>
      </c>
      <c r="E16" s="227">
        <f t="shared" si="0"/>
        <v>360</v>
      </c>
      <c r="F16" s="229">
        <v>9.93</v>
      </c>
      <c r="G16" s="230">
        <f t="shared" si="1"/>
        <v>3574.8</v>
      </c>
      <c r="H16" s="28"/>
      <c r="I16" s="32"/>
    </row>
    <row r="17" spans="1:9" ht="12.75">
      <c r="A17" s="226">
        <f t="shared" si="2"/>
        <v>12</v>
      </c>
      <c r="B17" s="226" t="s">
        <v>147</v>
      </c>
      <c r="C17" s="231" t="s">
        <v>148</v>
      </c>
      <c r="D17" s="228">
        <v>60</v>
      </c>
      <c r="E17" s="227">
        <f t="shared" si="0"/>
        <v>720</v>
      </c>
      <c r="F17" s="229">
        <v>3.55</v>
      </c>
      <c r="G17" s="230">
        <f t="shared" si="1"/>
        <v>2556</v>
      </c>
      <c r="H17" s="28"/>
      <c r="I17" s="32"/>
    </row>
    <row r="18" spans="1:9" ht="12.75">
      <c r="A18" s="226">
        <f t="shared" si="2"/>
        <v>13</v>
      </c>
      <c r="B18" s="226" t="s">
        <v>149</v>
      </c>
      <c r="C18" s="231" t="s">
        <v>137</v>
      </c>
      <c r="D18" s="228">
        <v>2</v>
      </c>
      <c r="E18" s="227">
        <f t="shared" si="0"/>
        <v>24</v>
      </c>
      <c r="F18" s="229">
        <v>27.09</v>
      </c>
      <c r="G18" s="230">
        <f t="shared" si="1"/>
        <v>650.16</v>
      </c>
      <c r="H18" s="28"/>
      <c r="I18" s="32"/>
    </row>
    <row r="19" spans="1:9" ht="12.75">
      <c r="A19" s="226">
        <f t="shared" si="2"/>
        <v>14</v>
      </c>
      <c r="B19" s="226" t="s">
        <v>574</v>
      </c>
      <c r="C19" s="231" t="s">
        <v>575</v>
      </c>
      <c r="D19" s="228">
        <v>15</v>
      </c>
      <c r="E19" s="227">
        <f t="shared" si="0"/>
        <v>180</v>
      </c>
      <c r="F19" s="229">
        <v>18.5</v>
      </c>
      <c r="G19" s="230">
        <f t="shared" si="1"/>
        <v>3330</v>
      </c>
      <c r="H19" s="28"/>
      <c r="I19" s="32"/>
    </row>
    <row r="20" spans="1:9" ht="12.75">
      <c r="A20" s="226">
        <f t="shared" si="2"/>
        <v>15</v>
      </c>
      <c r="B20" s="226" t="s">
        <v>150</v>
      </c>
      <c r="C20" s="231" t="s">
        <v>137</v>
      </c>
      <c r="D20" s="228">
        <v>4</v>
      </c>
      <c r="E20" s="227">
        <f t="shared" si="0"/>
        <v>48</v>
      </c>
      <c r="F20" s="229">
        <v>19.16</v>
      </c>
      <c r="G20" s="230">
        <f t="shared" si="1"/>
        <v>919.68</v>
      </c>
      <c r="H20" s="28"/>
      <c r="I20" s="32"/>
    </row>
    <row r="21" spans="1:9" ht="12.75">
      <c r="A21" s="226">
        <f t="shared" si="2"/>
        <v>16</v>
      </c>
      <c r="B21" s="226" t="s">
        <v>151</v>
      </c>
      <c r="C21" s="231" t="s">
        <v>148</v>
      </c>
      <c r="D21" s="228">
        <v>30</v>
      </c>
      <c r="E21" s="227">
        <f t="shared" si="0"/>
        <v>360</v>
      </c>
      <c r="F21" s="229">
        <v>4</v>
      </c>
      <c r="G21" s="230">
        <f t="shared" si="1"/>
        <v>1440</v>
      </c>
      <c r="H21" s="28"/>
      <c r="I21" s="32"/>
    </row>
    <row r="22" spans="1:9" ht="12.75">
      <c r="A22" s="226">
        <f t="shared" si="2"/>
        <v>17</v>
      </c>
      <c r="B22" s="226" t="s">
        <v>152</v>
      </c>
      <c r="C22" s="231" t="s">
        <v>141</v>
      </c>
      <c r="D22" s="228">
        <v>30</v>
      </c>
      <c r="E22" s="227">
        <f t="shared" si="0"/>
        <v>360</v>
      </c>
      <c r="F22" s="229">
        <v>4.8</v>
      </c>
      <c r="G22" s="230">
        <f t="shared" si="1"/>
        <v>1728</v>
      </c>
      <c r="H22" s="28"/>
      <c r="I22" s="32"/>
    </row>
    <row r="23" spans="1:9" ht="12.75">
      <c r="A23" s="226">
        <f t="shared" si="2"/>
        <v>18</v>
      </c>
      <c r="B23" s="232" t="s">
        <v>153</v>
      </c>
      <c r="C23" s="231" t="s">
        <v>148</v>
      </c>
      <c r="D23" s="228">
        <v>10</v>
      </c>
      <c r="E23" s="227">
        <f t="shared" si="0"/>
        <v>120</v>
      </c>
      <c r="F23" s="229">
        <v>7.98</v>
      </c>
      <c r="G23" s="230">
        <f t="shared" si="1"/>
        <v>957.6</v>
      </c>
      <c r="H23" s="28"/>
      <c r="I23" s="32"/>
    </row>
    <row r="24" spans="1:9" ht="12.75">
      <c r="A24" s="226">
        <f t="shared" si="2"/>
        <v>19</v>
      </c>
      <c r="B24" s="226" t="s">
        <v>154</v>
      </c>
      <c r="C24" s="231" t="s">
        <v>148</v>
      </c>
      <c r="D24" s="228">
        <v>6</v>
      </c>
      <c r="E24" s="227">
        <f t="shared" si="0"/>
        <v>72</v>
      </c>
      <c r="F24" s="229">
        <v>25.58</v>
      </c>
      <c r="G24" s="230">
        <f t="shared" si="1"/>
        <v>1841.76</v>
      </c>
      <c r="H24" s="28"/>
      <c r="I24" s="32"/>
    </row>
    <row r="25" spans="1:9" ht="12.75">
      <c r="A25" s="226">
        <f t="shared" si="2"/>
        <v>20</v>
      </c>
      <c r="B25" s="226" t="s">
        <v>155</v>
      </c>
      <c r="C25" s="231" t="s">
        <v>148</v>
      </c>
      <c r="D25" s="228">
        <v>20</v>
      </c>
      <c r="E25" s="227">
        <f t="shared" si="0"/>
        <v>240</v>
      </c>
      <c r="F25" s="229">
        <v>7.19</v>
      </c>
      <c r="G25" s="230">
        <f t="shared" si="1"/>
        <v>1725.6</v>
      </c>
      <c r="H25" s="28"/>
      <c r="I25" s="32"/>
    </row>
    <row r="26" spans="1:9" ht="12.75">
      <c r="A26" s="226">
        <f t="shared" si="2"/>
        <v>21</v>
      </c>
      <c r="B26" s="226" t="s">
        <v>156</v>
      </c>
      <c r="C26" s="227" t="s">
        <v>135</v>
      </c>
      <c r="D26" s="228">
        <v>2</v>
      </c>
      <c r="E26" s="227">
        <f t="shared" si="0"/>
        <v>24</v>
      </c>
      <c r="F26" s="229">
        <v>24.38</v>
      </c>
      <c r="G26" s="230">
        <f t="shared" si="1"/>
        <v>585.12</v>
      </c>
      <c r="H26" s="28"/>
      <c r="I26" s="32"/>
    </row>
    <row r="27" spans="1:9" ht="12.75">
      <c r="A27" s="226">
        <f t="shared" si="2"/>
        <v>22</v>
      </c>
      <c r="B27" s="226" t="s">
        <v>157</v>
      </c>
      <c r="C27" s="231" t="s">
        <v>148</v>
      </c>
      <c r="D27" s="228">
        <v>5</v>
      </c>
      <c r="E27" s="227">
        <f t="shared" si="0"/>
        <v>60</v>
      </c>
      <c r="F27" s="229">
        <v>1.1000000000000001</v>
      </c>
      <c r="G27" s="230">
        <f t="shared" si="1"/>
        <v>66</v>
      </c>
      <c r="H27" s="28"/>
      <c r="I27" s="32"/>
    </row>
    <row r="28" spans="1:9" ht="12.75">
      <c r="A28" s="226">
        <f t="shared" si="2"/>
        <v>23</v>
      </c>
      <c r="B28" s="232" t="s">
        <v>158</v>
      </c>
      <c r="C28" s="231" t="s">
        <v>148</v>
      </c>
      <c r="D28" s="228">
        <v>15</v>
      </c>
      <c r="E28" s="227">
        <f t="shared" si="0"/>
        <v>180</v>
      </c>
      <c r="F28" s="229">
        <v>1.03</v>
      </c>
      <c r="G28" s="230">
        <f t="shared" si="1"/>
        <v>185.4</v>
      </c>
      <c r="H28" s="28"/>
      <c r="I28" s="32"/>
    </row>
    <row r="29" spans="1:9" ht="12.75">
      <c r="A29" s="226">
        <f t="shared" si="2"/>
        <v>24</v>
      </c>
      <c r="B29" s="232" t="s">
        <v>159</v>
      </c>
      <c r="C29" s="231" t="s">
        <v>148</v>
      </c>
      <c r="D29" s="228">
        <v>30</v>
      </c>
      <c r="E29" s="227">
        <f t="shared" si="0"/>
        <v>360</v>
      </c>
      <c r="F29" s="229">
        <v>0.75</v>
      </c>
      <c r="G29" s="230">
        <f t="shared" si="1"/>
        <v>270</v>
      </c>
      <c r="H29" s="28"/>
      <c r="I29" s="32"/>
    </row>
    <row r="30" spans="1:9" ht="12.75">
      <c r="A30" s="226">
        <f t="shared" si="2"/>
        <v>25</v>
      </c>
      <c r="B30" s="232" t="s">
        <v>160</v>
      </c>
      <c r="C30" s="227" t="s">
        <v>148</v>
      </c>
      <c r="D30" s="228">
        <v>20</v>
      </c>
      <c r="E30" s="227">
        <f t="shared" si="0"/>
        <v>240</v>
      </c>
      <c r="F30" s="229">
        <v>1.1499999999999999</v>
      </c>
      <c r="G30" s="230">
        <f t="shared" si="1"/>
        <v>276</v>
      </c>
      <c r="H30" s="28"/>
      <c r="I30" s="32"/>
    </row>
    <row r="31" spans="1:9" ht="12.75">
      <c r="A31" s="226">
        <f t="shared" si="2"/>
        <v>26</v>
      </c>
      <c r="B31" s="232" t="s">
        <v>161</v>
      </c>
      <c r="C31" s="227" t="s">
        <v>148</v>
      </c>
      <c r="D31" s="228">
        <v>20</v>
      </c>
      <c r="E31" s="227">
        <f t="shared" si="0"/>
        <v>240</v>
      </c>
      <c r="F31" s="229">
        <v>2.95</v>
      </c>
      <c r="G31" s="230">
        <f t="shared" si="1"/>
        <v>708</v>
      </c>
      <c r="H31" s="28"/>
      <c r="I31" s="32"/>
    </row>
    <row r="32" spans="1:9" ht="12.75">
      <c r="A32" s="226">
        <f t="shared" si="2"/>
        <v>27</v>
      </c>
      <c r="B32" s="232" t="s">
        <v>162</v>
      </c>
      <c r="C32" s="227" t="s">
        <v>148</v>
      </c>
      <c r="D32" s="228">
        <v>20</v>
      </c>
      <c r="E32" s="227">
        <f t="shared" si="0"/>
        <v>240</v>
      </c>
      <c r="F32" s="229">
        <v>4.9000000000000004</v>
      </c>
      <c r="G32" s="230">
        <f t="shared" si="1"/>
        <v>1176</v>
      </c>
      <c r="H32" s="28"/>
      <c r="I32" s="32"/>
    </row>
    <row r="33" spans="1:9" ht="12.75">
      <c r="A33" s="226">
        <f t="shared" si="2"/>
        <v>28</v>
      </c>
      <c r="B33" s="232" t="s">
        <v>163</v>
      </c>
      <c r="C33" s="227" t="s">
        <v>148</v>
      </c>
      <c r="D33" s="228">
        <v>30</v>
      </c>
      <c r="E33" s="227">
        <f t="shared" si="0"/>
        <v>360</v>
      </c>
      <c r="F33" s="229">
        <v>1.98</v>
      </c>
      <c r="G33" s="230">
        <f t="shared" si="1"/>
        <v>712.8</v>
      </c>
      <c r="H33" s="28"/>
      <c r="I33" s="32"/>
    </row>
    <row r="34" spans="1:9" ht="12.75">
      <c r="A34" s="226">
        <f t="shared" si="2"/>
        <v>29</v>
      </c>
      <c r="B34" s="232" t="s">
        <v>164</v>
      </c>
      <c r="C34" s="227" t="s">
        <v>148</v>
      </c>
      <c r="D34" s="228">
        <v>6</v>
      </c>
      <c r="E34" s="227">
        <f t="shared" si="0"/>
        <v>72</v>
      </c>
      <c r="F34" s="229">
        <v>34.9</v>
      </c>
      <c r="G34" s="230">
        <f t="shared" si="1"/>
        <v>2512.8000000000002</v>
      </c>
      <c r="H34" s="28"/>
      <c r="I34" s="32"/>
    </row>
    <row r="35" spans="1:9" ht="12.75">
      <c r="A35" s="226">
        <f t="shared" si="2"/>
        <v>30</v>
      </c>
      <c r="B35" s="232" t="s">
        <v>165</v>
      </c>
      <c r="C35" s="227" t="s">
        <v>148</v>
      </c>
      <c r="D35" s="228">
        <v>10</v>
      </c>
      <c r="E35" s="227">
        <f t="shared" si="0"/>
        <v>120</v>
      </c>
      <c r="F35" s="229">
        <v>14.5</v>
      </c>
      <c r="G35" s="230">
        <f t="shared" si="1"/>
        <v>1740</v>
      </c>
      <c r="H35" s="28"/>
      <c r="I35" s="32"/>
    </row>
    <row r="36" spans="1:9" ht="12.75">
      <c r="A36" s="226">
        <f t="shared" si="2"/>
        <v>31</v>
      </c>
      <c r="B36" s="232" t="s">
        <v>166</v>
      </c>
      <c r="C36" s="227" t="s">
        <v>148</v>
      </c>
      <c r="D36" s="228">
        <v>10</v>
      </c>
      <c r="E36" s="227">
        <f t="shared" si="0"/>
        <v>120</v>
      </c>
      <c r="F36" s="229">
        <v>7.5</v>
      </c>
      <c r="G36" s="230">
        <f t="shared" si="1"/>
        <v>900</v>
      </c>
      <c r="H36" s="28"/>
      <c r="I36" s="32"/>
    </row>
    <row r="37" spans="1:9" ht="12.75">
      <c r="A37" s="226">
        <f t="shared" si="2"/>
        <v>32</v>
      </c>
      <c r="B37" s="232" t="s">
        <v>167</v>
      </c>
      <c r="C37" s="227" t="s">
        <v>148</v>
      </c>
      <c r="D37" s="228">
        <v>10</v>
      </c>
      <c r="E37" s="227">
        <f t="shared" si="0"/>
        <v>120</v>
      </c>
      <c r="F37" s="229">
        <v>11.99</v>
      </c>
      <c r="G37" s="230">
        <f t="shared" si="1"/>
        <v>1438.8</v>
      </c>
      <c r="H37" s="28"/>
      <c r="I37" s="32"/>
    </row>
    <row r="38" spans="1:9" ht="12.75">
      <c r="A38" s="226">
        <f t="shared" si="2"/>
        <v>33</v>
      </c>
      <c r="B38" s="226" t="s">
        <v>168</v>
      </c>
      <c r="C38" s="227" t="s">
        <v>148</v>
      </c>
      <c r="D38" s="228">
        <v>2</v>
      </c>
      <c r="E38" s="227">
        <f t="shared" si="0"/>
        <v>24</v>
      </c>
      <c r="F38" s="229">
        <v>27.89</v>
      </c>
      <c r="G38" s="230">
        <f t="shared" si="1"/>
        <v>669.36</v>
      </c>
      <c r="H38" s="28"/>
      <c r="I38" s="32"/>
    </row>
    <row r="39" spans="1:9" ht="12.75">
      <c r="A39" s="226">
        <f t="shared" si="2"/>
        <v>34</v>
      </c>
      <c r="B39" s="233" t="s">
        <v>169</v>
      </c>
      <c r="C39" s="227" t="s">
        <v>148</v>
      </c>
      <c r="D39" s="228">
        <v>2</v>
      </c>
      <c r="E39" s="227">
        <f t="shared" si="0"/>
        <v>24</v>
      </c>
      <c r="F39" s="229">
        <v>35</v>
      </c>
      <c r="G39" s="230">
        <f t="shared" si="1"/>
        <v>840</v>
      </c>
      <c r="H39" s="28"/>
      <c r="I39" s="32"/>
    </row>
    <row r="40" spans="1:9" ht="12.75">
      <c r="A40" s="226">
        <f t="shared" si="2"/>
        <v>35</v>
      </c>
      <c r="B40" s="233" t="s">
        <v>170</v>
      </c>
      <c r="C40" s="227" t="s">
        <v>148</v>
      </c>
      <c r="D40" s="228">
        <v>2</v>
      </c>
      <c r="E40" s="227">
        <f t="shared" si="0"/>
        <v>24</v>
      </c>
      <c r="F40" s="229">
        <v>11.2</v>
      </c>
      <c r="G40" s="230">
        <f t="shared" si="1"/>
        <v>268.8</v>
      </c>
      <c r="H40" s="28"/>
      <c r="I40" s="32"/>
    </row>
    <row r="41" spans="1:9" ht="12.75">
      <c r="A41" s="226">
        <f t="shared" si="2"/>
        <v>36</v>
      </c>
      <c r="B41" s="233" t="s">
        <v>171</v>
      </c>
      <c r="C41" s="227" t="s">
        <v>148</v>
      </c>
      <c r="D41" s="228">
        <v>2</v>
      </c>
      <c r="E41" s="227">
        <f t="shared" si="0"/>
        <v>24</v>
      </c>
      <c r="F41" s="229">
        <v>24.85</v>
      </c>
      <c r="G41" s="230">
        <f t="shared" si="1"/>
        <v>596.4</v>
      </c>
      <c r="H41" s="28"/>
      <c r="I41" s="32"/>
    </row>
    <row r="42" spans="1:9" ht="12.75">
      <c r="A42" s="226">
        <f t="shared" si="2"/>
        <v>37</v>
      </c>
      <c r="B42" s="233" t="s">
        <v>172</v>
      </c>
      <c r="C42" s="227" t="s">
        <v>148</v>
      </c>
      <c r="D42" s="228">
        <v>2</v>
      </c>
      <c r="E42" s="227">
        <f t="shared" si="0"/>
        <v>24</v>
      </c>
      <c r="F42" s="229">
        <v>9.4</v>
      </c>
      <c r="G42" s="230">
        <f t="shared" si="1"/>
        <v>225.6</v>
      </c>
      <c r="H42" s="28"/>
      <c r="I42" s="32"/>
    </row>
    <row r="43" spans="1:9" ht="12.75">
      <c r="A43" s="226">
        <f t="shared" si="2"/>
        <v>38</v>
      </c>
      <c r="B43" s="233" t="s">
        <v>173</v>
      </c>
      <c r="C43" s="227" t="s">
        <v>148</v>
      </c>
      <c r="D43" s="228">
        <v>2</v>
      </c>
      <c r="E43" s="227">
        <f t="shared" si="0"/>
        <v>24</v>
      </c>
      <c r="F43" s="229">
        <v>10.3</v>
      </c>
      <c r="G43" s="230">
        <f t="shared" si="1"/>
        <v>247.2</v>
      </c>
      <c r="H43" s="28"/>
      <c r="I43" s="32"/>
    </row>
    <row r="44" spans="1:9" ht="12.75">
      <c r="A44" s="226">
        <f t="shared" si="2"/>
        <v>39</v>
      </c>
      <c r="B44" s="233" t="s">
        <v>174</v>
      </c>
      <c r="C44" s="227" t="s">
        <v>148</v>
      </c>
      <c r="D44" s="228">
        <v>3</v>
      </c>
      <c r="E44" s="227">
        <f t="shared" si="0"/>
        <v>36</v>
      </c>
      <c r="F44" s="229">
        <v>4.8</v>
      </c>
      <c r="G44" s="230">
        <f t="shared" si="1"/>
        <v>172.8</v>
      </c>
      <c r="H44" s="28"/>
      <c r="I44" s="32"/>
    </row>
    <row r="45" spans="1:9" ht="12.75">
      <c r="A45" s="226">
        <f t="shared" si="2"/>
        <v>40</v>
      </c>
      <c r="B45" s="233" t="s">
        <v>175</v>
      </c>
      <c r="C45" s="227" t="s">
        <v>148</v>
      </c>
      <c r="D45" s="228">
        <v>3</v>
      </c>
      <c r="E45" s="227">
        <f t="shared" si="0"/>
        <v>36</v>
      </c>
      <c r="F45" s="229">
        <v>6.46</v>
      </c>
      <c r="G45" s="230">
        <f t="shared" si="1"/>
        <v>232.56</v>
      </c>
      <c r="H45" s="28"/>
      <c r="I45" s="32"/>
    </row>
    <row r="46" spans="1:9" ht="12.75">
      <c r="A46" s="226">
        <f t="shared" si="2"/>
        <v>41</v>
      </c>
      <c r="B46" s="226" t="s">
        <v>176</v>
      </c>
      <c r="C46" s="231" t="s">
        <v>177</v>
      </c>
      <c r="D46" s="228">
        <v>1</v>
      </c>
      <c r="E46" s="227">
        <f t="shared" si="0"/>
        <v>12</v>
      </c>
      <c r="F46" s="229">
        <v>190</v>
      </c>
      <c r="G46" s="230">
        <f t="shared" si="1"/>
        <v>2280</v>
      </c>
      <c r="H46" s="28"/>
      <c r="I46" s="32"/>
    </row>
    <row r="47" spans="1:9" ht="12.75">
      <c r="A47" s="226">
        <f t="shared" si="2"/>
        <v>42</v>
      </c>
      <c r="B47" s="234" t="s">
        <v>178</v>
      </c>
      <c r="C47" s="231" t="s">
        <v>135</v>
      </c>
      <c r="D47" s="228">
        <v>20</v>
      </c>
      <c r="E47" s="227">
        <f t="shared" si="0"/>
        <v>240</v>
      </c>
      <c r="F47" s="229">
        <v>5.6</v>
      </c>
      <c r="G47" s="230">
        <f t="shared" si="1"/>
        <v>1344</v>
      </c>
      <c r="H47" s="28"/>
      <c r="I47" s="32"/>
    </row>
    <row r="48" spans="1:9" ht="12.75">
      <c r="A48" s="226">
        <f t="shared" si="2"/>
        <v>43</v>
      </c>
      <c r="B48" s="234" t="s">
        <v>179</v>
      </c>
      <c r="C48" s="231" t="s">
        <v>180</v>
      </c>
      <c r="D48" s="228">
        <v>1</v>
      </c>
      <c r="E48" s="227">
        <f t="shared" si="0"/>
        <v>12</v>
      </c>
      <c r="F48" s="229">
        <v>13.5</v>
      </c>
      <c r="G48" s="230">
        <f t="shared" si="1"/>
        <v>162</v>
      </c>
      <c r="H48" s="28"/>
      <c r="I48" s="32"/>
    </row>
    <row r="49" spans="1:9" ht="12.75">
      <c r="A49" s="223"/>
      <c r="B49" s="369" t="s">
        <v>181</v>
      </c>
      <c r="C49" s="356"/>
      <c r="D49" s="356"/>
      <c r="E49" s="356"/>
      <c r="F49" s="357"/>
      <c r="G49" s="151">
        <f>SUM(G6:G48)</f>
        <v>54744.360000000015</v>
      </c>
      <c r="H49" s="28"/>
      <c r="I49" s="28"/>
    </row>
    <row r="50" spans="1:9" ht="12.75">
      <c r="A50" s="33"/>
      <c r="B50" s="370" t="s">
        <v>182</v>
      </c>
      <c r="C50" s="360"/>
      <c r="D50" s="360"/>
      <c r="E50" s="360"/>
      <c r="F50" s="326"/>
      <c r="G50" s="151">
        <f>ROUND(G49/12,2)</f>
        <v>4562.03</v>
      </c>
      <c r="H50" s="28"/>
      <c r="I50" s="28"/>
    </row>
    <row r="51" spans="1:9" ht="12.75">
      <c r="A51" s="35"/>
      <c r="B51" s="35"/>
      <c r="C51" s="36"/>
      <c r="D51" s="36"/>
      <c r="E51" s="36"/>
      <c r="F51" s="37"/>
      <c r="G51" s="38"/>
      <c r="H51" s="28"/>
      <c r="I51" s="28"/>
    </row>
    <row r="52" spans="1:9" s="142" customFormat="1" ht="74.25">
      <c r="A52" s="222" t="s">
        <v>128</v>
      </c>
      <c r="B52" s="224" t="s">
        <v>183</v>
      </c>
      <c r="C52" s="222" t="s">
        <v>129</v>
      </c>
      <c r="D52" s="225" t="s">
        <v>184</v>
      </c>
      <c r="E52" s="225" t="s">
        <v>185</v>
      </c>
      <c r="F52" s="225" t="s">
        <v>131</v>
      </c>
      <c r="G52" s="225" t="s">
        <v>132</v>
      </c>
      <c r="H52" s="225" t="s">
        <v>133</v>
      </c>
      <c r="I52" s="9"/>
    </row>
    <row r="53" spans="1:9" ht="12.75">
      <c r="A53" s="226">
        <v>1</v>
      </c>
      <c r="B53" s="226" t="s">
        <v>186</v>
      </c>
      <c r="C53" s="231" t="s">
        <v>148</v>
      </c>
      <c r="D53" s="236">
        <v>20</v>
      </c>
      <c r="E53" s="231">
        <v>12</v>
      </c>
      <c r="F53" s="227">
        <f t="shared" ref="F53:F83" si="3">12/E53*D53</f>
        <v>20</v>
      </c>
      <c r="G53" s="237">
        <v>5.2</v>
      </c>
      <c r="H53" s="238">
        <f>ROUND(G53*F53,2)</f>
        <v>104</v>
      </c>
      <c r="I53" s="15"/>
    </row>
    <row r="54" spans="1:9" s="153" customFormat="1" ht="14.25">
      <c r="A54" s="239">
        <f>A53+1</f>
        <v>2</v>
      </c>
      <c r="B54" s="240" t="s">
        <v>187</v>
      </c>
      <c r="C54" s="241" t="s">
        <v>148</v>
      </c>
      <c r="D54" s="242">
        <v>20</v>
      </c>
      <c r="E54" s="241">
        <v>12</v>
      </c>
      <c r="F54" s="241">
        <f t="shared" si="3"/>
        <v>20</v>
      </c>
      <c r="G54" s="243">
        <v>6.68</v>
      </c>
      <c r="H54" s="238">
        <f t="shared" ref="H54:H83" si="4">ROUND(G54*F54,2)</f>
        <v>133.6</v>
      </c>
      <c r="I54" s="174"/>
    </row>
    <row r="55" spans="1:9" ht="12.75">
      <c r="A55" s="239">
        <f t="shared" ref="A55:A83" si="5">A54+1</f>
        <v>3</v>
      </c>
      <c r="B55" s="244" t="s">
        <v>188</v>
      </c>
      <c r="C55" s="231" t="s">
        <v>148</v>
      </c>
      <c r="D55" s="236">
        <v>2</v>
      </c>
      <c r="E55" s="231">
        <v>12</v>
      </c>
      <c r="F55" s="227">
        <f t="shared" si="3"/>
        <v>2</v>
      </c>
      <c r="G55" s="237">
        <v>97.94</v>
      </c>
      <c r="H55" s="238">
        <f t="shared" si="4"/>
        <v>195.88</v>
      </c>
      <c r="I55" s="15"/>
    </row>
    <row r="56" spans="1:9" ht="12.75">
      <c r="A56" s="239">
        <f t="shared" si="5"/>
        <v>4</v>
      </c>
      <c r="B56" s="226" t="s">
        <v>189</v>
      </c>
      <c r="C56" s="231" t="s">
        <v>148</v>
      </c>
      <c r="D56" s="236">
        <v>20</v>
      </c>
      <c r="E56" s="231">
        <v>12</v>
      </c>
      <c r="F56" s="227">
        <f t="shared" si="3"/>
        <v>20</v>
      </c>
      <c r="G56" s="237">
        <v>17.25</v>
      </c>
      <c r="H56" s="238">
        <f t="shared" si="4"/>
        <v>345</v>
      </c>
      <c r="I56" s="15"/>
    </row>
    <row r="57" spans="1:9" ht="12.75">
      <c r="A57" s="239">
        <f t="shared" si="5"/>
        <v>5</v>
      </c>
      <c r="B57" s="226" t="s">
        <v>190</v>
      </c>
      <c r="C57" s="231" t="s">
        <v>148</v>
      </c>
      <c r="D57" s="236">
        <v>20</v>
      </c>
      <c r="E57" s="231">
        <v>12</v>
      </c>
      <c r="F57" s="227">
        <f t="shared" si="3"/>
        <v>20</v>
      </c>
      <c r="G57" s="237">
        <v>3</v>
      </c>
      <c r="H57" s="238">
        <f t="shared" si="4"/>
        <v>60</v>
      </c>
      <c r="I57" s="15"/>
    </row>
    <row r="58" spans="1:9" ht="12.75">
      <c r="A58" s="239">
        <f t="shared" si="5"/>
        <v>6</v>
      </c>
      <c r="B58" s="226" t="s">
        <v>191</v>
      </c>
      <c r="C58" s="231" t="s">
        <v>148</v>
      </c>
      <c r="D58" s="236">
        <v>5</v>
      </c>
      <c r="E58" s="231">
        <v>12</v>
      </c>
      <c r="F58" s="227">
        <f t="shared" si="3"/>
        <v>5</v>
      </c>
      <c r="G58" s="237">
        <v>15</v>
      </c>
      <c r="H58" s="238">
        <f t="shared" si="4"/>
        <v>75</v>
      </c>
      <c r="I58" s="15"/>
    </row>
    <row r="59" spans="1:9" ht="12.75">
      <c r="A59" s="239">
        <f t="shared" si="5"/>
        <v>7</v>
      </c>
      <c r="B59" s="226" t="s">
        <v>192</v>
      </c>
      <c r="C59" s="231" t="s">
        <v>148</v>
      </c>
      <c r="D59" s="236">
        <v>5</v>
      </c>
      <c r="E59" s="231">
        <v>12</v>
      </c>
      <c r="F59" s="227">
        <f t="shared" si="3"/>
        <v>5</v>
      </c>
      <c r="G59" s="237">
        <v>3.7</v>
      </c>
      <c r="H59" s="238">
        <f t="shared" si="4"/>
        <v>18.5</v>
      </c>
      <c r="I59" s="15"/>
    </row>
    <row r="60" spans="1:9" ht="12.75">
      <c r="A60" s="239">
        <f t="shared" si="5"/>
        <v>8</v>
      </c>
      <c r="B60" s="244" t="s">
        <v>193</v>
      </c>
      <c r="C60" s="231" t="s">
        <v>148</v>
      </c>
      <c r="D60" s="236">
        <v>10</v>
      </c>
      <c r="E60" s="231">
        <v>24</v>
      </c>
      <c r="F60" s="227">
        <f t="shared" si="3"/>
        <v>5</v>
      </c>
      <c r="G60" s="237">
        <v>40</v>
      </c>
      <c r="H60" s="238">
        <f t="shared" si="4"/>
        <v>200</v>
      </c>
      <c r="I60" s="15"/>
    </row>
    <row r="61" spans="1:9" s="153" customFormat="1" ht="12.75" customHeight="1">
      <c r="A61" s="239">
        <f t="shared" si="5"/>
        <v>9</v>
      </c>
      <c r="B61" s="245" t="s">
        <v>194</v>
      </c>
      <c r="C61" s="241" t="s">
        <v>148</v>
      </c>
      <c r="D61" s="242">
        <v>30</v>
      </c>
      <c r="E61" s="241">
        <v>6</v>
      </c>
      <c r="F61" s="241">
        <f t="shared" si="3"/>
        <v>60</v>
      </c>
      <c r="G61" s="243">
        <v>4.5</v>
      </c>
      <c r="H61" s="238">
        <f t="shared" si="4"/>
        <v>270</v>
      </c>
      <c r="I61" s="174"/>
    </row>
    <row r="62" spans="1:9" ht="12.75" customHeight="1">
      <c r="A62" s="239">
        <f t="shared" si="5"/>
        <v>10</v>
      </c>
      <c r="B62" s="246" t="s">
        <v>195</v>
      </c>
      <c r="C62" s="231" t="s">
        <v>148</v>
      </c>
      <c r="D62" s="236">
        <v>3</v>
      </c>
      <c r="E62" s="231">
        <v>12</v>
      </c>
      <c r="F62" s="227">
        <f t="shared" si="3"/>
        <v>3</v>
      </c>
      <c r="G62" s="237">
        <v>18.329999999999998</v>
      </c>
      <c r="H62" s="238">
        <f t="shared" si="4"/>
        <v>54.99</v>
      </c>
      <c r="I62" s="15"/>
    </row>
    <row r="63" spans="1:9" ht="12.75">
      <c r="A63" s="239">
        <f t="shared" si="5"/>
        <v>11</v>
      </c>
      <c r="B63" s="226" t="s">
        <v>196</v>
      </c>
      <c r="C63" s="231" t="s">
        <v>148</v>
      </c>
      <c r="D63" s="236">
        <v>3</v>
      </c>
      <c r="E63" s="231">
        <v>3</v>
      </c>
      <c r="F63" s="227">
        <f t="shared" si="3"/>
        <v>12</v>
      </c>
      <c r="G63" s="237">
        <v>9.4</v>
      </c>
      <c r="H63" s="238">
        <f t="shared" si="4"/>
        <v>112.8</v>
      </c>
      <c r="I63" s="15"/>
    </row>
    <row r="64" spans="1:9" ht="12.75">
      <c r="A64" s="239">
        <f t="shared" si="5"/>
        <v>12</v>
      </c>
      <c r="B64" s="226" t="s">
        <v>197</v>
      </c>
      <c r="C64" s="231" t="s">
        <v>148</v>
      </c>
      <c r="D64" s="236">
        <v>6</v>
      </c>
      <c r="E64" s="231">
        <v>3</v>
      </c>
      <c r="F64" s="227">
        <f t="shared" si="3"/>
        <v>24</v>
      </c>
      <c r="G64" s="237">
        <v>9.36</v>
      </c>
      <c r="H64" s="238">
        <f t="shared" si="4"/>
        <v>224.64</v>
      </c>
      <c r="I64" s="15"/>
    </row>
    <row r="65" spans="1:9" ht="12.75">
      <c r="A65" s="239">
        <f t="shared" si="5"/>
        <v>13</v>
      </c>
      <c r="B65" s="226" t="s">
        <v>198</v>
      </c>
      <c r="C65" s="231" t="s">
        <v>148</v>
      </c>
      <c r="D65" s="236">
        <v>15</v>
      </c>
      <c r="E65" s="231">
        <v>12</v>
      </c>
      <c r="F65" s="227">
        <f t="shared" si="3"/>
        <v>15</v>
      </c>
      <c r="G65" s="237">
        <v>3.5</v>
      </c>
      <c r="H65" s="238">
        <f t="shared" si="4"/>
        <v>52.5</v>
      </c>
      <c r="I65" s="15"/>
    </row>
    <row r="66" spans="1:9" ht="12.75">
      <c r="A66" s="239">
        <f t="shared" si="5"/>
        <v>14</v>
      </c>
      <c r="B66" s="244" t="s">
        <v>199</v>
      </c>
      <c r="C66" s="231" t="s">
        <v>148</v>
      </c>
      <c r="D66" s="236">
        <v>5</v>
      </c>
      <c r="E66" s="231">
        <v>12</v>
      </c>
      <c r="F66" s="227">
        <f t="shared" si="3"/>
        <v>5</v>
      </c>
      <c r="G66" s="237">
        <v>79.900000000000006</v>
      </c>
      <c r="H66" s="238">
        <f t="shared" si="4"/>
        <v>399.5</v>
      </c>
      <c r="I66" s="15"/>
    </row>
    <row r="67" spans="1:9" ht="12.75" customHeight="1">
      <c r="A67" s="239">
        <f t="shared" si="5"/>
        <v>15</v>
      </c>
      <c r="B67" s="247" t="s">
        <v>200</v>
      </c>
      <c r="C67" s="231" t="s">
        <v>148</v>
      </c>
      <c r="D67" s="236">
        <v>2</v>
      </c>
      <c r="E67" s="231">
        <v>24</v>
      </c>
      <c r="F67" s="227">
        <f t="shared" si="3"/>
        <v>1</v>
      </c>
      <c r="G67" s="237">
        <v>255</v>
      </c>
      <c r="H67" s="238">
        <f t="shared" si="4"/>
        <v>255</v>
      </c>
      <c r="I67" s="15"/>
    </row>
    <row r="68" spans="1:9" ht="12.75">
      <c r="A68" s="239">
        <f t="shared" si="5"/>
        <v>16</v>
      </c>
      <c r="B68" s="226" t="s">
        <v>201</v>
      </c>
      <c r="C68" s="231" t="s">
        <v>148</v>
      </c>
      <c r="D68" s="236">
        <v>2</v>
      </c>
      <c r="E68" s="231">
        <v>24</v>
      </c>
      <c r="F68" s="227">
        <f t="shared" si="3"/>
        <v>1</v>
      </c>
      <c r="G68" s="237">
        <v>60.25</v>
      </c>
      <c r="H68" s="238">
        <f t="shared" si="4"/>
        <v>60.25</v>
      </c>
      <c r="I68" s="15"/>
    </row>
    <row r="69" spans="1:9" ht="12.75">
      <c r="A69" s="239">
        <f t="shared" si="5"/>
        <v>17</v>
      </c>
      <c r="B69" s="244" t="s">
        <v>202</v>
      </c>
      <c r="C69" s="231" t="s">
        <v>148</v>
      </c>
      <c r="D69" s="236">
        <v>2</v>
      </c>
      <c r="E69" s="231">
        <v>24</v>
      </c>
      <c r="F69" s="227">
        <f t="shared" si="3"/>
        <v>1</v>
      </c>
      <c r="G69" s="237">
        <v>7.25</v>
      </c>
      <c r="H69" s="238">
        <f t="shared" si="4"/>
        <v>7.25</v>
      </c>
      <c r="I69" s="15"/>
    </row>
    <row r="70" spans="1:9" ht="12.75">
      <c r="A70" s="239">
        <f t="shared" si="5"/>
        <v>18</v>
      </c>
      <c r="B70" s="244" t="s">
        <v>203</v>
      </c>
      <c r="C70" s="231" t="s">
        <v>148</v>
      </c>
      <c r="D70" s="236">
        <v>5</v>
      </c>
      <c r="E70" s="231">
        <v>6</v>
      </c>
      <c r="F70" s="227">
        <f t="shared" si="3"/>
        <v>10</v>
      </c>
      <c r="G70" s="237">
        <v>39.799999999999997</v>
      </c>
      <c r="H70" s="238">
        <f t="shared" si="4"/>
        <v>398</v>
      </c>
      <c r="I70" s="15"/>
    </row>
    <row r="71" spans="1:9" s="153" customFormat="1" ht="12.75">
      <c r="A71" s="239">
        <f t="shared" si="5"/>
        <v>19</v>
      </c>
      <c r="B71" s="248" t="s">
        <v>204</v>
      </c>
      <c r="C71" s="241" t="s">
        <v>148</v>
      </c>
      <c r="D71" s="242">
        <v>15</v>
      </c>
      <c r="E71" s="241">
        <v>12</v>
      </c>
      <c r="F71" s="241">
        <f t="shared" si="3"/>
        <v>15</v>
      </c>
      <c r="G71" s="243">
        <v>34.78</v>
      </c>
      <c r="H71" s="238">
        <f t="shared" si="4"/>
        <v>521.70000000000005</v>
      </c>
      <c r="I71" s="174"/>
    </row>
    <row r="72" spans="1:9" ht="12.75">
      <c r="A72" s="239">
        <f t="shared" si="5"/>
        <v>20</v>
      </c>
      <c r="B72" s="244" t="s">
        <v>205</v>
      </c>
      <c r="C72" s="231" t="s">
        <v>148</v>
      </c>
      <c r="D72" s="236">
        <v>3</v>
      </c>
      <c r="E72" s="231">
        <v>6</v>
      </c>
      <c r="F72" s="227">
        <f t="shared" si="3"/>
        <v>6</v>
      </c>
      <c r="G72" s="237">
        <v>63.88</v>
      </c>
      <c r="H72" s="238">
        <f t="shared" si="4"/>
        <v>383.28</v>
      </c>
      <c r="I72" s="15"/>
    </row>
    <row r="73" spans="1:9" ht="12.75">
      <c r="A73" s="239">
        <f t="shared" si="5"/>
        <v>21</v>
      </c>
      <c r="B73" s="244" t="s">
        <v>206</v>
      </c>
      <c r="C73" s="231" t="s">
        <v>148</v>
      </c>
      <c r="D73" s="236">
        <v>3</v>
      </c>
      <c r="E73" s="231">
        <v>24</v>
      </c>
      <c r="F73" s="227">
        <f t="shared" si="3"/>
        <v>1.5</v>
      </c>
      <c r="G73" s="237">
        <v>29.95</v>
      </c>
      <c r="H73" s="238">
        <f t="shared" si="4"/>
        <v>44.93</v>
      </c>
      <c r="I73" s="15"/>
    </row>
    <row r="74" spans="1:9" ht="12.75">
      <c r="A74" s="239">
        <f t="shared" si="5"/>
        <v>22</v>
      </c>
      <c r="B74" s="244" t="s">
        <v>207</v>
      </c>
      <c r="C74" s="231" t="s">
        <v>148</v>
      </c>
      <c r="D74" s="236">
        <v>3</v>
      </c>
      <c r="E74" s="231">
        <v>24</v>
      </c>
      <c r="F74" s="227">
        <f t="shared" si="3"/>
        <v>1.5</v>
      </c>
      <c r="G74" s="237">
        <v>20.86</v>
      </c>
      <c r="H74" s="238">
        <f t="shared" si="4"/>
        <v>31.29</v>
      </c>
      <c r="I74" s="15"/>
    </row>
    <row r="75" spans="1:9" ht="12.75">
      <c r="A75" s="239">
        <f t="shared" si="5"/>
        <v>23</v>
      </c>
      <c r="B75" s="244" t="s">
        <v>208</v>
      </c>
      <c r="C75" s="231" t="s">
        <v>148</v>
      </c>
      <c r="D75" s="236">
        <v>3</v>
      </c>
      <c r="E75" s="231">
        <v>24</v>
      </c>
      <c r="F75" s="227">
        <f t="shared" si="3"/>
        <v>1.5</v>
      </c>
      <c r="G75" s="237">
        <v>11.31</v>
      </c>
      <c r="H75" s="238">
        <f t="shared" si="4"/>
        <v>16.97</v>
      </c>
      <c r="I75" s="15"/>
    </row>
    <row r="76" spans="1:9" s="152" customFormat="1" ht="12.75">
      <c r="A76" s="239">
        <f t="shared" si="5"/>
        <v>24</v>
      </c>
      <c r="B76" s="244" t="s">
        <v>209</v>
      </c>
      <c r="C76" s="231" t="s">
        <v>148</v>
      </c>
      <c r="D76" s="236">
        <v>3</v>
      </c>
      <c r="E76" s="231">
        <v>24</v>
      </c>
      <c r="F76" s="227">
        <f t="shared" si="3"/>
        <v>1.5</v>
      </c>
      <c r="G76" s="237">
        <v>42</v>
      </c>
      <c r="H76" s="238">
        <f t="shared" si="4"/>
        <v>63</v>
      </c>
      <c r="I76" s="25"/>
    </row>
    <row r="77" spans="1:9" ht="12.75">
      <c r="A77" s="239">
        <f t="shared" si="5"/>
        <v>25</v>
      </c>
      <c r="B77" s="244" t="s">
        <v>210</v>
      </c>
      <c r="C77" s="231" t="s">
        <v>148</v>
      </c>
      <c r="D77" s="236">
        <v>3</v>
      </c>
      <c r="E77" s="231">
        <v>6</v>
      </c>
      <c r="F77" s="227">
        <f t="shared" si="3"/>
        <v>6</v>
      </c>
      <c r="G77" s="237">
        <v>49.75</v>
      </c>
      <c r="H77" s="238">
        <f t="shared" si="4"/>
        <v>298.5</v>
      </c>
      <c r="I77" s="15"/>
    </row>
    <row r="78" spans="1:9" ht="12.75">
      <c r="A78" s="239">
        <f t="shared" si="5"/>
        <v>26</v>
      </c>
      <c r="B78" s="244" t="s">
        <v>211</v>
      </c>
      <c r="C78" s="231" t="s">
        <v>148</v>
      </c>
      <c r="D78" s="236">
        <v>2</v>
      </c>
      <c r="E78" s="231">
        <v>24</v>
      </c>
      <c r="F78" s="227">
        <f t="shared" si="3"/>
        <v>1</v>
      </c>
      <c r="G78" s="237">
        <v>130</v>
      </c>
      <c r="H78" s="238">
        <f t="shared" si="4"/>
        <v>130</v>
      </c>
      <c r="I78" s="15"/>
    </row>
    <row r="79" spans="1:9" ht="12.75">
      <c r="A79" s="239">
        <f t="shared" si="5"/>
        <v>27</v>
      </c>
      <c r="B79" s="244" t="s">
        <v>212</v>
      </c>
      <c r="C79" s="231" t="s">
        <v>148</v>
      </c>
      <c r="D79" s="236">
        <v>2</v>
      </c>
      <c r="E79" s="231">
        <v>24</v>
      </c>
      <c r="F79" s="227">
        <f t="shared" si="3"/>
        <v>1</v>
      </c>
      <c r="G79" s="237">
        <v>26.64</v>
      </c>
      <c r="H79" s="238">
        <f t="shared" si="4"/>
        <v>26.64</v>
      </c>
      <c r="I79" s="15"/>
    </row>
    <row r="80" spans="1:9" ht="12.75">
      <c r="A80" s="239">
        <f t="shared" si="5"/>
        <v>28</v>
      </c>
      <c r="B80" s="244" t="s">
        <v>213</v>
      </c>
      <c r="C80" s="231" t="s">
        <v>148</v>
      </c>
      <c r="D80" s="236">
        <v>2</v>
      </c>
      <c r="E80" s="231">
        <v>24</v>
      </c>
      <c r="F80" s="227">
        <f t="shared" si="3"/>
        <v>1</v>
      </c>
      <c r="G80" s="237">
        <v>55</v>
      </c>
      <c r="H80" s="238">
        <f t="shared" si="4"/>
        <v>55</v>
      </c>
      <c r="I80" s="15"/>
    </row>
    <row r="81" spans="1:9" ht="12.75">
      <c r="A81" s="239">
        <f t="shared" si="5"/>
        <v>29</v>
      </c>
      <c r="B81" s="244" t="s">
        <v>214</v>
      </c>
      <c r="C81" s="231" t="s">
        <v>148</v>
      </c>
      <c r="D81" s="236">
        <v>2</v>
      </c>
      <c r="E81" s="231">
        <v>24</v>
      </c>
      <c r="F81" s="227">
        <f t="shared" si="3"/>
        <v>1</v>
      </c>
      <c r="G81" s="237">
        <v>23.76</v>
      </c>
      <c r="H81" s="238">
        <f t="shared" si="4"/>
        <v>23.76</v>
      </c>
      <c r="I81" s="15"/>
    </row>
    <row r="82" spans="1:9" ht="12.75">
      <c r="A82" s="239">
        <f t="shared" si="5"/>
        <v>30</v>
      </c>
      <c r="B82" s="244" t="s">
        <v>215</v>
      </c>
      <c r="C82" s="231" t="s">
        <v>148</v>
      </c>
      <c r="D82" s="236">
        <v>12</v>
      </c>
      <c r="E82" s="231">
        <v>24</v>
      </c>
      <c r="F82" s="227">
        <f t="shared" si="3"/>
        <v>6</v>
      </c>
      <c r="G82" s="237">
        <v>32.9</v>
      </c>
      <c r="H82" s="238">
        <f t="shared" si="4"/>
        <v>197.4</v>
      </c>
      <c r="I82" s="15"/>
    </row>
    <row r="83" spans="1:9" ht="12.75" customHeight="1">
      <c r="A83" s="239">
        <f t="shared" si="5"/>
        <v>31</v>
      </c>
      <c r="B83" s="247" t="s">
        <v>216</v>
      </c>
      <c r="C83" s="231" t="s">
        <v>148</v>
      </c>
      <c r="D83" s="236">
        <v>15</v>
      </c>
      <c r="E83" s="231">
        <v>6</v>
      </c>
      <c r="F83" s="227">
        <f t="shared" si="3"/>
        <v>30</v>
      </c>
      <c r="G83" s="237">
        <v>39.5</v>
      </c>
      <c r="H83" s="238">
        <f t="shared" si="4"/>
        <v>1185</v>
      </c>
      <c r="I83" s="15"/>
    </row>
    <row r="84" spans="1:9" ht="12.75">
      <c r="A84" s="235"/>
      <c r="B84" s="358" t="s">
        <v>217</v>
      </c>
      <c r="C84" s="356"/>
      <c r="D84" s="356"/>
      <c r="E84" s="356"/>
      <c r="F84" s="356"/>
      <c r="G84" s="357"/>
      <c r="H84" s="155">
        <f>SUM(H53:H83)</f>
        <v>5944.3799999999992</v>
      </c>
      <c r="I84" s="153"/>
    </row>
    <row r="85" spans="1:9" ht="12.75">
      <c r="A85" s="41"/>
      <c r="B85" s="359" t="s">
        <v>218</v>
      </c>
      <c r="C85" s="360"/>
      <c r="D85" s="360"/>
      <c r="E85" s="360"/>
      <c r="F85" s="360"/>
      <c r="G85" s="326"/>
      <c r="H85" s="151">
        <f>ROUND(H84/12,2)</f>
        <v>495.37</v>
      </c>
      <c r="I85" s="154"/>
    </row>
    <row r="86" spans="1:9" ht="14.25">
      <c r="A86" s="38"/>
      <c r="B86" s="38"/>
      <c r="C86" s="32"/>
      <c r="D86" s="32"/>
      <c r="E86" s="32"/>
      <c r="F86" s="43"/>
      <c r="G86" s="43"/>
      <c r="H86" s="28"/>
      <c r="I86" s="28"/>
    </row>
    <row r="87" spans="1:9" s="142" customFormat="1" ht="51">
      <c r="A87" s="222" t="s">
        <v>128</v>
      </c>
      <c r="B87" s="249" t="s">
        <v>219</v>
      </c>
      <c r="C87" s="222" t="s">
        <v>129</v>
      </c>
      <c r="D87" s="225" t="s">
        <v>184</v>
      </c>
      <c r="E87" s="225" t="s">
        <v>220</v>
      </c>
      <c r="F87" s="225" t="s">
        <v>131</v>
      </c>
      <c r="G87" s="225" t="s">
        <v>132</v>
      </c>
      <c r="H87" s="225" t="s">
        <v>133</v>
      </c>
      <c r="I87" s="9"/>
    </row>
    <row r="88" spans="1:9" s="142" customFormat="1" ht="12.75">
      <c r="A88" s="250">
        <v>1</v>
      </c>
      <c r="B88" s="251" t="s">
        <v>221</v>
      </c>
      <c r="C88" s="252" t="s">
        <v>148</v>
      </c>
      <c r="D88" s="253">
        <v>3</v>
      </c>
      <c r="E88" s="252">
        <v>60</v>
      </c>
      <c r="F88" s="254">
        <f t="shared" ref="F88:F104" si="6">12/E88*D88</f>
        <v>0.60000000000000009</v>
      </c>
      <c r="G88" s="255">
        <v>347.36</v>
      </c>
      <c r="H88" s="256">
        <f>ROUND(G88*F88,2)</f>
        <v>208.42</v>
      </c>
      <c r="I88" s="143"/>
    </row>
    <row r="89" spans="1:9" s="142" customFormat="1" ht="12.75">
      <c r="A89" s="250">
        <f>A88+1</f>
        <v>2</v>
      </c>
      <c r="B89" s="251" t="s">
        <v>222</v>
      </c>
      <c r="C89" s="254" t="s">
        <v>148</v>
      </c>
      <c r="D89" s="257">
        <v>3</v>
      </c>
      <c r="E89" s="254">
        <v>60</v>
      </c>
      <c r="F89" s="254">
        <f t="shared" si="6"/>
        <v>0.60000000000000009</v>
      </c>
      <c r="G89" s="255">
        <v>108.39</v>
      </c>
      <c r="H89" s="256">
        <f t="shared" ref="H89:H104" si="7">ROUND(G89*F89,2)</f>
        <v>65.03</v>
      </c>
      <c r="I89" s="143"/>
    </row>
    <row r="90" spans="1:9" ht="12.75">
      <c r="A90" s="250">
        <f t="shared" ref="A90:A104" si="8">A89+1</f>
        <v>3</v>
      </c>
      <c r="B90" s="233" t="s">
        <v>223</v>
      </c>
      <c r="C90" s="227" t="s">
        <v>148</v>
      </c>
      <c r="D90" s="228">
        <v>6</v>
      </c>
      <c r="E90" s="227">
        <v>24</v>
      </c>
      <c r="F90" s="227">
        <f t="shared" si="6"/>
        <v>3</v>
      </c>
      <c r="G90" s="229">
        <v>40</v>
      </c>
      <c r="H90" s="256">
        <f t="shared" si="7"/>
        <v>120</v>
      </c>
      <c r="I90" s="143"/>
    </row>
    <row r="91" spans="1:9" ht="12.75">
      <c r="A91" s="250">
        <f t="shared" si="8"/>
        <v>4</v>
      </c>
      <c r="B91" s="233" t="s">
        <v>224</v>
      </c>
      <c r="C91" s="227" t="s">
        <v>148</v>
      </c>
      <c r="D91" s="228">
        <v>1</v>
      </c>
      <c r="E91" s="227">
        <v>60</v>
      </c>
      <c r="F91" s="227">
        <f t="shared" si="6"/>
        <v>0.2</v>
      </c>
      <c r="G91" s="229">
        <v>866</v>
      </c>
      <c r="H91" s="256">
        <f t="shared" si="7"/>
        <v>173.2</v>
      </c>
      <c r="I91" s="143"/>
    </row>
    <row r="92" spans="1:9" ht="12.75" customHeight="1">
      <c r="A92" s="250">
        <f t="shared" si="8"/>
        <v>5</v>
      </c>
      <c r="B92" s="259" t="s">
        <v>225</v>
      </c>
      <c r="C92" s="227" t="s">
        <v>148</v>
      </c>
      <c r="D92" s="228">
        <v>1</v>
      </c>
      <c r="E92" s="227">
        <v>60</v>
      </c>
      <c r="F92" s="227">
        <f t="shared" si="6"/>
        <v>0.2</v>
      </c>
      <c r="G92" s="229">
        <v>694.91</v>
      </c>
      <c r="H92" s="256">
        <f t="shared" si="7"/>
        <v>138.97999999999999</v>
      </c>
      <c r="I92" s="143"/>
    </row>
    <row r="93" spans="1:9" ht="12.75" customHeight="1">
      <c r="A93" s="250">
        <f t="shared" si="8"/>
        <v>6</v>
      </c>
      <c r="B93" s="259" t="s">
        <v>226</v>
      </c>
      <c r="C93" s="227" t="s">
        <v>148</v>
      </c>
      <c r="D93" s="228">
        <v>1</v>
      </c>
      <c r="E93" s="227">
        <v>60</v>
      </c>
      <c r="F93" s="227">
        <f t="shared" si="6"/>
        <v>0.2</v>
      </c>
      <c r="G93" s="229">
        <v>1443.66</v>
      </c>
      <c r="H93" s="256">
        <f t="shared" si="7"/>
        <v>288.73</v>
      </c>
      <c r="I93" s="143"/>
    </row>
    <row r="94" spans="1:9" ht="12.75" customHeight="1">
      <c r="A94" s="250">
        <f t="shared" si="8"/>
        <v>7</v>
      </c>
      <c r="B94" s="259" t="s">
        <v>227</v>
      </c>
      <c r="C94" s="227" t="s">
        <v>148</v>
      </c>
      <c r="D94" s="228">
        <v>3</v>
      </c>
      <c r="E94" s="227">
        <v>60</v>
      </c>
      <c r="F94" s="227">
        <f t="shared" si="6"/>
        <v>0.60000000000000009</v>
      </c>
      <c r="G94" s="229">
        <v>1090.9000000000001</v>
      </c>
      <c r="H94" s="256">
        <f t="shared" si="7"/>
        <v>654.54</v>
      </c>
      <c r="I94" s="143"/>
    </row>
    <row r="95" spans="1:9" ht="12.75">
      <c r="A95" s="250">
        <f t="shared" si="8"/>
        <v>8</v>
      </c>
      <c r="B95" s="232" t="s">
        <v>228</v>
      </c>
      <c r="C95" s="227" t="s">
        <v>148</v>
      </c>
      <c r="D95" s="228">
        <v>1</v>
      </c>
      <c r="E95" s="227">
        <v>60</v>
      </c>
      <c r="F95" s="227">
        <f t="shared" si="6"/>
        <v>0.2</v>
      </c>
      <c r="G95" s="229">
        <v>1584.8</v>
      </c>
      <c r="H95" s="256">
        <f t="shared" si="7"/>
        <v>316.95999999999998</v>
      </c>
      <c r="I95" s="143"/>
    </row>
    <row r="96" spans="1:9" ht="12.75">
      <c r="A96" s="250">
        <f t="shared" si="8"/>
        <v>9</v>
      </c>
      <c r="B96" s="232" t="s">
        <v>229</v>
      </c>
      <c r="C96" s="227" t="s">
        <v>148</v>
      </c>
      <c r="D96" s="228">
        <v>1</v>
      </c>
      <c r="E96" s="227">
        <v>60</v>
      </c>
      <c r="F96" s="227">
        <f t="shared" si="6"/>
        <v>0.2</v>
      </c>
      <c r="G96" s="229">
        <v>1250</v>
      </c>
      <c r="H96" s="256">
        <f t="shared" si="7"/>
        <v>250</v>
      </c>
      <c r="I96" s="143"/>
    </row>
    <row r="97" spans="1:9" ht="12.75">
      <c r="A97" s="250">
        <f t="shared" si="8"/>
        <v>10</v>
      </c>
      <c r="B97" s="232" t="s">
        <v>230</v>
      </c>
      <c r="C97" s="227" t="s">
        <v>148</v>
      </c>
      <c r="D97" s="228">
        <v>1</v>
      </c>
      <c r="E97" s="227">
        <v>60</v>
      </c>
      <c r="F97" s="227">
        <f t="shared" si="6"/>
        <v>0.2</v>
      </c>
      <c r="G97" s="229">
        <v>1500</v>
      </c>
      <c r="H97" s="256">
        <f t="shared" si="7"/>
        <v>300</v>
      </c>
      <c r="I97" s="143"/>
    </row>
    <row r="98" spans="1:9" ht="12.75">
      <c r="A98" s="250">
        <f t="shared" si="8"/>
        <v>11</v>
      </c>
      <c r="B98" s="232" t="s">
        <v>231</v>
      </c>
      <c r="C98" s="227" t="s">
        <v>148</v>
      </c>
      <c r="D98" s="228">
        <v>2</v>
      </c>
      <c r="E98" s="227">
        <v>60</v>
      </c>
      <c r="F98" s="227">
        <f t="shared" si="6"/>
        <v>0.4</v>
      </c>
      <c r="G98" s="229">
        <v>306.99</v>
      </c>
      <c r="H98" s="256">
        <f t="shared" si="7"/>
        <v>122.8</v>
      </c>
      <c r="I98" s="143"/>
    </row>
    <row r="99" spans="1:9" ht="12.75">
      <c r="A99" s="250">
        <f t="shared" si="8"/>
        <v>12</v>
      </c>
      <c r="B99" s="259" t="s">
        <v>232</v>
      </c>
      <c r="C99" s="227" t="s">
        <v>148</v>
      </c>
      <c r="D99" s="228">
        <v>2</v>
      </c>
      <c r="E99" s="227">
        <v>60</v>
      </c>
      <c r="F99" s="227">
        <f t="shared" si="6"/>
        <v>0.4</v>
      </c>
      <c r="G99" s="260">
        <v>1608.01</v>
      </c>
      <c r="H99" s="256">
        <f t="shared" si="7"/>
        <v>643.20000000000005</v>
      </c>
      <c r="I99" s="143"/>
    </row>
    <row r="100" spans="1:9" ht="12.75">
      <c r="A100" s="250">
        <f t="shared" si="8"/>
        <v>13</v>
      </c>
      <c r="B100" s="232" t="s">
        <v>233</v>
      </c>
      <c r="C100" s="227" t="s">
        <v>148</v>
      </c>
      <c r="D100" s="228">
        <v>3</v>
      </c>
      <c r="E100" s="227">
        <v>60</v>
      </c>
      <c r="F100" s="227">
        <f t="shared" si="6"/>
        <v>0.60000000000000009</v>
      </c>
      <c r="G100" s="260">
        <v>278</v>
      </c>
      <c r="H100" s="256">
        <f t="shared" si="7"/>
        <v>166.8</v>
      </c>
      <c r="I100" s="143"/>
    </row>
    <row r="101" spans="1:9" ht="12.75">
      <c r="A101" s="250">
        <f t="shared" si="8"/>
        <v>14</v>
      </c>
      <c r="B101" s="259" t="s">
        <v>234</v>
      </c>
      <c r="C101" s="227" t="s">
        <v>148</v>
      </c>
      <c r="D101" s="228">
        <v>1</v>
      </c>
      <c r="E101" s="227">
        <v>60</v>
      </c>
      <c r="F101" s="227">
        <f t="shared" si="6"/>
        <v>0.2</v>
      </c>
      <c r="G101" s="260">
        <v>1048</v>
      </c>
      <c r="H101" s="256">
        <f t="shared" si="7"/>
        <v>209.6</v>
      </c>
      <c r="I101" s="143"/>
    </row>
    <row r="102" spans="1:9" ht="12.75">
      <c r="A102" s="250">
        <f t="shared" si="8"/>
        <v>15</v>
      </c>
      <c r="B102" s="259" t="s">
        <v>235</v>
      </c>
      <c r="C102" s="227" t="s">
        <v>148</v>
      </c>
      <c r="D102" s="228">
        <v>1</v>
      </c>
      <c r="E102" s="227">
        <v>60</v>
      </c>
      <c r="F102" s="227">
        <f t="shared" si="6"/>
        <v>0.2</v>
      </c>
      <c r="G102" s="260">
        <v>210.86</v>
      </c>
      <c r="H102" s="256">
        <f t="shared" si="7"/>
        <v>42.17</v>
      </c>
      <c r="I102" s="143"/>
    </row>
    <row r="103" spans="1:9" ht="12.75">
      <c r="A103" s="250">
        <f t="shared" si="8"/>
        <v>16</v>
      </c>
      <c r="B103" s="259" t="s">
        <v>236</v>
      </c>
      <c r="C103" s="227" t="s">
        <v>148</v>
      </c>
      <c r="D103" s="228">
        <v>2</v>
      </c>
      <c r="E103" s="227">
        <v>60</v>
      </c>
      <c r="F103" s="227">
        <f t="shared" si="6"/>
        <v>0.4</v>
      </c>
      <c r="G103" s="260">
        <v>179</v>
      </c>
      <c r="H103" s="256">
        <f t="shared" si="7"/>
        <v>71.599999999999994</v>
      </c>
      <c r="I103" s="143"/>
    </row>
    <row r="104" spans="1:9" ht="12.75">
      <c r="A104" s="250">
        <f t="shared" si="8"/>
        <v>17</v>
      </c>
      <c r="B104" s="259" t="s">
        <v>576</v>
      </c>
      <c r="C104" s="227" t="s">
        <v>148</v>
      </c>
      <c r="D104" s="228">
        <v>1</v>
      </c>
      <c r="E104" s="227">
        <v>60</v>
      </c>
      <c r="F104" s="227">
        <f t="shared" si="6"/>
        <v>0.2</v>
      </c>
      <c r="G104" s="260">
        <v>505</v>
      </c>
      <c r="H104" s="256">
        <f t="shared" si="7"/>
        <v>101</v>
      </c>
      <c r="I104" s="143"/>
    </row>
    <row r="105" spans="1:9" ht="12.75">
      <c r="A105" s="235"/>
      <c r="B105" s="358" t="s">
        <v>237</v>
      </c>
      <c r="C105" s="356"/>
      <c r="D105" s="356"/>
      <c r="E105" s="356"/>
      <c r="F105" s="356"/>
      <c r="G105" s="357"/>
      <c r="H105" s="151">
        <f>SUM(H88:H104)</f>
        <v>3873.0300000000007</v>
      </c>
      <c r="I105" s="143"/>
    </row>
    <row r="106" spans="1:9" ht="12.75">
      <c r="A106" s="41"/>
      <c r="B106" s="359" t="s">
        <v>238</v>
      </c>
      <c r="C106" s="360"/>
      <c r="D106" s="360"/>
      <c r="E106" s="360"/>
      <c r="F106" s="360"/>
      <c r="G106" s="326"/>
      <c r="H106" s="151">
        <f>ROUND(H105/12,2)</f>
        <v>322.75</v>
      </c>
      <c r="I106" s="28"/>
    </row>
    <row r="107" spans="1:9" ht="14.25">
      <c r="A107" s="38"/>
      <c r="B107" s="38"/>
      <c r="C107" s="32"/>
      <c r="D107" s="32"/>
      <c r="E107" s="32"/>
      <c r="F107" s="43"/>
      <c r="G107" s="43"/>
      <c r="H107" s="28"/>
      <c r="I107" s="28"/>
    </row>
    <row r="108" spans="1:9" ht="25.5">
      <c r="A108" s="222" t="s">
        <v>128</v>
      </c>
      <c r="B108" s="261" t="s">
        <v>239</v>
      </c>
      <c r="C108" s="225" t="s">
        <v>129</v>
      </c>
      <c r="D108" s="225" t="s">
        <v>131</v>
      </c>
      <c r="E108" s="225" t="s">
        <v>132</v>
      </c>
      <c r="F108" s="225" t="s">
        <v>133</v>
      </c>
      <c r="G108" s="43"/>
      <c r="H108" s="28"/>
      <c r="I108" s="28"/>
    </row>
    <row r="109" spans="1:9" ht="14.25">
      <c r="A109" s="262">
        <v>1</v>
      </c>
      <c r="B109" s="233" t="s">
        <v>240</v>
      </c>
      <c r="C109" s="227" t="s">
        <v>241</v>
      </c>
      <c r="D109" s="228">
        <v>3</v>
      </c>
      <c r="E109" s="263">
        <v>70</v>
      </c>
      <c r="F109" s="258">
        <f>ROUND(E109*D109,2)</f>
        <v>210</v>
      </c>
      <c r="G109" s="43"/>
      <c r="H109" s="28"/>
      <c r="I109" s="28"/>
    </row>
    <row r="110" spans="1:9" ht="14.25">
      <c r="A110" s="232">
        <f>A109+1</f>
        <v>2</v>
      </c>
      <c r="B110" s="233" t="s">
        <v>242</v>
      </c>
      <c r="C110" s="227" t="s">
        <v>148</v>
      </c>
      <c r="D110" s="228">
        <v>12</v>
      </c>
      <c r="E110" s="263">
        <v>60</v>
      </c>
      <c r="F110" s="258">
        <f t="shared" ref="F110:F114" si="9">ROUND(E110*D110,2)</f>
        <v>720</v>
      </c>
      <c r="G110" s="43"/>
      <c r="H110" s="28"/>
      <c r="I110" s="28"/>
    </row>
    <row r="111" spans="1:9" ht="14.25" customHeight="1">
      <c r="A111" s="232">
        <f t="shared" ref="A111:A114" si="10">A110+1</f>
        <v>3</v>
      </c>
      <c r="B111" s="264" t="s">
        <v>577</v>
      </c>
      <c r="C111" s="227" t="s">
        <v>148</v>
      </c>
      <c r="D111" s="228">
        <v>40</v>
      </c>
      <c r="E111" s="263">
        <v>7.9</v>
      </c>
      <c r="F111" s="258">
        <f t="shared" si="9"/>
        <v>316</v>
      </c>
      <c r="G111" s="43"/>
      <c r="H111" s="28"/>
      <c r="I111" s="28"/>
    </row>
    <row r="112" spans="1:9" ht="14.25">
      <c r="A112" s="232">
        <f t="shared" si="10"/>
        <v>4</v>
      </c>
      <c r="B112" s="233" t="s">
        <v>243</v>
      </c>
      <c r="C112" s="227" t="s">
        <v>148</v>
      </c>
      <c r="D112" s="228">
        <v>3</v>
      </c>
      <c r="E112" s="263">
        <v>11.8</v>
      </c>
      <c r="F112" s="258">
        <f t="shared" si="9"/>
        <v>35.4</v>
      </c>
      <c r="G112" s="43"/>
      <c r="H112" s="28"/>
      <c r="I112" s="28"/>
    </row>
    <row r="113" spans="1:9" ht="85.15" customHeight="1">
      <c r="A113" s="232">
        <f t="shared" si="10"/>
        <v>5</v>
      </c>
      <c r="B113" s="264" t="s">
        <v>244</v>
      </c>
      <c r="C113" s="227" t="s">
        <v>241</v>
      </c>
      <c r="D113" s="228">
        <v>3</v>
      </c>
      <c r="E113" s="263">
        <v>100</v>
      </c>
      <c r="F113" s="258">
        <f t="shared" si="9"/>
        <v>300</v>
      </c>
      <c r="G113" s="43"/>
      <c r="H113" s="28"/>
      <c r="I113" s="28"/>
    </row>
    <row r="114" spans="1:9" ht="14.25">
      <c r="A114" s="232">
        <f t="shared" si="10"/>
        <v>6</v>
      </c>
      <c r="B114" s="233" t="s">
        <v>245</v>
      </c>
      <c r="C114" s="227" t="s">
        <v>148</v>
      </c>
      <c r="D114" s="228">
        <v>4</v>
      </c>
      <c r="E114" s="263">
        <v>109.92</v>
      </c>
      <c r="F114" s="258">
        <f t="shared" si="9"/>
        <v>439.68</v>
      </c>
      <c r="G114" s="43"/>
      <c r="H114" s="28"/>
      <c r="I114" s="28"/>
    </row>
    <row r="115" spans="1:9" ht="14.25">
      <c r="A115" s="235"/>
      <c r="B115" s="358" t="s">
        <v>246</v>
      </c>
      <c r="C115" s="356"/>
      <c r="D115" s="356"/>
      <c r="E115" s="357"/>
      <c r="F115" s="34">
        <f>SUM(F109:F114)</f>
        <v>2021.0800000000002</v>
      </c>
      <c r="G115" s="43"/>
      <c r="H115" s="28"/>
      <c r="I115" s="28"/>
    </row>
    <row r="116" spans="1:9" ht="14.25">
      <c r="A116" s="41"/>
      <c r="B116" s="359" t="s">
        <v>247</v>
      </c>
      <c r="C116" s="360"/>
      <c r="D116" s="360"/>
      <c r="E116" s="326"/>
      <c r="F116" s="42">
        <f>ROUND(F115/12,2)</f>
        <v>168.42</v>
      </c>
      <c r="G116" s="43"/>
      <c r="H116" s="28"/>
      <c r="I116" s="28"/>
    </row>
    <row r="117" spans="1:9" ht="14.25">
      <c r="A117" s="38"/>
      <c r="B117" s="38"/>
      <c r="C117" s="32"/>
      <c r="D117" s="32"/>
      <c r="E117" s="32"/>
      <c r="F117" s="43"/>
      <c r="G117" s="43"/>
      <c r="H117" s="28"/>
      <c r="I117" s="28"/>
    </row>
    <row r="118" spans="1:9" ht="14.25">
      <c r="A118" s="38"/>
      <c r="B118" s="38"/>
      <c r="C118" s="32"/>
      <c r="D118" s="32"/>
      <c r="E118" s="32"/>
      <c r="F118" s="43"/>
      <c r="G118" s="43"/>
      <c r="H118" s="28"/>
      <c r="I118" s="28"/>
    </row>
    <row r="119" spans="1:9" ht="1.5" customHeight="1">
      <c r="A119" s="38"/>
      <c r="B119" s="38"/>
      <c r="C119" s="32"/>
      <c r="D119" s="32"/>
      <c r="E119" s="32"/>
      <c r="F119" s="43"/>
      <c r="G119" s="43"/>
      <c r="H119" s="28"/>
      <c r="I119" s="28"/>
    </row>
    <row r="120" spans="1:9" ht="27" customHeight="1">
      <c r="A120" s="222" t="s">
        <v>128</v>
      </c>
      <c r="B120" s="261" t="s">
        <v>248</v>
      </c>
      <c r="C120" s="225" t="s">
        <v>129</v>
      </c>
      <c r="D120" s="225" t="s">
        <v>131</v>
      </c>
      <c r="E120" s="225" t="s">
        <v>132</v>
      </c>
      <c r="F120" s="225" t="s">
        <v>133</v>
      </c>
      <c r="G120" s="38"/>
      <c r="H120" s="28"/>
      <c r="I120" s="28"/>
    </row>
    <row r="121" spans="1:9" ht="12.75">
      <c r="A121" s="232">
        <v>1</v>
      </c>
      <c r="B121" s="233" t="s">
        <v>249</v>
      </c>
      <c r="C121" s="227" t="s">
        <v>250</v>
      </c>
      <c r="D121" s="228">
        <v>2</v>
      </c>
      <c r="E121" s="265">
        <v>40</v>
      </c>
      <c r="F121" s="258">
        <f>ROUND(E121*D121,2)</f>
        <v>80</v>
      </c>
      <c r="G121" s="38"/>
      <c r="H121" s="28"/>
      <c r="I121" s="32"/>
    </row>
    <row r="122" spans="1:9" ht="12.75">
      <c r="A122" s="232">
        <f>A121+1</f>
        <v>2</v>
      </c>
      <c r="B122" s="233" t="s">
        <v>251</v>
      </c>
      <c r="C122" s="227" t="s">
        <v>250</v>
      </c>
      <c r="D122" s="228">
        <v>2</v>
      </c>
      <c r="E122" s="265">
        <v>38</v>
      </c>
      <c r="F122" s="258">
        <f t="shared" ref="F122:F139" si="11">ROUND(E122*D122,2)</f>
        <v>76</v>
      </c>
      <c r="G122" s="38"/>
      <c r="H122" s="28"/>
      <c r="I122" s="32"/>
    </row>
    <row r="123" spans="1:9" ht="12.75">
      <c r="A123" s="232">
        <f t="shared" ref="A123:A139" si="12">A122+1</f>
        <v>3</v>
      </c>
      <c r="B123" s="233" t="s">
        <v>252</v>
      </c>
      <c r="C123" s="227" t="s">
        <v>250</v>
      </c>
      <c r="D123" s="228">
        <v>3</v>
      </c>
      <c r="E123" s="265">
        <v>12</v>
      </c>
      <c r="F123" s="258">
        <f t="shared" si="11"/>
        <v>36</v>
      </c>
      <c r="G123" s="38"/>
      <c r="H123" s="28"/>
      <c r="I123" s="32"/>
    </row>
    <row r="124" spans="1:9" ht="12.75">
      <c r="A124" s="232">
        <f t="shared" si="12"/>
        <v>4</v>
      </c>
      <c r="B124" s="233" t="s">
        <v>253</v>
      </c>
      <c r="C124" s="227" t="s">
        <v>250</v>
      </c>
      <c r="D124" s="228">
        <v>3</v>
      </c>
      <c r="E124" s="265">
        <v>16</v>
      </c>
      <c r="F124" s="258">
        <f t="shared" si="11"/>
        <v>48</v>
      </c>
      <c r="G124" s="38"/>
      <c r="H124" s="28"/>
      <c r="I124" s="32"/>
    </row>
    <row r="125" spans="1:9" ht="12.75">
      <c r="A125" s="232">
        <f t="shared" si="12"/>
        <v>5</v>
      </c>
      <c r="B125" s="233" t="s">
        <v>254</v>
      </c>
      <c r="C125" s="227" t="s">
        <v>250</v>
      </c>
      <c r="D125" s="228">
        <v>2</v>
      </c>
      <c r="E125" s="265">
        <v>30.74</v>
      </c>
      <c r="F125" s="258">
        <f t="shared" si="11"/>
        <v>61.48</v>
      </c>
      <c r="G125" s="38"/>
      <c r="H125" s="28"/>
      <c r="I125" s="32"/>
    </row>
    <row r="126" spans="1:9" ht="12.75">
      <c r="A126" s="232">
        <f t="shared" si="12"/>
        <v>6</v>
      </c>
      <c r="B126" s="233" t="s">
        <v>255</v>
      </c>
      <c r="C126" s="227" t="s">
        <v>250</v>
      </c>
      <c r="D126" s="228">
        <v>1</v>
      </c>
      <c r="E126" s="265">
        <v>119.98</v>
      </c>
      <c r="F126" s="258">
        <f t="shared" si="11"/>
        <v>119.98</v>
      </c>
      <c r="G126" s="38"/>
      <c r="H126" s="28"/>
      <c r="I126" s="32"/>
    </row>
    <row r="127" spans="1:9" ht="12.75">
      <c r="A127" s="232">
        <f t="shared" si="12"/>
        <v>7</v>
      </c>
      <c r="B127" s="233" t="s">
        <v>256</v>
      </c>
      <c r="C127" s="227" t="s">
        <v>257</v>
      </c>
      <c r="D127" s="228">
        <v>2</v>
      </c>
      <c r="E127" s="265">
        <v>39.43</v>
      </c>
      <c r="F127" s="258">
        <f t="shared" si="11"/>
        <v>78.86</v>
      </c>
      <c r="G127" s="38"/>
      <c r="H127" s="28"/>
      <c r="I127" s="32"/>
    </row>
    <row r="128" spans="1:9" ht="12.75">
      <c r="A128" s="232">
        <f t="shared" si="12"/>
        <v>8</v>
      </c>
      <c r="B128" s="233" t="s">
        <v>258</v>
      </c>
      <c r="C128" s="227" t="s">
        <v>257</v>
      </c>
      <c r="D128" s="228">
        <v>1</v>
      </c>
      <c r="E128" s="265">
        <v>22</v>
      </c>
      <c r="F128" s="258">
        <f t="shared" si="11"/>
        <v>22</v>
      </c>
      <c r="G128" s="38"/>
      <c r="H128" s="28"/>
      <c r="I128" s="32"/>
    </row>
    <row r="129" spans="1:9" ht="12.75" customHeight="1">
      <c r="A129" s="232">
        <f t="shared" si="12"/>
        <v>9</v>
      </c>
      <c r="B129" s="264" t="s">
        <v>259</v>
      </c>
      <c r="C129" s="227" t="s">
        <v>148</v>
      </c>
      <c r="D129" s="228">
        <v>3</v>
      </c>
      <c r="E129" s="265">
        <v>11.9</v>
      </c>
      <c r="F129" s="258">
        <f t="shared" si="11"/>
        <v>35.700000000000003</v>
      </c>
      <c r="G129" s="38"/>
      <c r="H129" s="28"/>
      <c r="I129" s="32"/>
    </row>
    <row r="130" spans="1:9" ht="12.75">
      <c r="A130" s="232">
        <f t="shared" si="12"/>
        <v>10</v>
      </c>
      <c r="B130" s="233" t="s">
        <v>260</v>
      </c>
      <c r="C130" s="227" t="s">
        <v>148</v>
      </c>
      <c r="D130" s="228">
        <v>1</v>
      </c>
      <c r="E130" s="265">
        <v>12.99</v>
      </c>
      <c r="F130" s="258">
        <f t="shared" si="11"/>
        <v>12.99</v>
      </c>
      <c r="G130" s="38"/>
      <c r="H130" s="28"/>
      <c r="I130" s="32"/>
    </row>
    <row r="131" spans="1:9" ht="12.75">
      <c r="A131" s="232">
        <f t="shared" si="12"/>
        <v>11</v>
      </c>
      <c r="B131" s="233" t="s">
        <v>261</v>
      </c>
      <c r="C131" s="227" t="s">
        <v>148</v>
      </c>
      <c r="D131" s="228">
        <v>1</v>
      </c>
      <c r="E131" s="265">
        <v>17</v>
      </c>
      <c r="F131" s="258">
        <f t="shared" si="11"/>
        <v>17</v>
      </c>
      <c r="G131" s="38"/>
      <c r="H131" s="28"/>
      <c r="I131" s="32"/>
    </row>
    <row r="132" spans="1:9" ht="12.75">
      <c r="A132" s="232">
        <f t="shared" si="12"/>
        <v>12</v>
      </c>
      <c r="B132" s="233" t="s">
        <v>262</v>
      </c>
      <c r="C132" s="227" t="s">
        <v>250</v>
      </c>
      <c r="D132" s="228">
        <v>1</v>
      </c>
      <c r="E132" s="265">
        <v>12</v>
      </c>
      <c r="F132" s="258">
        <f t="shared" si="11"/>
        <v>12</v>
      </c>
      <c r="G132" s="38"/>
      <c r="H132" s="28"/>
      <c r="I132" s="32"/>
    </row>
    <row r="133" spans="1:9" ht="12.75">
      <c r="A133" s="232">
        <f t="shared" si="12"/>
        <v>13</v>
      </c>
      <c r="B133" s="233" t="s">
        <v>263</v>
      </c>
      <c r="C133" s="227" t="s">
        <v>148</v>
      </c>
      <c r="D133" s="228">
        <v>12</v>
      </c>
      <c r="E133" s="265">
        <v>2.7</v>
      </c>
      <c r="F133" s="258">
        <f t="shared" si="11"/>
        <v>32.4</v>
      </c>
      <c r="G133" s="38"/>
      <c r="H133" s="28"/>
      <c r="I133" s="32"/>
    </row>
    <row r="134" spans="1:9" ht="12.75">
      <c r="A134" s="232">
        <f t="shared" si="12"/>
        <v>14</v>
      </c>
      <c r="B134" s="233" t="s">
        <v>264</v>
      </c>
      <c r="C134" s="227" t="s">
        <v>257</v>
      </c>
      <c r="D134" s="228">
        <v>12</v>
      </c>
      <c r="E134" s="265">
        <v>2.17</v>
      </c>
      <c r="F134" s="258">
        <f t="shared" si="11"/>
        <v>26.04</v>
      </c>
      <c r="G134" s="38"/>
      <c r="H134" s="28"/>
      <c r="I134" s="32"/>
    </row>
    <row r="135" spans="1:9" ht="12.75">
      <c r="A135" s="232">
        <f t="shared" si="12"/>
        <v>15</v>
      </c>
      <c r="B135" s="233" t="s">
        <v>265</v>
      </c>
      <c r="C135" s="227" t="s">
        <v>257</v>
      </c>
      <c r="D135" s="228">
        <v>12</v>
      </c>
      <c r="E135" s="265">
        <v>2.89</v>
      </c>
      <c r="F135" s="258">
        <f t="shared" si="11"/>
        <v>34.68</v>
      </c>
      <c r="G135" s="38"/>
      <c r="H135" s="28"/>
      <c r="I135" s="32"/>
    </row>
    <row r="136" spans="1:9" ht="12.75">
      <c r="A136" s="232">
        <f t="shared" si="12"/>
        <v>16</v>
      </c>
      <c r="B136" s="233" t="s">
        <v>266</v>
      </c>
      <c r="C136" s="227" t="s">
        <v>148</v>
      </c>
      <c r="D136" s="228">
        <v>3</v>
      </c>
      <c r="E136" s="265">
        <v>15</v>
      </c>
      <c r="F136" s="258">
        <f t="shared" si="11"/>
        <v>45</v>
      </c>
      <c r="G136" s="38"/>
      <c r="H136" s="28"/>
      <c r="I136" s="32"/>
    </row>
    <row r="137" spans="1:9" ht="12.75">
      <c r="A137" s="232">
        <f t="shared" si="12"/>
        <v>17</v>
      </c>
      <c r="B137" s="233" t="s">
        <v>267</v>
      </c>
      <c r="C137" s="227" t="s">
        <v>148</v>
      </c>
      <c r="D137" s="228">
        <v>12</v>
      </c>
      <c r="E137" s="265">
        <v>44.9</v>
      </c>
      <c r="F137" s="258">
        <f t="shared" si="11"/>
        <v>538.79999999999995</v>
      </c>
      <c r="G137" s="38"/>
      <c r="H137" s="28"/>
      <c r="I137" s="32"/>
    </row>
    <row r="138" spans="1:9" ht="12.75">
      <c r="A138" s="232">
        <f t="shared" si="12"/>
        <v>18</v>
      </c>
      <c r="B138" s="233" t="s">
        <v>268</v>
      </c>
      <c r="C138" s="227" t="s">
        <v>148</v>
      </c>
      <c r="D138" s="228">
        <v>3</v>
      </c>
      <c r="E138" s="265">
        <v>3</v>
      </c>
      <c r="F138" s="258">
        <f t="shared" si="11"/>
        <v>9</v>
      </c>
      <c r="G138" s="38"/>
      <c r="H138" s="28"/>
      <c r="I138" s="32"/>
    </row>
    <row r="139" spans="1:9" ht="12.75">
      <c r="A139" s="232">
        <f t="shared" si="12"/>
        <v>19</v>
      </c>
      <c r="B139" s="233" t="s">
        <v>269</v>
      </c>
      <c r="C139" s="227" t="s">
        <v>148</v>
      </c>
      <c r="D139" s="228">
        <v>6</v>
      </c>
      <c r="E139" s="265">
        <v>1.41</v>
      </c>
      <c r="F139" s="258">
        <f t="shared" si="11"/>
        <v>8.4600000000000009</v>
      </c>
      <c r="G139" s="38"/>
      <c r="H139" s="28"/>
      <c r="I139" s="32"/>
    </row>
    <row r="140" spans="1:9" ht="12.75">
      <c r="A140" s="235"/>
      <c r="B140" s="358" t="s">
        <v>270</v>
      </c>
      <c r="C140" s="356"/>
      <c r="D140" s="356"/>
      <c r="E140" s="357"/>
      <c r="F140" s="34">
        <f>SUM(F121:F139)</f>
        <v>1294.3899999999999</v>
      </c>
      <c r="G140" s="38"/>
      <c r="H140" s="28"/>
      <c r="I140" s="28"/>
    </row>
    <row r="141" spans="1:9" ht="12.75">
      <c r="A141" s="41"/>
      <c r="B141" s="359" t="s">
        <v>271</v>
      </c>
      <c r="C141" s="360"/>
      <c r="D141" s="360"/>
      <c r="E141" s="326"/>
      <c r="F141" s="34">
        <f>ROUND(F140/12,2)</f>
        <v>107.87</v>
      </c>
      <c r="G141" s="44"/>
      <c r="H141" s="28"/>
      <c r="I141" s="28"/>
    </row>
    <row r="142" spans="1:9" ht="14.25">
      <c r="A142" s="38"/>
      <c r="B142" s="38"/>
      <c r="C142" s="32"/>
      <c r="D142" s="32"/>
      <c r="E142" s="32"/>
      <c r="F142" s="43"/>
      <c r="G142" s="43"/>
      <c r="H142" s="28"/>
      <c r="I142" s="28"/>
    </row>
    <row r="143" spans="1:9" ht="14.25">
      <c r="A143" s="38"/>
      <c r="B143" s="38"/>
      <c r="C143" s="32"/>
      <c r="D143" s="32"/>
      <c r="E143" s="32"/>
      <c r="F143" s="43"/>
      <c r="G143" s="43"/>
      <c r="H143" s="28"/>
      <c r="I143" s="28"/>
    </row>
    <row r="144" spans="1:9" ht="19.5">
      <c r="A144" s="45"/>
      <c r="B144" s="46" t="s">
        <v>272</v>
      </c>
      <c r="C144" s="361" t="s">
        <v>273</v>
      </c>
      <c r="D144" s="326"/>
      <c r="E144" s="361" t="s">
        <v>274</v>
      </c>
      <c r="F144" s="326"/>
      <c r="G144" s="361" t="s">
        <v>275</v>
      </c>
      <c r="H144" s="360"/>
      <c r="I144" s="326"/>
    </row>
    <row r="145" spans="1:9" ht="12.75">
      <c r="A145" s="47"/>
      <c r="B145" s="48" t="s">
        <v>276</v>
      </c>
      <c r="C145" s="371">
        <f>G49</f>
        <v>54744.360000000015</v>
      </c>
      <c r="D145" s="326"/>
      <c r="E145" s="371">
        <f>G50</f>
        <v>4562.03</v>
      </c>
      <c r="F145" s="326"/>
      <c r="G145" s="372">
        <f>ROUND((E145/$H$157),2)</f>
        <v>350.93</v>
      </c>
      <c r="H145" s="373"/>
      <c r="I145" s="374"/>
    </row>
    <row r="146" spans="1:9" ht="12.75">
      <c r="A146" s="47"/>
      <c r="B146" s="48" t="s">
        <v>277</v>
      </c>
      <c r="C146" s="371">
        <f>H84</f>
        <v>5944.3799999999992</v>
      </c>
      <c r="D146" s="326"/>
      <c r="E146" s="371">
        <f>H85</f>
        <v>495.37</v>
      </c>
      <c r="F146" s="326"/>
      <c r="G146" s="372">
        <f>ROUND((E146/$H$157),2)</f>
        <v>38.11</v>
      </c>
      <c r="H146" s="373"/>
      <c r="I146" s="374"/>
    </row>
    <row r="147" spans="1:9" ht="12.75">
      <c r="A147" s="49"/>
      <c r="B147" s="50" t="s">
        <v>278</v>
      </c>
      <c r="C147" s="362">
        <f>SUM(C145:C146)</f>
        <v>60688.740000000013</v>
      </c>
      <c r="D147" s="326"/>
      <c r="E147" s="362">
        <f>SUM(E145:E146)</f>
        <v>5057.3999999999996</v>
      </c>
      <c r="F147" s="326"/>
      <c r="G147" s="363">
        <f>SUM(G145:G146)</f>
        <v>389.04</v>
      </c>
      <c r="H147" s="360"/>
      <c r="I147" s="326"/>
    </row>
    <row r="148" spans="1:9" ht="12.75">
      <c r="B148" s="355"/>
      <c r="C148" s="356"/>
      <c r="D148" s="356"/>
      <c r="E148" s="356"/>
      <c r="F148" s="357"/>
      <c r="G148" s="355"/>
      <c r="H148" s="356"/>
      <c r="I148" s="357"/>
    </row>
    <row r="149" spans="1:9" ht="12.75">
      <c r="A149" s="49"/>
      <c r="B149" s="50" t="s">
        <v>219</v>
      </c>
      <c r="C149" s="362">
        <f>H105</f>
        <v>3873.0300000000007</v>
      </c>
      <c r="D149" s="326"/>
      <c r="E149" s="375">
        <f>H106</f>
        <v>322.75</v>
      </c>
      <c r="F149" s="326"/>
      <c r="G149" s="352">
        <f>ROUND((E149/$H$157),2)</f>
        <v>24.83</v>
      </c>
      <c r="H149" s="353"/>
      <c r="I149" s="354"/>
    </row>
    <row r="150" spans="1:9" ht="12.75">
      <c r="B150" s="355"/>
      <c r="C150" s="356"/>
      <c r="D150" s="356"/>
      <c r="E150" s="356"/>
      <c r="F150" s="357"/>
      <c r="G150" s="355"/>
      <c r="H150" s="356"/>
      <c r="I150" s="357"/>
    </row>
    <row r="151" spans="1:9" ht="12.75">
      <c r="A151" s="49"/>
      <c r="B151" s="116" t="s">
        <v>279</v>
      </c>
      <c r="C151" s="362">
        <f>F115</f>
        <v>2021.0800000000002</v>
      </c>
      <c r="D151" s="326"/>
      <c r="E151" s="375">
        <f>F116</f>
        <v>168.42</v>
      </c>
      <c r="F151" s="326"/>
      <c r="G151" s="352">
        <f>ROUND((E151/$H$157),2)</f>
        <v>12.96</v>
      </c>
      <c r="H151" s="353"/>
      <c r="I151" s="354"/>
    </row>
    <row r="152" spans="1:9" ht="12.75">
      <c r="A152" s="355"/>
      <c r="B152" s="356"/>
      <c r="C152" s="356"/>
      <c r="D152" s="356"/>
      <c r="E152" s="356"/>
      <c r="F152" s="357"/>
      <c r="G152" s="355"/>
      <c r="H152" s="356"/>
      <c r="I152" s="357"/>
    </row>
    <row r="153" spans="1:9" ht="12.75">
      <c r="A153" s="49"/>
      <c r="B153" s="50" t="s">
        <v>280</v>
      </c>
      <c r="C153" s="362">
        <f>F140</f>
        <v>1294.3899999999999</v>
      </c>
      <c r="D153" s="326"/>
      <c r="E153" s="375">
        <f>F141</f>
        <v>107.87</v>
      </c>
      <c r="F153" s="326"/>
      <c r="G153" s="352">
        <f>E153</f>
        <v>107.87</v>
      </c>
      <c r="H153" s="353"/>
      <c r="I153" s="354"/>
    </row>
    <row r="154" spans="1:9" ht="12.75">
      <c r="B154" s="355"/>
      <c r="C154" s="356"/>
      <c r="D154" s="356"/>
      <c r="E154" s="356"/>
      <c r="F154" s="357"/>
      <c r="G154" s="355"/>
      <c r="H154" s="356"/>
      <c r="I154" s="357"/>
    </row>
    <row r="155" spans="1:9" s="149" customFormat="1" ht="12.75">
      <c r="A155" s="148"/>
      <c r="B155" s="221" t="s">
        <v>126</v>
      </c>
      <c r="C155" s="377">
        <f>C147+C149+C151+C153</f>
        <v>67877.240000000005</v>
      </c>
      <c r="D155" s="378"/>
      <c r="E155" s="377">
        <f>E147+E149+E151+E153</f>
        <v>5656.44</v>
      </c>
      <c r="F155" s="378"/>
      <c r="G155" s="379">
        <f>G147+G149+G151+G153</f>
        <v>534.70000000000005</v>
      </c>
      <c r="H155" s="380"/>
      <c r="I155" s="378"/>
    </row>
    <row r="156" spans="1:9" ht="12.75">
      <c r="A156" s="51"/>
      <c r="B156" s="51"/>
      <c r="C156" s="37"/>
      <c r="D156" s="37"/>
      <c r="E156" s="37"/>
      <c r="F156" s="37"/>
      <c r="G156" s="44"/>
      <c r="H156" s="28"/>
      <c r="I156" s="28"/>
    </row>
    <row r="157" spans="1:9" ht="35.450000000000003" customHeight="1">
      <c r="A157" s="381" t="s">
        <v>281</v>
      </c>
      <c r="B157" s="360"/>
      <c r="C157" s="360"/>
      <c r="D157" s="360"/>
      <c r="E157" s="360"/>
      <c r="F157" s="360"/>
      <c r="G157" s="326"/>
      <c r="H157" s="150">
        <f>ROUND('Cálculo Qtd'!E23,2)</f>
        <v>13</v>
      </c>
    </row>
    <row r="159" spans="1:9" ht="39" customHeight="1">
      <c r="A159" s="376" t="s">
        <v>282</v>
      </c>
      <c r="B159" s="368"/>
      <c r="C159" s="368"/>
      <c r="D159" s="368"/>
      <c r="E159" s="368"/>
      <c r="F159" s="368"/>
      <c r="G159" s="368"/>
      <c r="H159" s="368"/>
    </row>
    <row r="160" spans="1:9" ht="34.5" customHeight="1">
      <c r="A160" s="376" t="s">
        <v>283</v>
      </c>
      <c r="B160" s="368"/>
      <c r="C160" s="368"/>
      <c r="D160" s="368"/>
      <c r="E160" s="368"/>
      <c r="F160" s="368"/>
      <c r="G160" s="368"/>
      <c r="H160" s="368"/>
    </row>
    <row r="161" spans="1:8" ht="34.5" customHeight="1">
      <c r="A161" s="376" t="s">
        <v>284</v>
      </c>
      <c r="B161" s="368"/>
      <c r="C161" s="368"/>
      <c r="D161" s="368"/>
      <c r="E161" s="368"/>
      <c r="F161" s="368"/>
      <c r="G161" s="368"/>
      <c r="H161" s="368"/>
    </row>
  </sheetData>
  <mergeCells count="49">
    <mergeCell ref="B150:F150"/>
    <mergeCell ref="G150:I150"/>
    <mergeCell ref="A159:H159"/>
    <mergeCell ref="A160:H160"/>
    <mergeCell ref="A161:H161"/>
    <mergeCell ref="C155:D155"/>
    <mergeCell ref="E155:F155"/>
    <mergeCell ref="G155:I155"/>
    <mergeCell ref="A157:G157"/>
    <mergeCell ref="C153:D153"/>
    <mergeCell ref="G153:I153"/>
    <mergeCell ref="E153:F153"/>
    <mergeCell ref="B154:F154"/>
    <mergeCell ref="G154:I154"/>
    <mergeCell ref="C151:D151"/>
    <mergeCell ref="E151:F151"/>
    <mergeCell ref="C147:D147"/>
    <mergeCell ref="B148:F148"/>
    <mergeCell ref="G148:I148"/>
    <mergeCell ref="C149:D149"/>
    <mergeCell ref="E149:F149"/>
    <mergeCell ref="G149:I149"/>
    <mergeCell ref="C145:D145"/>
    <mergeCell ref="E145:F145"/>
    <mergeCell ref="G145:I145"/>
    <mergeCell ref="C146:D146"/>
    <mergeCell ref="E146:F146"/>
    <mergeCell ref="G146:I146"/>
    <mergeCell ref="B1:G1"/>
    <mergeCell ref="B2:G2"/>
    <mergeCell ref="B4:G4"/>
    <mergeCell ref="B49:F49"/>
    <mergeCell ref="B50:F50"/>
    <mergeCell ref="G151:I151"/>
    <mergeCell ref="A152:F152"/>
    <mergeCell ref="G152:I152"/>
    <mergeCell ref="B84:G84"/>
    <mergeCell ref="B85:G85"/>
    <mergeCell ref="E144:F144"/>
    <mergeCell ref="G144:I144"/>
    <mergeCell ref="B105:G105"/>
    <mergeCell ref="B106:G106"/>
    <mergeCell ref="B115:E115"/>
    <mergeCell ref="B116:E116"/>
    <mergeCell ref="B140:E140"/>
    <mergeCell ref="B141:E141"/>
    <mergeCell ref="C144:D144"/>
    <mergeCell ref="E147:F147"/>
    <mergeCell ref="G147:I147"/>
  </mergeCells>
  <pageMargins left="0.70866141732283472" right="0.70866141732283472" top="0.74803149606299213" bottom="0.74803149606299213" header="0" footer="0"/>
  <pageSetup paperSize="9" scale="60" fitToHeight="0" orientation="portrait" r:id="rId1"/>
  <headerFooter>
    <oddFooter>&amp;CANEXO IV - Planilha de Custos e Formação de Preços
Processo n.º 23370.000233/2021-32
Pregão Eletrônico 036/2021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3BCE-DE0C-4DC9-B71A-A70DC78F2740}">
  <sheetPr>
    <pageSetUpPr fitToPage="1"/>
  </sheetPr>
  <dimension ref="A1:L306"/>
  <sheetViews>
    <sheetView workbookViewId="0">
      <selection activeCell="L19" sqref="L19"/>
    </sheetView>
  </sheetViews>
  <sheetFormatPr defaultColWidth="11.42578125" defaultRowHeight="12.75"/>
  <cols>
    <col min="1" max="1" width="13.140625" style="102" customWidth="1"/>
    <col min="2" max="2" width="11" style="102" customWidth="1"/>
    <col min="3" max="3" width="13.140625" style="102" customWidth="1"/>
    <col min="4" max="4" width="10" style="102" customWidth="1"/>
    <col min="5" max="5" width="12.28515625" style="102" customWidth="1"/>
    <col min="6" max="6" width="11.140625" style="102" customWidth="1"/>
    <col min="7" max="7" width="11" style="102" customWidth="1"/>
    <col min="8" max="8" width="14" style="102" customWidth="1"/>
    <col min="9" max="9" width="15.5703125" style="103" customWidth="1"/>
    <col min="10" max="10" width="14.28515625" style="52" customWidth="1"/>
    <col min="11" max="11" width="14.140625" style="52" customWidth="1"/>
    <col min="12" max="256" width="11.42578125" style="52"/>
    <col min="257" max="257" width="13.140625" style="52" customWidth="1"/>
    <col min="258" max="258" width="11" style="52" customWidth="1"/>
    <col min="259" max="259" width="13.140625" style="52" customWidth="1"/>
    <col min="260" max="260" width="10" style="52" customWidth="1"/>
    <col min="261" max="261" width="12.28515625" style="52" customWidth="1"/>
    <col min="262" max="262" width="11.140625" style="52" customWidth="1"/>
    <col min="263" max="263" width="9.7109375" style="52" customWidth="1"/>
    <col min="264" max="264" width="13.28515625" style="52" customWidth="1"/>
    <col min="265" max="265" width="14.42578125" style="52" customWidth="1"/>
    <col min="266" max="512" width="11.42578125" style="52"/>
    <col min="513" max="513" width="13.140625" style="52" customWidth="1"/>
    <col min="514" max="514" width="11" style="52" customWidth="1"/>
    <col min="515" max="515" width="13.140625" style="52" customWidth="1"/>
    <col min="516" max="516" width="10" style="52" customWidth="1"/>
    <col min="517" max="517" width="12.28515625" style="52" customWidth="1"/>
    <col min="518" max="518" width="11.140625" style="52" customWidth="1"/>
    <col min="519" max="519" width="9.7109375" style="52" customWidth="1"/>
    <col min="520" max="520" width="13.28515625" style="52" customWidth="1"/>
    <col min="521" max="521" width="14.42578125" style="52" customWidth="1"/>
    <col min="522" max="768" width="11.42578125" style="52"/>
    <col min="769" max="769" width="13.140625" style="52" customWidth="1"/>
    <col min="770" max="770" width="11" style="52" customWidth="1"/>
    <col min="771" max="771" width="13.140625" style="52" customWidth="1"/>
    <col min="772" max="772" width="10" style="52" customWidth="1"/>
    <col min="773" max="773" width="12.28515625" style="52" customWidth="1"/>
    <col min="774" max="774" width="11.140625" style="52" customWidth="1"/>
    <col min="775" max="775" width="9.7109375" style="52" customWidth="1"/>
    <col min="776" max="776" width="13.28515625" style="52" customWidth="1"/>
    <col min="777" max="777" width="14.42578125" style="52" customWidth="1"/>
    <col min="778" max="1024" width="11.42578125" style="52"/>
    <col min="1025" max="1025" width="13.140625" style="52" customWidth="1"/>
    <col min="1026" max="1026" width="11" style="52" customWidth="1"/>
    <col min="1027" max="1027" width="13.140625" style="52" customWidth="1"/>
    <col min="1028" max="1028" width="10" style="52" customWidth="1"/>
    <col min="1029" max="1029" width="12.28515625" style="52" customWidth="1"/>
    <col min="1030" max="1030" width="11.140625" style="52" customWidth="1"/>
    <col min="1031" max="1031" width="9.7109375" style="52" customWidth="1"/>
    <col min="1032" max="1032" width="13.28515625" style="52" customWidth="1"/>
    <col min="1033" max="1033" width="14.42578125" style="52" customWidth="1"/>
    <col min="1034" max="1280" width="11.42578125" style="52"/>
    <col min="1281" max="1281" width="13.140625" style="52" customWidth="1"/>
    <col min="1282" max="1282" width="11" style="52" customWidth="1"/>
    <col min="1283" max="1283" width="13.140625" style="52" customWidth="1"/>
    <col min="1284" max="1284" width="10" style="52" customWidth="1"/>
    <col min="1285" max="1285" width="12.28515625" style="52" customWidth="1"/>
    <col min="1286" max="1286" width="11.140625" style="52" customWidth="1"/>
    <col min="1287" max="1287" width="9.7109375" style="52" customWidth="1"/>
    <col min="1288" max="1288" width="13.28515625" style="52" customWidth="1"/>
    <col min="1289" max="1289" width="14.42578125" style="52" customWidth="1"/>
    <col min="1290" max="1536" width="11.42578125" style="52"/>
    <col min="1537" max="1537" width="13.140625" style="52" customWidth="1"/>
    <col min="1538" max="1538" width="11" style="52" customWidth="1"/>
    <col min="1539" max="1539" width="13.140625" style="52" customWidth="1"/>
    <col min="1540" max="1540" width="10" style="52" customWidth="1"/>
    <col min="1541" max="1541" width="12.28515625" style="52" customWidth="1"/>
    <col min="1542" max="1542" width="11.140625" style="52" customWidth="1"/>
    <col min="1543" max="1543" width="9.7109375" style="52" customWidth="1"/>
    <col min="1544" max="1544" width="13.28515625" style="52" customWidth="1"/>
    <col min="1545" max="1545" width="14.42578125" style="52" customWidth="1"/>
    <col min="1546" max="1792" width="11.42578125" style="52"/>
    <col min="1793" max="1793" width="13.140625" style="52" customWidth="1"/>
    <col min="1794" max="1794" width="11" style="52" customWidth="1"/>
    <col min="1795" max="1795" width="13.140625" style="52" customWidth="1"/>
    <col min="1796" max="1796" width="10" style="52" customWidth="1"/>
    <col min="1797" max="1797" width="12.28515625" style="52" customWidth="1"/>
    <col min="1798" max="1798" width="11.140625" style="52" customWidth="1"/>
    <col min="1799" max="1799" width="9.7109375" style="52" customWidth="1"/>
    <col min="1800" max="1800" width="13.28515625" style="52" customWidth="1"/>
    <col min="1801" max="1801" width="14.42578125" style="52" customWidth="1"/>
    <col min="1802" max="2048" width="11.42578125" style="52"/>
    <col min="2049" max="2049" width="13.140625" style="52" customWidth="1"/>
    <col min="2050" max="2050" width="11" style="52" customWidth="1"/>
    <col min="2051" max="2051" width="13.140625" style="52" customWidth="1"/>
    <col min="2052" max="2052" width="10" style="52" customWidth="1"/>
    <col min="2053" max="2053" width="12.28515625" style="52" customWidth="1"/>
    <col min="2054" max="2054" width="11.140625" style="52" customWidth="1"/>
    <col min="2055" max="2055" width="9.7109375" style="52" customWidth="1"/>
    <col min="2056" max="2056" width="13.28515625" style="52" customWidth="1"/>
    <col min="2057" max="2057" width="14.42578125" style="52" customWidth="1"/>
    <col min="2058" max="2304" width="11.42578125" style="52"/>
    <col min="2305" max="2305" width="13.140625" style="52" customWidth="1"/>
    <col min="2306" max="2306" width="11" style="52" customWidth="1"/>
    <col min="2307" max="2307" width="13.140625" style="52" customWidth="1"/>
    <col min="2308" max="2308" width="10" style="52" customWidth="1"/>
    <col min="2309" max="2309" width="12.28515625" style="52" customWidth="1"/>
    <col min="2310" max="2310" width="11.140625" style="52" customWidth="1"/>
    <col min="2311" max="2311" width="9.7109375" style="52" customWidth="1"/>
    <col min="2312" max="2312" width="13.28515625" style="52" customWidth="1"/>
    <col min="2313" max="2313" width="14.42578125" style="52" customWidth="1"/>
    <col min="2314" max="2560" width="11.42578125" style="52"/>
    <col min="2561" max="2561" width="13.140625" style="52" customWidth="1"/>
    <col min="2562" max="2562" width="11" style="52" customWidth="1"/>
    <col min="2563" max="2563" width="13.140625" style="52" customWidth="1"/>
    <col min="2564" max="2564" width="10" style="52" customWidth="1"/>
    <col min="2565" max="2565" width="12.28515625" style="52" customWidth="1"/>
    <col min="2566" max="2566" width="11.140625" style="52" customWidth="1"/>
    <col min="2567" max="2567" width="9.7109375" style="52" customWidth="1"/>
    <col min="2568" max="2568" width="13.28515625" style="52" customWidth="1"/>
    <col min="2569" max="2569" width="14.42578125" style="52" customWidth="1"/>
    <col min="2570" max="2816" width="11.42578125" style="52"/>
    <col min="2817" max="2817" width="13.140625" style="52" customWidth="1"/>
    <col min="2818" max="2818" width="11" style="52" customWidth="1"/>
    <col min="2819" max="2819" width="13.140625" style="52" customWidth="1"/>
    <col min="2820" max="2820" width="10" style="52" customWidth="1"/>
    <col min="2821" max="2821" width="12.28515625" style="52" customWidth="1"/>
    <col min="2822" max="2822" width="11.140625" style="52" customWidth="1"/>
    <col min="2823" max="2823" width="9.7109375" style="52" customWidth="1"/>
    <col min="2824" max="2824" width="13.28515625" style="52" customWidth="1"/>
    <col min="2825" max="2825" width="14.42578125" style="52" customWidth="1"/>
    <col min="2826" max="3072" width="11.42578125" style="52"/>
    <col min="3073" max="3073" width="13.140625" style="52" customWidth="1"/>
    <col min="3074" max="3074" width="11" style="52" customWidth="1"/>
    <col min="3075" max="3075" width="13.140625" style="52" customWidth="1"/>
    <col min="3076" max="3076" width="10" style="52" customWidth="1"/>
    <col min="3077" max="3077" width="12.28515625" style="52" customWidth="1"/>
    <col min="3078" max="3078" width="11.140625" style="52" customWidth="1"/>
    <col min="3079" max="3079" width="9.7109375" style="52" customWidth="1"/>
    <col min="3080" max="3080" width="13.28515625" style="52" customWidth="1"/>
    <col min="3081" max="3081" width="14.42578125" style="52" customWidth="1"/>
    <col min="3082" max="3328" width="11.42578125" style="52"/>
    <col min="3329" max="3329" width="13.140625" style="52" customWidth="1"/>
    <col min="3330" max="3330" width="11" style="52" customWidth="1"/>
    <col min="3331" max="3331" width="13.140625" style="52" customWidth="1"/>
    <col min="3332" max="3332" width="10" style="52" customWidth="1"/>
    <col min="3333" max="3333" width="12.28515625" style="52" customWidth="1"/>
    <col min="3334" max="3334" width="11.140625" style="52" customWidth="1"/>
    <col min="3335" max="3335" width="9.7109375" style="52" customWidth="1"/>
    <col min="3336" max="3336" width="13.28515625" style="52" customWidth="1"/>
    <col min="3337" max="3337" width="14.42578125" style="52" customWidth="1"/>
    <col min="3338" max="3584" width="11.42578125" style="52"/>
    <col min="3585" max="3585" width="13.140625" style="52" customWidth="1"/>
    <col min="3586" max="3586" width="11" style="52" customWidth="1"/>
    <col min="3587" max="3587" width="13.140625" style="52" customWidth="1"/>
    <col min="3588" max="3588" width="10" style="52" customWidth="1"/>
    <col min="3589" max="3589" width="12.28515625" style="52" customWidth="1"/>
    <col min="3590" max="3590" width="11.140625" style="52" customWidth="1"/>
    <col min="3591" max="3591" width="9.7109375" style="52" customWidth="1"/>
    <col min="3592" max="3592" width="13.28515625" style="52" customWidth="1"/>
    <col min="3593" max="3593" width="14.42578125" style="52" customWidth="1"/>
    <col min="3594" max="3840" width="11.42578125" style="52"/>
    <col min="3841" max="3841" width="13.140625" style="52" customWidth="1"/>
    <col min="3842" max="3842" width="11" style="52" customWidth="1"/>
    <col min="3843" max="3843" width="13.140625" style="52" customWidth="1"/>
    <col min="3844" max="3844" width="10" style="52" customWidth="1"/>
    <col min="3845" max="3845" width="12.28515625" style="52" customWidth="1"/>
    <col min="3846" max="3846" width="11.140625" style="52" customWidth="1"/>
    <col min="3847" max="3847" width="9.7109375" style="52" customWidth="1"/>
    <col min="3848" max="3848" width="13.28515625" style="52" customWidth="1"/>
    <col min="3849" max="3849" width="14.42578125" style="52" customWidth="1"/>
    <col min="3850" max="4096" width="11.42578125" style="52"/>
    <col min="4097" max="4097" width="13.140625" style="52" customWidth="1"/>
    <col min="4098" max="4098" width="11" style="52" customWidth="1"/>
    <col min="4099" max="4099" width="13.140625" style="52" customWidth="1"/>
    <col min="4100" max="4100" width="10" style="52" customWidth="1"/>
    <col min="4101" max="4101" width="12.28515625" style="52" customWidth="1"/>
    <col min="4102" max="4102" width="11.140625" style="52" customWidth="1"/>
    <col min="4103" max="4103" width="9.7109375" style="52" customWidth="1"/>
    <col min="4104" max="4104" width="13.28515625" style="52" customWidth="1"/>
    <col min="4105" max="4105" width="14.42578125" style="52" customWidth="1"/>
    <col min="4106" max="4352" width="11.42578125" style="52"/>
    <col min="4353" max="4353" width="13.140625" style="52" customWidth="1"/>
    <col min="4354" max="4354" width="11" style="52" customWidth="1"/>
    <col min="4355" max="4355" width="13.140625" style="52" customWidth="1"/>
    <col min="4356" max="4356" width="10" style="52" customWidth="1"/>
    <col min="4357" max="4357" width="12.28515625" style="52" customWidth="1"/>
    <col min="4358" max="4358" width="11.140625" style="52" customWidth="1"/>
    <col min="4359" max="4359" width="9.7109375" style="52" customWidth="1"/>
    <col min="4360" max="4360" width="13.28515625" style="52" customWidth="1"/>
    <col min="4361" max="4361" width="14.42578125" style="52" customWidth="1"/>
    <col min="4362" max="4608" width="11.42578125" style="52"/>
    <col min="4609" max="4609" width="13.140625" style="52" customWidth="1"/>
    <col min="4610" max="4610" width="11" style="52" customWidth="1"/>
    <col min="4611" max="4611" width="13.140625" style="52" customWidth="1"/>
    <col min="4612" max="4612" width="10" style="52" customWidth="1"/>
    <col min="4613" max="4613" width="12.28515625" style="52" customWidth="1"/>
    <col min="4614" max="4614" width="11.140625" style="52" customWidth="1"/>
    <col min="4615" max="4615" width="9.7109375" style="52" customWidth="1"/>
    <col min="4616" max="4616" width="13.28515625" style="52" customWidth="1"/>
    <col min="4617" max="4617" width="14.42578125" style="52" customWidth="1"/>
    <col min="4618" max="4864" width="11.42578125" style="52"/>
    <col min="4865" max="4865" width="13.140625" style="52" customWidth="1"/>
    <col min="4866" max="4866" width="11" style="52" customWidth="1"/>
    <col min="4867" max="4867" width="13.140625" style="52" customWidth="1"/>
    <col min="4868" max="4868" width="10" style="52" customWidth="1"/>
    <col min="4869" max="4869" width="12.28515625" style="52" customWidth="1"/>
    <col min="4870" max="4870" width="11.140625" style="52" customWidth="1"/>
    <col min="4871" max="4871" width="9.7109375" style="52" customWidth="1"/>
    <col min="4872" max="4872" width="13.28515625" style="52" customWidth="1"/>
    <col min="4873" max="4873" width="14.42578125" style="52" customWidth="1"/>
    <col min="4874" max="5120" width="11.42578125" style="52"/>
    <col min="5121" max="5121" width="13.140625" style="52" customWidth="1"/>
    <col min="5122" max="5122" width="11" style="52" customWidth="1"/>
    <col min="5123" max="5123" width="13.140625" style="52" customWidth="1"/>
    <col min="5124" max="5124" width="10" style="52" customWidth="1"/>
    <col min="5125" max="5125" width="12.28515625" style="52" customWidth="1"/>
    <col min="5126" max="5126" width="11.140625" style="52" customWidth="1"/>
    <col min="5127" max="5127" width="9.7109375" style="52" customWidth="1"/>
    <col min="5128" max="5128" width="13.28515625" style="52" customWidth="1"/>
    <col min="5129" max="5129" width="14.42578125" style="52" customWidth="1"/>
    <col min="5130" max="5376" width="11.42578125" style="52"/>
    <col min="5377" max="5377" width="13.140625" style="52" customWidth="1"/>
    <col min="5378" max="5378" width="11" style="52" customWidth="1"/>
    <col min="5379" max="5379" width="13.140625" style="52" customWidth="1"/>
    <col min="5380" max="5380" width="10" style="52" customWidth="1"/>
    <col min="5381" max="5381" width="12.28515625" style="52" customWidth="1"/>
    <col min="5382" max="5382" width="11.140625" style="52" customWidth="1"/>
    <col min="5383" max="5383" width="9.7109375" style="52" customWidth="1"/>
    <col min="5384" max="5384" width="13.28515625" style="52" customWidth="1"/>
    <col min="5385" max="5385" width="14.42578125" style="52" customWidth="1"/>
    <col min="5386" max="5632" width="11.42578125" style="52"/>
    <col min="5633" max="5633" width="13.140625" style="52" customWidth="1"/>
    <col min="5634" max="5634" width="11" style="52" customWidth="1"/>
    <col min="5635" max="5635" width="13.140625" style="52" customWidth="1"/>
    <col min="5636" max="5636" width="10" style="52" customWidth="1"/>
    <col min="5637" max="5637" width="12.28515625" style="52" customWidth="1"/>
    <col min="5638" max="5638" width="11.140625" style="52" customWidth="1"/>
    <col min="5639" max="5639" width="9.7109375" style="52" customWidth="1"/>
    <col min="5640" max="5640" width="13.28515625" style="52" customWidth="1"/>
    <col min="5641" max="5641" width="14.42578125" style="52" customWidth="1"/>
    <col min="5642" max="5888" width="11.42578125" style="52"/>
    <col min="5889" max="5889" width="13.140625" style="52" customWidth="1"/>
    <col min="5890" max="5890" width="11" style="52" customWidth="1"/>
    <col min="5891" max="5891" width="13.140625" style="52" customWidth="1"/>
    <col min="5892" max="5892" width="10" style="52" customWidth="1"/>
    <col min="5893" max="5893" width="12.28515625" style="52" customWidth="1"/>
    <col min="5894" max="5894" width="11.140625" style="52" customWidth="1"/>
    <col min="5895" max="5895" width="9.7109375" style="52" customWidth="1"/>
    <col min="5896" max="5896" width="13.28515625" style="52" customWidth="1"/>
    <col min="5897" max="5897" width="14.42578125" style="52" customWidth="1"/>
    <col min="5898" max="6144" width="11.42578125" style="52"/>
    <col min="6145" max="6145" width="13.140625" style="52" customWidth="1"/>
    <col min="6146" max="6146" width="11" style="52" customWidth="1"/>
    <col min="6147" max="6147" width="13.140625" style="52" customWidth="1"/>
    <col min="6148" max="6148" width="10" style="52" customWidth="1"/>
    <col min="6149" max="6149" width="12.28515625" style="52" customWidth="1"/>
    <col min="6150" max="6150" width="11.140625" style="52" customWidth="1"/>
    <col min="6151" max="6151" width="9.7109375" style="52" customWidth="1"/>
    <col min="6152" max="6152" width="13.28515625" style="52" customWidth="1"/>
    <col min="6153" max="6153" width="14.42578125" style="52" customWidth="1"/>
    <col min="6154" max="6400" width="11.42578125" style="52"/>
    <col min="6401" max="6401" width="13.140625" style="52" customWidth="1"/>
    <col min="6402" max="6402" width="11" style="52" customWidth="1"/>
    <col min="6403" max="6403" width="13.140625" style="52" customWidth="1"/>
    <col min="6404" max="6404" width="10" style="52" customWidth="1"/>
    <col min="6405" max="6405" width="12.28515625" style="52" customWidth="1"/>
    <col min="6406" max="6406" width="11.140625" style="52" customWidth="1"/>
    <col min="6407" max="6407" width="9.7109375" style="52" customWidth="1"/>
    <col min="6408" max="6408" width="13.28515625" style="52" customWidth="1"/>
    <col min="6409" max="6409" width="14.42578125" style="52" customWidth="1"/>
    <col min="6410" max="6656" width="11.42578125" style="52"/>
    <col min="6657" max="6657" width="13.140625" style="52" customWidth="1"/>
    <col min="6658" max="6658" width="11" style="52" customWidth="1"/>
    <col min="6659" max="6659" width="13.140625" style="52" customWidth="1"/>
    <col min="6660" max="6660" width="10" style="52" customWidth="1"/>
    <col min="6661" max="6661" width="12.28515625" style="52" customWidth="1"/>
    <col min="6662" max="6662" width="11.140625" style="52" customWidth="1"/>
    <col min="6663" max="6663" width="9.7109375" style="52" customWidth="1"/>
    <col min="6664" max="6664" width="13.28515625" style="52" customWidth="1"/>
    <col min="6665" max="6665" width="14.42578125" style="52" customWidth="1"/>
    <col min="6666" max="6912" width="11.42578125" style="52"/>
    <col min="6913" max="6913" width="13.140625" style="52" customWidth="1"/>
    <col min="6914" max="6914" width="11" style="52" customWidth="1"/>
    <col min="6915" max="6915" width="13.140625" style="52" customWidth="1"/>
    <col min="6916" max="6916" width="10" style="52" customWidth="1"/>
    <col min="6917" max="6917" width="12.28515625" style="52" customWidth="1"/>
    <col min="6918" max="6918" width="11.140625" style="52" customWidth="1"/>
    <col min="6919" max="6919" width="9.7109375" style="52" customWidth="1"/>
    <col min="6920" max="6920" width="13.28515625" style="52" customWidth="1"/>
    <col min="6921" max="6921" width="14.42578125" style="52" customWidth="1"/>
    <col min="6922" max="7168" width="11.42578125" style="52"/>
    <col min="7169" max="7169" width="13.140625" style="52" customWidth="1"/>
    <col min="7170" max="7170" width="11" style="52" customWidth="1"/>
    <col min="7171" max="7171" width="13.140625" style="52" customWidth="1"/>
    <col min="7172" max="7172" width="10" style="52" customWidth="1"/>
    <col min="7173" max="7173" width="12.28515625" style="52" customWidth="1"/>
    <col min="7174" max="7174" width="11.140625" style="52" customWidth="1"/>
    <col min="7175" max="7175" width="9.7109375" style="52" customWidth="1"/>
    <col min="7176" max="7176" width="13.28515625" style="52" customWidth="1"/>
    <col min="7177" max="7177" width="14.42578125" style="52" customWidth="1"/>
    <col min="7178" max="7424" width="11.42578125" style="52"/>
    <col min="7425" max="7425" width="13.140625" style="52" customWidth="1"/>
    <col min="7426" max="7426" width="11" style="52" customWidth="1"/>
    <col min="7427" max="7427" width="13.140625" style="52" customWidth="1"/>
    <col min="7428" max="7428" width="10" style="52" customWidth="1"/>
    <col min="7429" max="7429" width="12.28515625" style="52" customWidth="1"/>
    <col min="7430" max="7430" width="11.140625" style="52" customWidth="1"/>
    <col min="7431" max="7431" width="9.7109375" style="52" customWidth="1"/>
    <col min="7432" max="7432" width="13.28515625" style="52" customWidth="1"/>
    <col min="7433" max="7433" width="14.42578125" style="52" customWidth="1"/>
    <col min="7434" max="7680" width="11.42578125" style="52"/>
    <col min="7681" max="7681" width="13.140625" style="52" customWidth="1"/>
    <col min="7682" max="7682" width="11" style="52" customWidth="1"/>
    <col min="7683" max="7683" width="13.140625" style="52" customWidth="1"/>
    <col min="7684" max="7684" width="10" style="52" customWidth="1"/>
    <col min="7685" max="7685" width="12.28515625" style="52" customWidth="1"/>
    <col min="7686" max="7686" width="11.140625" style="52" customWidth="1"/>
    <col min="7687" max="7687" width="9.7109375" style="52" customWidth="1"/>
    <col min="7688" max="7688" width="13.28515625" style="52" customWidth="1"/>
    <col min="7689" max="7689" width="14.42578125" style="52" customWidth="1"/>
    <col min="7690" max="7936" width="11.42578125" style="52"/>
    <col min="7937" max="7937" width="13.140625" style="52" customWidth="1"/>
    <col min="7938" max="7938" width="11" style="52" customWidth="1"/>
    <col min="7939" max="7939" width="13.140625" style="52" customWidth="1"/>
    <col min="7940" max="7940" width="10" style="52" customWidth="1"/>
    <col min="7941" max="7941" width="12.28515625" style="52" customWidth="1"/>
    <col min="7942" max="7942" width="11.140625" style="52" customWidth="1"/>
    <col min="7943" max="7943" width="9.7109375" style="52" customWidth="1"/>
    <col min="7944" max="7944" width="13.28515625" style="52" customWidth="1"/>
    <col min="7945" max="7945" width="14.42578125" style="52" customWidth="1"/>
    <col min="7946" max="8192" width="11.42578125" style="52"/>
    <col min="8193" max="8193" width="13.140625" style="52" customWidth="1"/>
    <col min="8194" max="8194" width="11" style="52" customWidth="1"/>
    <col min="8195" max="8195" width="13.140625" style="52" customWidth="1"/>
    <col min="8196" max="8196" width="10" style="52" customWidth="1"/>
    <col min="8197" max="8197" width="12.28515625" style="52" customWidth="1"/>
    <col min="8198" max="8198" width="11.140625" style="52" customWidth="1"/>
    <col min="8199" max="8199" width="9.7109375" style="52" customWidth="1"/>
    <col min="8200" max="8200" width="13.28515625" style="52" customWidth="1"/>
    <col min="8201" max="8201" width="14.42578125" style="52" customWidth="1"/>
    <col min="8202" max="8448" width="11.42578125" style="52"/>
    <col min="8449" max="8449" width="13.140625" style="52" customWidth="1"/>
    <col min="8450" max="8450" width="11" style="52" customWidth="1"/>
    <col min="8451" max="8451" width="13.140625" style="52" customWidth="1"/>
    <col min="8452" max="8452" width="10" style="52" customWidth="1"/>
    <col min="8453" max="8453" width="12.28515625" style="52" customWidth="1"/>
    <col min="8454" max="8454" width="11.140625" style="52" customWidth="1"/>
    <col min="8455" max="8455" width="9.7109375" style="52" customWidth="1"/>
    <col min="8456" max="8456" width="13.28515625" style="52" customWidth="1"/>
    <col min="8457" max="8457" width="14.42578125" style="52" customWidth="1"/>
    <col min="8458" max="8704" width="11.42578125" style="52"/>
    <col min="8705" max="8705" width="13.140625" style="52" customWidth="1"/>
    <col min="8706" max="8706" width="11" style="52" customWidth="1"/>
    <col min="8707" max="8707" width="13.140625" style="52" customWidth="1"/>
    <col min="8708" max="8708" width="10" style="52" customWidth="1"/>
    <col min="8709" max="8709" width="12.28515625" style="52" customWidth="1"/>
    <col min="8710" max="8710" width="11.140625" style="52" customWidth="1"/>
    <col min="8711" max="8711" width="9.7109375" style="52" customWidth="1"/>
    <col min="8712" max="8712" width="13.28515625" style="52" customWidth="1"/>
    <col min="8713" max="8713" width="14.42578125" style="52" customWidth="1"/>
    <col min="8714" max="8960" width="11.42578125" style="52"/>
    <col min="8961" max="8961" width="13.140625" style="52" customWidth="1"/>
    <col min="8962" max="8962" width="11" style="52" customWidth="1"/>
    <col min="8963" max="8963" width="13.140625" style="52" customWidth="1"/>
    <col min="8964" max="8964" width="10" style="52" customWidth="1"/>
    <col min="8965" max="8965" width="12.28515625" style="52" customWidth="1"/>
    <col min="8966" max="8966" width="11.140625" style="52" customWidth="1"/>
    <col min="8967" max="8967" width="9.7109375" style="52" customWidth="1"/>
    <col min="8968" max="8968" width="13.28515625" style="52" customWidth="1"/>
    <col min="8969" max="8969" width="14.42578125" style="52" customWidth="1"/>
    <col min="8970" max="9216" width="11.42578125" style="52"/>
    <col min="9217" max="9217" width="13.140625" style="52" customWidth="1"/>
    <col min="9218" max="9218" width="11" style="52" customWidth="1"/>
    <col min="9219" max="9219" width="13.140625" style="52" customWidth="1"/>
    <col min="9220" max="9220" width="10" style="52" customWidth="1"/>
    <col min="9221" max="9221" width="12.28515625" style="52" customWidth="1"/>
    <col min="9222" max="9222" width="11.140625" style="52" customWidth="1"/>
    <col min="9223" max="9223" width="9.7109375" style="52" customWidth="1"/>
    <col min="9224" max="9224" width="13.28515625" style="52" customWidth="1"/>
    <col min="9225" max="9225" width="14.42578125" style="52" customWidth="1"/>
    <col min="9226" max="9472" width="11.42578125" style="52"/>
    <col min="9473" max="9473" width="13.140625" style="52" customWidth="1"/>
    <col min="9474" max="9474" width="11" style="52" customWidth="1"/>
    <col min="9475" max="9475" width="13.140625" style="52" customWidth="1"/>
    <col min="9476" max="9476" width="10" style="52" customWidth="1"/>
    <col min="9477" max="9477" width="12.28515625" style="52" customWidth="1"/>
    <col min="9478" max="9478" width="11.140625" style="52" customWidth="1"/>
    <col min="9479" max="9479" width="9.7109375" style="52" customWidth="1"/>
    <col min="9480" max="9480" width="13.28515625" style="52" customWidth="1"/>
    <col min="9481" max="9481" width="14.42578125" style="52" customWidth="1"/>
    <col min="9482" max="9728" width="11.42578125" style="52"/>
    <col min="9729" max="9729" width="13.140625" style="52" customWidth="1"/>
    <col min="9730" max="9730" width="11" style="52" customWidth="1"/>
    <col min="9731" max="9731" width="13.140625" style="52" customWidth="1"/>
    <col min="9732" max="9732" width="10" style="52" customWidth="1"/>
    <col min="9733" max="9733" width="12.28515625" style="52" customWidth="1"/>
    <col min="9734" max="9734" width="11.140625" style="52" customWidth="1"/>
    <col min="9735" max="9735" width="9.7109375" style="52" customWidth="1"/>
    <col min="9736" max="9736" width="13.28515625" style="52" customWidth="1"/>
    <col min="9737" max="9737" width="14.42578125" style="52" customWidth="1"/>
    <col min="9738" max="9984" width="11.42578125" style="52"/>
    <col min="9985" max="9985" width="13.140625" style="52" customWidth="1"/>
    <col min="9986" max="9986" width="11" style="52" customWidth="1"/>
    <col min="9987" max="9987" width="13.140625" style="52" customWidth="1"/>
    <col min="9988" max="9988" width="10" style="52" customWidth="1"/>
    <col min="9989" max="9989" width="12.28515625" style="52" customWidth="1"/>
    <col min="9990" max="9990" width="11.140625" style="52" customWidth="1"/>
    <col min="9991" max="9991" width="9.7109375" style="52" customWidth="1"/>
    <col min="9992" max="9992" width="13.28515625" style="52" customWidth="1"/>
    <col min="9993" max="9993" width="14.42578125" style="52" customWidth="1"/>
    <col min="9994" max="10240" width="11.42578125" style="52"/>
    <col min="10241" max="10241" width="13.140625" style="52" customWidth="1"/>
    <col min="10242" max="10242" width="11" style="52" customWidth="1"/>
    <col min="10243" max="10243" width="13.140625" style="52" customWidth="1"/>
    <col min="10244" max="10244" width="10" style="52" customWidth="1"/>
    <col min="10245" max="10245" width="12.28515625" style="52" customWidth="1"/>
    <col min="10246" max="10246" width="11.140625" style="52" customWidth="1"/>
    <col min="10247" max="10247" width="9.7109375" style="52" customWidth="1"/>
    <col min="10248" max="10248" width="13.28515625" style="52" customWidth="1"/>
    <col min="10249" max="10249" width="14.42578125" style="52" customWidth="1"/>
    <col min="10250" max="10496" width="11.42578125" style="52"/>
    <col min="10497" max="10497" width="13.140625" style="52" customWidth="1"/>
    <col min="10498" max="10498" width="11" style="52" customWidth="1"/>
    <col min="10499" max="10499" width="13.140625" style="52" customWidth="1"/>
    <col min="10500" max="10500" width="10" style="52" customWidth="1"/>
    <col min="10501" max="10501" width="12.28515625" style="52" customWidth="1"/>
    <col min="10502" max="10502" width="11.140625" style="52" customWidth="1"/>
    <col min="10503" max="10503" width="9.7109375" style="52" customWidth="1"/>
    <col min="10504" max="10504" width="13.28515625" style="52" customWidth="1"/>
    <col min="10505" max="10505" width="14.42578125" style="52" customWidth="1"/>
    <col min="10506" max="10752" width="11.42578125" style="52"/>
    <col min="10753" max="10753" width="13.140625" style="52" customWidth="1"/>
    <col min="10754" max="10754" width="11" style="52" customWidth="1"/>
    <col min="10755" max="10755" width="13.140625" style="52" customWidth="1"/>
    <col min="10756" max="10756" width="10" style="52" customWidth="1"/>
    <col min="10757" max="10757" width="12.28515625" style="52" customWidth="1"/>
    <col min="10758" max="10758" width="11.140625" style="52" customWidth="1"/>
    <col min="10759" max="10759" width="9.7109375" style="52" customWidth="1"/>
    <col min="10760" max="10760" width="13.28515625" style="52" customWidth="1"/>
    <col min="10761" max="10761" width="14.42578125" style="52" customWidth="1"/>
    <col min="10762" max="11008" width="11.42578125" style="52"/>
    <col min="11009" max="11009" width="13.140625" style="52" customWidth="1"/>
    <col min="11010" max="11010" width="11" style="52" customWidth="1"/>
    <col min="11011" max="11011" width="13.140625" style="52" customWidth="1"/>
    <col min="11012" max="11012" width="10" style="52" customWidth="1"/>
    <col min="11013" max="11013" width="12.28515625" style="52" customWidth="1"/>
    <col min="11014" max="11014" width="11.140625" style="52" customWidth="1"/>
    <col min="11015" max="11015" width="9.7109375" style="52" customWidth="1"/>
    <col min="11016" max="11016" width="13.28515625" style="52" customWidth="1"/>
    <col min="11017" max="11017" width="14.42578125" style="52" customWidth="1"/>
    <col min="11018" max="11264" width="11.42578125" style="52"/>
    <col min="11265" max="11265" width="13.140625" style="52" customWidth="1"/>
    <col min="11266" max="11266" width="11" style="52" customWidth="1"/>
    <col min="11267" max="11267" width="13.140625" style="52" customWidth="1"/>
    <col min="11268" max="11268" width="10" style="52" customWidth="1"/>
    <col min="11269" max="11269" width="12.28515625" style="52" customWidth="1"/>
    <col min="11270" max="11270" width="11.140625" style="52" customWidth="1"/>
    <col min="11271" max="11271" width="9.7109375" style="52" customWidth="1"/>
    <col min="11272" max="11272" width="13.28515625" style="52" customWidth="1"/>
    <col min="11273" max="11273" width="14.42578125" style="52" customWidth="1"/>
    <col min="11274" max="11520" width="11.42578125" style="52"/>
    <col min="11521" max="11521" width="13.140625" style="52" customWidth="1"/>
    <col min="11522" max="11522" width="11" style="52" customWidth="1"/>
    <col min="11523" max="11523" width="13.140625" style="52" customWidth="1"/>
    <col min="11524" max="11524" width="10" style="52" customWidth="1"/>
    <col min="11525" max="11525" width="12.28515625" style="52" customWidth="1"/>
    <col min="11526" max="11526" width="11.140625" style="52" customWidth="1"/>
    <col min="11527" max="11527" width="9.7109375" style="52" customWidth="1"/>
    <col min="11528" max="11528" width="13.28515625" style="52" customWidth="1"/>
    <col min="11529" max="11529" width="14.42578125" style="52" customWidth="1"/>
    <col min="11530" max="11776" width="11.42578125" style="52"/>
    <col min="11777" max="11777" width="13.140625" style="52" customWidth="1"/>
    <col min="11778" max="11778" width="11" style="52" customWidth="1"/>
    <col min="11779" max="11779" width="13.140625" style="52" customWidth="1"/>
    <col min="11780" max="11780" width="10" style="52" customWidth="1"/>
    <col min="11781" max="11781" width="12.28515625" style="52" customWidth="1"/>
    <col min="11782" max="11782" width="11.140625" style="52" customWidth="1"/>
    <col min="11783" max="11783" width="9.7109375" style="52" customWidth="1"/>
    <col min="11784" max="11784" width="13.28515625" style="52" customWidth="1"/>
    <col min="11785" max="11785" width="14.42578125" style="52" customWidth="1"/>
    <col min="11786" max="12032" width="11.42578125" style="52"/>
    <col min="12033" max="12033" width="13.140625" style="52" customWidth="1"/>
    <col min="12034" max="12034" width="11" style="52" customWidth="1"/>
    <col min="12035" max="12035" width="13.140625" style="52" customWidth="1"/>
    <col min="12036" max="12036" width="10" style="52" customWidth="1"/>
    <col min="12037" max="12037" width="12.28515625" style="52" customWidth="1"/>
    <col min="12038" max="12038" width="11.140625" style="52" customWidth="1"/>
    <col min="12039" max="12039" width="9.7109375" style="52" customWidth="1"/>
    <col min="12040" max="12040" width="13.28515625" style="52" customWidth="1"/>
    <col min="12041" max="12041" width="14.42578125" style="52" customWidth="1"/>
    <col min="12042" max="12288" width="11.42578125" style="52"/>
    <col min="12289" max="12289" width="13.140625" style="52" customWidth="1"/>
    <col min="12290" max="12290" width="11" style="52" customWidth="1"/>
    <col min="12291" max="12291" width="13.140625" style="52" customWidth="1"/>
    <col min="12292" max="12292" width="10" style="52" customWidth="1"/>
    <col min="12293" max="12293" width="12.28515625" style="52" customWidth="1"/>
    <col min="12294" max="12294" width="11.140625" style="52" customWidth="1"/>
    <col min="12295" max="12295" width="9.7109375" style="52" customWidth="1"/>
    <col min="12296" max="12296" width="13.28515625" style="52" customWidth="1"/>
    <col min="12297" max="12297" width="14.42578125" style="52" customWidth="1"/>
    <col min="12298" max="12544" width="11.42578125" style="52"/>
    <col min="12545" max="12545" width="13.140625" style="52" customWidth="1"/>
    <col min="12546" max="12546" width="11" style="52" customWidth="1"/>
    <col min="12547" max="12547" width="13.140625" style="52" customWidth="1"/>
    <col min="12548" max="12548" width="10" style="52" customWidth="1"/>
    <col min="12549" max="12549" width="12.28515625" style="52" customWidth="1"/>
    <col min="12550" max="12550" width="11.140625" style="52" customWidth="1"/>
    <col min="12551" max="12551" width="9.7109375" style="52" customWidth="1"/>
    <col min="12552" max="12552" width="13.28515625" style="52" customWidth="1"/>
    <col min="12553" max="12553" width="14.42578125" style="52" customWidth="1"/>
    <col min="12554" max="12800" width="11.42578125" style="52"/>
    <col min="12801" max="12801" width="13.140625" style="52" customWidth="1"/>
    <col min="12802" max="12802" width="11" style="52" customWidth="1"/>
    <col min="12803" max="12803" width="13.140625" style="52" customWidth="1"/>
    <col min="12804" max="12804" width="10" style="52" customWidth="1"/>
    <col min="12805" max="12805" width="12.28515625" style="52" customWidth="1"/>
    <col min="12806" max="12806" width="11.140625" style="52" customWidth="1"/>
    <col min="12807" max="12807" width="9.7109375" style="52" customWidth="1"/>
    <col min="12808" max="12808" width="13.28515625" style="52" customWidth="1"/>
    <col min="12809" max="12809" width="14.42578125" style="52" customWidth="1"/>
    <col min="12810" max="13056" width="11.42578125" style="52"/>
    <col min="13057" max="13057" width="13.140625" style="52" customWidth="1"/>
    <col min="13058" max="13058" width="11" style="52" customWidth="1"/>
    <col min="13059" max="13059" width="13.140625" style="52" customWidth="1"/>
    <col min="13060" max="13060" width="10" style="52" customWidth="1"/>
    <col min="13061" max="13061" width="12.28515625" style="52" customWidth="1"/>
    <col min="13062" max="13062" width="11.140625" style="52" customWidth="1"/>
    <col min="13063" max="13063" width="9.7109375" style="52" customWidth="1"/>
    <col min="13064" max="13064" width="13.28515625" style="52" customWidth="1"/>
    <col min="13065" max="13065" width="14.42578125" style="52" customWidth="1"/>
    <col min="13066" max="13312" width="11.42578125" style="52"/>
    <col min="13313" max="13313" width="13.140625" style="52" customWidth="1"/>
    <col min="13314" max="13314" width="11" style="52" customWidth="1"/>
    <col min="13315" max="13315" width="13.140625" style="52" customWidth="1"/>
    <col min="13316" max="13316" width="10" style="52" customWidth="1"/>
    <col min="13317" max="13317" width="12.28515625" style="52" customWidth="1"/>
    <col min="13318" max="13318" width="11.140625" style="52" customWidth="1"/>
    <col min="13319" max="13319" width="9.7109375" style="52" customWidth="1"/>
    <col min="13320" max="13320" width="13.28515625" style="52" customWidth="1"/>
    <col min="13321" max="13321" width="14.42578125" style="52" customWidth="1"/>
    <col min="13322" max="13568" width="11.42578125" style="52"/>
    <col min="13569" max="13569" width="13.140625" style="52" customWidth="1"/>
    <col min="13570" max="13570" width="11" style="52" customWidth="1"/>
    <col min="13571" max="13571" width="13.140625" style="52" customWidth="1"/>
    <col min="13572" max="13572" width="10" style="52" customWidth="1"/>
    <col min="13573" max="13573" width="12.28515625" style="52" customWidth="1"/>
    <col min="13574" max="13574" width="11.140625" style="52" customWidth="1"/>
    <col min="13575" max="13575" width="9.7109375" style="52" customWidth="1"/>
    <col min="13576" max="13576" width="13.28515625" style="52" customWidth="1"/>
    <col min="13577" max="13577" width="14.42578125" style="52" customWidth="1"/>
    <col min="13578" max="13824" width="11.42578125" style="52"/>
    <col min="13825" max="13825" width="13.140625" style="52" customWidth="1"/>
    <col min="13826" max="13826" width="11" style="52" customWidth="1"/>
    <col min="13827" max="13827" width="13.140625" style="52" customWidth="1"/>
    <col min="13828" max="13828" width="10" style="52" customWidth="1"/>
    <col min="13829" max="13829" width="12.28515625" style="52" customWidth="1"/>
    <col min="13830" max="13830" width="11.140625" style="52" customWidth="1"/>
    <col min="13831" max="13831" width="9.7109375" style="52" customWidth="1"/>
    <col min="13832" max="13832" width="13.28515625" style="52" customWidth="1"/>
    <col min="13833" max="13833" width="14.42578125" style="52" customWidth="1"/>
    <col min="13834" max="14080" width="11.42578125" style="52"/>
    <col min="14081" max="14081" width="13.140625" style="52" customWidth="1"/>
    <col min="14082" max="14082" width="11" style="52" customWidth="1"/>
    <col min="14083" max="14083" width="13.140625" style="52" customWidth="1"/>
    <col min="14084" max="14084" width="10" style="52" customWidth="1"/>
    <col min="14085" max="14085" width="12.28515625" style="52" customWidth="1"/>
    <col min="14086" max="14086" width="11.140625" style="52" customWidth="1"/>
    <col min="14087" max="14087" width="9.7109375" style="52" customWidth="1"/>
    <col min="14088" max="14088" width="13.28515625" style="52" customWidth="1"/>
    <col min="14089" max="14089" width="14.42578125" style="52" customWidth="1"/>
    <col min="14090" max="14336" width="11.42578125" style="52"/>
    <col min="14337" max="14337" width="13.140625" style="52" customWidth="1"/>
    <col min="14338" max="14338" width="11" style="52" customWidth="1"/>
    <col min="14339" max="14339" width="13.140625" style="52" customWidth="1"/>
    <col min="14340" max="14340" width="10" style="52" customWidth="1"/>
    <col min="14341" max="14341" width="12.28515625" style="52" customWidth="1"/>
    <col min="14342" max="14342" width="11.140625" style="52" customWidth="1"/>
    <col min="14343" max="14343" width="9.7109375" style="52" customWidth="1"/>
    <col min="14344" max="14344" width="13.28515625" style="52" customWidth="1"/>
    <col min="14345" max="14345" width="14.42578125" style="52" customWidth="1"/>
    <col min="14346" max="14592" width="11.42578125" style="52"/>
    <col min="14593" max="14593" width="13.140625" style="52" customWidth="1"/>
    <col min="14594" max="14594" width="11" style="52" customWidth="1"/>
    <col min="14595" max="14595" width="13.140625" style="52" customWidth="1"/>
    <col min="14596" max="14596" width="10" style="52" customWidth="1"/>
    <col min="14597" max="14597" width="12.28515625" style="52" customWidth="1"/>
    <col min="14598" max="14598" width="11.140625" style="52" customWidth="1"/>
    <col min="14599" max="14599" width="9.7109375" style="52" customWidth="1"/>
    <col min="14600" max="14600" width="13.28515625" style="52" customWidth="1"/>
    <col min="14601" max="14601" width="14.42578125" style="52" customWidth="1"/>
    <col min="14602" max="14848" width="11.42578125" style="52"/>
    <col min="14849" max="14849" width="13.140625" style="52" customWidth="1"/>
    <col min="14850" max="14850" width="11" style="52" customWidth="1"/>
    <col min="14851" max="14851" width="13.140625" style="52" customWidth="1"/>
    <col min="14852" max="14852" width="10" style="52" customWidth="1"/>
    <col min="14853" max="14853" width="12.28515625" style="52" customWidth="1"/>
    <col min="14854" max="14854" width="11.140625" style="52" customWidth="1"/>
    <col min="14855" max="14855" width="9.7109375" style="52" customWidth="1"/>
    <col min="14856" max="14856" width="13.28515625" style="52" customWidth="1"/>
    <col min="14857" max="14857" width="14.42578125" style="52" customWidth="1"/>
    <col min="14858" max="15104" width="11.42578125" style="52"/>
    <col min="15105" max="15105" width="13.140625" style="52" customWidth="1"/>
    <col min="15106" max="15106" width="11" style="52" customWidth="1"/>
    <col min="15107" max="15107" width="13.140625" style="52" customWidth="1"/>
    <col min="15108" max="15108" width="10" style="52" customWidth="1"/>
    <col min="15109" max="15109" width="12.28515625" style="52" customWidth="1"/>
    <col min="15110" max="15110" width="11.140625" style="52" customWidth="1"/>
    <col min="15111" max="15111" width="9.7109375" style="52" customWidth="1"/>
    <col min="15112" max="15112" width="13.28515625" style="52" customWidth="1"/>
    <col min="15113" max="15113" width="14.42578125" style="52" customWidth="1"/>
    <col min="15114" max="15360" width="11.42578125" style="52"/>
    <col min="15361" max="15361" width="13.140625" style="52" customWidth="1"/>
    <col min="15362" max="15362" width="11" style="52" customWidth="1"/>
    <col min="15363" max="15363" width="13.140625" style="52" customWidth="1"/>
    <col min="15364" max="15364" width="10" style="52" customWidth="1"/>
    <col min="15365" max="15365" width="12.28515625" style="52" customWidth="1"/>
    <col min="15366" max="15366" width="11.140625" style="52" customWidth="1"/>
    <col min="15367" max="15367" width="9.7109375" style="52" customWidth="1"/>
    <col min="15368" max="15368" width="13.28515625" style="52" customWidth="1"/>
    <col min="15369" max="15369" width="14.42578125" style="52" customWidth="1"/>
    <col min="15370" max="15616" width="11.42578125" style="52"/>
    <col min="15617" max="15617" width="13.140625" style="52" customWidth="1"/>
    <col min="15618" max="15618" width="11" style="52" customWidth="1"/>
    <col min="15619" max="15619" width="13.140625" style="52" customWidth="1"/>
    <col min="15620" max="15620" width="10" style="52" customWidth="1"/>
    <col min="15621" max="15621" width="12.28515625" style="52" customWidth="1"/>
    <col min="15622" max="15622" width="11.140625" style="52" customWidth="1"/>
    <col min="15623" max="15623" width="9.7109375" style="52" customWidth="1"/>
    <col min="15624" max="15624" width="13.28515625" style="52" customWidth="1"/>
    <col min="15625" max="15625" width="14.42578125" style="52" customWidth="1"/>
    <col min="15626" max="15872" width="11.42578125" style="52"/>
    <col min="15873" max="15873" width="13.140625" style="52" customWidth="1"/>
    <col min="15874" max="15874" width="11" style="52" customWidth="1"/>
    <col min="15875" max="15875" width="13.140625" style="52" customWidth="1"/>
    <col min="15876" max="15876" width="10" style="52" customWidth="1"/>
    <col min="15877" max="15877" width="12.28515625" style="52" customWidth="1"/>
    <col min="15878" max="15878" width="11.140625" style="52" customWidth="1"/>
    <col min="15879" max="15879" width="9.7109375" style="52" customWidth="1"/>
    <col min="15880" max="15880" width="13.28515625" style="52" customWidth="1"/>
    <col min="15881" max="15881" width="14.42578125" style="52" customWidth="1"/>
    <col min="15882" max="16128" width="11.42578125" style="52"/>
    <col min="16129" max="16129" width="13.140625" style="52" customWidth="1"/>
    <col min="16130" max="16130" width="11" style="52" customWidth="1"/>
    <col min="16131" max="16131" width="13.140625" style="52" customWidth="1"/>
    <col min="16132" max="16132" width="10" style="52" customWidth="1"/>
    <col min="16133" max="16133" width="12.28515625" style="52" customWidth="1"/>
    <col min="16134" max="16134" width="11.140625" style="52" customWidth="1"/>
    <col min="16135" max="16135" width="9.7109375" style="52" customWidth="1"/>
    <col min="16136" max="16136" width="13.28515625" style="52" customWidth="1"/>
    <col min="16137" max="16137" width="14.42578125" style="52" customWidth="1"/>
    <col min="16138" max="16384" width="11.42578125" style="52"/>
  </cols>
  <sheetData>
    <row r="1" spans="1:9" s="140" customFormat="1" ht="17.45" customHeight="1">
      <c r="A1" s="102"/>
      <c r="B1" s="102"/>
      <c r="C1" s="157" t="s">
        <v>513</v>
      </c>
      <c r="D1" s="102"/>
      <c r="E1" s="102"/>
      <c r="F1" s="102"/>
      <c r="G1" s="102"/>
      <c r="H1" s="102"/>
      <c r="I1" s="103"/>
    </row>
    <row r="2" spans="1:9" s="140" customFormat="1" ht="17.45" customHeight="1">
      <c r="A2" s="102"/>
      <c r="B2" s="102"/>
      <c r="C2" s="157" t="s">
        <v>514</v>
      </c>
      <c r="D2" s="102"/>
      <c r="E2" s="102"/>
      <c r="F2" s="102"/>
      <c r="G2" s="102"/>
      <c r="H2" s="102"/>
      <c r="I2" s="103"/>
    </row>
    <row r="3" spans="1:9" s="140" customFormat="1" ht="17.45" customHeight="1">
      <c r="A3" s="102"/>
      <c r="B3" s="102"/>
      <c r="C3" s="157" t="s">
        <v>515</v>
      </c>
      <c r="D3" s="102"/>
      <c r="E3" s="102"/>
      <c r="F3" s="102"/>
      <c r="G3" s="102"/>
      <c r="H3" s="102"/>
      <c r="I3" s="103"/>
    </row>
    <row r="4" spans="1:9" s="140" customFormat="1" ht="17.45" customHeight="1">
      <c r="A4" s="102"/>
      <c r="B4" s="102"/>
      <c r="C4" s="158" t="s">
        <v>516</v>
      </c>
      <c r="D4" s="102"/>
      <c r="E4" s="102"/>
      <c r="F4" s="102"/>
      <c r="G4" s="102"/>
      <c r="H4" s="102"/>
      <c r="I4" s="103"/>
    </row>
    <row r="5" spans="1:9" s="140" customFormat="1" ht="14.45" customHeight="1">
      <c r="A5" s="102"/>
      <c r="B5" s="102"/>
      <c r="C5" s="159"/>
      <c r="D5" s="102"/>
      <c r="E5" s="102"/>
      <c r="F5" s="102"/>
      <c r="G5" s="102"/>
      <c r="H5" s="102"/>
      <c r="I5" s="103"/>
    </row>
    <row r="6" spans="1:9" s="140" customFormat="1" ht="14.45" customHeight="1">
      <c r="A6" s="102"/>
      <c r="B6" s="102"/>
      <c r="C6" s="102"/>
      <c r="D6" s="102"/>
      <c r="E6" s="102"/>
      <c r="F6" s="102"/>
      <c r="G6" s="102"/>
      <c r="H6" s="102"/>
      <c r="I6" s="103"/>
    </row>
    <row r="7" spans="1:9" ht="24" customHeight="1">
      <c r="A7" s="386" t="s">
        <v>285</v>
      </c>
      <c r="B7" s="386"/>
      <c r="C7" s="386"/>
      <c r="D7" s="386"/>
      <c r="E7" s="386"/>
      <c r="F7" s="386"/>
      <c r="G7" s="386"/>
      <c r="H7" s="386"/>
      <c r="I7" s="386"/>
    </row>
    <row r="8" spans="1:9" ht="60.4" customHeight="1">
      <c r="A8" s="387" t="s">
        <v>598</v>
      </c>
      <c r="B8" s="387"/>
      <c r="C8" s="387"/>
      <c r="D8" s="387"/>
      <c r="E8" s="387"/>
      <c r="F8" s="387"/>
      <c r="G8" s="387"/>
      <c r="H8" s="387"/>
      <c r="I8" s="387"/>
    </row>
    <row r="9" spans="1:9" ht="14.65" customHeight="1">
      <c r="A9" s="383" t="s">
        <v>286</v>
      </c>
      <c r="B9" s="383"/>
      <c r="C9" s="383"/>
      <c r="D9" s="383"/>
      <c r="E9" s="383"/>
      <c r="F9" s="385" t="s">
        <v>567</v>
      </c>
      <c r="G9" s="385"/>
      <c r="H9" s="385"/>
      <c r="I9" s="385"/>
    </row>
    <row r="10" spans="1:9" ht="14.65" customHeight="1">
      <c r="A10" s="383" t="s">
        <v>287</v>
      </c>
      <c r="B10" s="383"/>
      <c r="C10" s="383"/>
      <c r="D10" s="383"/>
      <c r="E10" s="383"/>
      <c r="F10" s="385" t="s">
        <v>599</v>
      </c>
      <c r="G10" s="385"/>
      <c r="H10" s="385"/>
      <c r="I10" s="385"/>
    </row>
    <row r="11" spans="1:9" ht="14.65" customHeight="1">
      <c r="A11" s="388" t="s">
        <v>568</v>
      </c>
      <c r="B11" s="389"/>
      <c r="C11" s="389"/>
      <c r="D11" s="389"/>
      <c r="E11" s="390"/>
      <c r="F11" s="384">
        <v>44484</v>
      </c>
      <c r="G11" s="385"/>
      <c r="H11" s="385"/>
      <c r="I11" s="385"/>
    </row>
    <row r="12" spans="1:9" ht="15.75" customHeight="1">
      <c r="A12" s="382" t="s">
        <v>288</v>
      </c>
      <c r="B12" s="382"/>
      <c r="C12" s="382"/>
      <c r="D12" s="382"/>
      <c r="E12" s="382"/>
      <c r="F12" s="382"/>
      <c r="G12" s="382"/>
      <c r="H12" s="382"/>
      <c r="I12" s="382"/>
    </row>
    <row r="13" spans="1:9" ht="14.65" customHeight="1">
      <c r="A13" s="58" t="s">
        <v>289</v>
      </c>
      <c r="B13" s="383" t="s">
        <v>290</v>
      </c>
      <c r="C13" s="383"/>
      <c r="D13" s="383"/>
      <c r="E13" s="383"/>
      <c r="F13" s="383"/>
      <c r="G13" s="383"/>
      <c r="H13" s="384"/>
      <c r="I13" s="384"/>
    </row>
    <row r="14" spans="1:9" ht="14.65" customHeight="1">
      <c r="A14" s="58" t="s">
        <v>291</v>
      </c>
      <c r="B14" s="383" t="s">
        <v>292</v>
      </c>
      <c r="C14" s="383"/>
      <c r="D14" s="383"/>
      <c r="E14" s="383"/>
      <c r="F14" s="383"/>
      <c r="G14" s="383"/>
      <c r="H14" s="385" t="s">
        <v>500</v>
      </c>
      <c r="I14" s="385"/>
    </row>
    <row r="15" spans="1:9" ht="13.15" customHeight="1">
      <c r="A15" s="58" t="s">
        <v>293</v>
      </c>
      <c r="B15" s="383" t="s">
        <v>294</v>
      </c>
      <c r="C15" s="383"/>
      <c r="D15" s="383"/>
      <c r="E15" s="383"/>
      <c r="F15" s="383"/>
      <c r="G15" s="383"/>
      <c r="H15" s="394" t="s">
        <v>517</v>
      </c>
      <c r="I15" s="394"/>
    </row>
    <row r="16" spans="1:9">
      <c r="A16" s="101" t="s">
        <v>295</v>
      </c>
      <c r="B16" s="383" t="s">
        <v>333</v>
      </c>
      <c r="C16" s="383"/>
      <c r="D16" s="383"/>
      <c r="E16" s="383"/>
      <c r="F16" s="383"/>
      <c r="G16" s="383"/>
      <c r="H16" s="395" t="s">
        <v>538</v>
      </c>
      <c r="I16" s="395"/>
    </row>
    <row r="17" spans="1:9" ht="14.65" customHeight="1">
      <c r="A17" s="58" t="s">
        <v>343</v>
      </c>
      <c r="B17" s="383" t="s">
        <v>296</v>
      </c>
      <c r="C17" s="383"/>
      <c r="D17" s="383"/>
      <c r="E17" s="383"/>
      <c r="F17" s="383"/>
      <c r="G17" s="383"/>
      <c r="H17" s="395">
        <v>12</v>
      </c>
      <c r="I17" s="395"/>
    </row>
    <row r="18" spans="1:9" ht="15.75" customHeight="1">
      <c r="A18" s="396" t="s">
        <v>297</v>
      </c>
      <c r="B18" s="396"/>
      <c r="C18" s="396"/>
      <c r="D18" s="396"/>
      <c r="E18" s="396"/>
      <c r="F18" s="396"/>
      <c r="G18" s="396"/>
      <c r="H18" s="396"/>
      <c r="I18" s="396"/>
    </row>
    <row r="19" spans="1:9" ht="47.85" customHeight="1">
      <c r="A19" s="397" t="s">
        <v>298</v>
      </c>
      <c r="B19" s="397"/>
      <c r="C19" s="397"/>
      <c r="D19" s="397"/>
      <c r="E19" s="397"/>
      <c r="F19" s="398" t="s">
        <v>299</v>
      </c>
      <c r="G19" s="398"/>
      <c r="H19" s="398" t="s">
        <v>300</v>
      </c>
      <c r="I19" s="398"/>
    </row>
    <row r="20" spans="1:9" ht="14.65" customHeight="1">
      <c r="A20" s="391" t="s">
        <v>301</v>
      </c>
      <c r="B20" s="391"/>
      <c r="C20" s="391"/>
      <c r="D20" s="391"/>
      <c r="E20" s="391"/>
      <c r="F20" s="392" t="s">
        <v>3</v>
      </c>
      <c r="G20" s="392"/>
      <c r="H20" s="393">
        <f>'Áreas Totais'!C4</f>
        <v>138.30000000000001</v>
      </c>
      <c r="I20" s="393"/>
    </row>
    <row r="21" spans="1:9" ht="14.65" customHeight="1">
      <c r="A21" s="391" t="s">
        <v>302</v>
      </c>
      <c r="B21" s="391"/>
      <c r="C21" s="391"/>
      <c r="D21" s="391"/>
      <c r="E21" s="391"/>
      <c r="F21" s="392" t="s">
        <v>3</v>
      </c>
      <c r="G21" s="392"/>
      <c r="H21" s="393">
        <f>'Áreas Totais'!C5</f>
        <v>7300.19</v>
      </c>
      <c r="I21" s="393"/>
    </row>
    <row r="22" spans="1:9" ht="14.65" customHeight="1">
      <c r="A22" s="391" t="s">
        <v>303</v>
      </c>
      <c r="B22" s="391"/>
      <c r="C22" s="391"/>
      <c r="D22" s="391"/>
      <c r="E22" s="391"/>
      <c r="F22" s="392" t="s">
        <v>3</v>
      </c>
      <c r="G22" s="392"/>
      <c r="H22" s="393">
        <f>'Áreas Totais'!C6</f>
        <v>124.1</v>
      </c>
      <c r="I22" s="393"/>
    </row>
    <row r="23" spans="1:9" ht="14.65" customHeight="1">
      <c r="A23" s="391" t="s">
        <v>304</v>
      </c>
      <c r="B23" s="391"/>
      <c r="C23" s="391"/>
      <c r="D23" s="391"/>
      <c r="E23" s="391"/>
      <c r="F23" s="392" t="s">
        <v>3</v>
      </c>
      <c r="G23" s="392"/>
      <c r="H23" s="393">
        <f>'Áreas Totais'!C7</f>
        <v>307.38</v>
      </c>
      <c r="I23" s="393"/>
    </row>
    <row r="24" spans="1:9" ht="14.65" customHeight="1">
      <c r="A24" s="391" t="s">
        <v>305</v>
      </c>
      <c r="B24" s="391"/>
      <c r="C24" s="391"/>
      <c r="D24" s="391"/>
      <c r="E24" s="391"/>
      <c r="F24" s="392" t="s">
        <v>3</v>
      </c>
      <c r="G24" s="392"/>
      <c r="H24" s="393">
        <f>'Áreas Totais'!C8</f>
        <v>2449.77</v>
      </c>
      <c r="I24" s="393"/>
    </row>
    <row r="25" spans="1:9" ht="14.65" customHeight="1">
      <c r="A25" s="391" t="s">
        <v>306</v>
      </c>
      <c r="B25" s="391" t="s">
        <v>307</v>
      </c>
      <c r="C25" s="391" t="s">
        <v>308</v>
      </c>
      <c r="D25" s="391" t="s">
        <v>309</v>
      </c>
      <c r="E25" s="391" t="s">
        <v>310</v>
      </c>
      <c r="F25" s="392" t="s">
        <v>3</v>
      </c>
      <c r="G25" s="392"/>
      <c r="H25" s="393">
        <f>'Áreas Totais'!C9</f>
        <v>2163.91</v>
      </c>
      <c r="I25" s="393"/>
    </row>
    <row r="26" spans="1:9" ht="14.65" customHeight="1">
      <c r="A26" s="391" t="s">
        <v>311</v>
      </c>
      <c r="B26" s="391"/>
      <c r="C26" s="391"/>
      <c r="D26" s="391"/>
      <c r="E26" s="391"/>
      <c r="F26" s="401" t="s">
        <v>3</v>
      </c>
      <c r="G26" s="401"/>
      <c r="H26" s="393">
        <f>'Áreas Totais'!C10</f>
        <v>526.21</v>
      </c>
      <c r="I26" s="393"/>
    </row>
    <row r="27" spans="1:9" ht="14.65" customHeight="1">
      <c r="A27" s="402" t="s">
        <v>121</v>
      </c>
      <c r="B27" s="402"/>
      <c r="C27" s="402"/>
      <c r="D27" s="402"/>
      <c r="E27" s="402"/>
      <c r="F27" s="402"/>
      <c r="G27" s="402"/>
      <c r="H27" s="403">
        <f>ROUND(H20+H21+H22+H23+H24+H25+H26,2)</f>
        <v>13009.86</v>
      </c>
      <c r="I27" s="403"/>
    </row>
    <row r="28" spans="1:9" ht="14.65" customHeight="1">
      <c r="A28" s="404"/>
      <c r="B28" s="404"/>
      <c r="C28" s="404"/>
      <c r="D28" s="404"/>
      <c r="E28" s="404"/>
      <c r="F28" s="404"/>
      <c r="G28" s="404"/>
      <c r="H28" s="404"/>
      <c r="I28" s="404"/>
    </row>
    <row r="29" spans="1:9" ht="25.35" customHeight="1">
      <c r="A29" s="391" t="s">
        <v>312</v>
      </c>
      <c r="B29" s="391"/>
      <c r="C29" s="391"/>
      <c r="D29" s="391"/>
      <c r="E29" s="391"/>
      <c r="F29" s="392" t="s">
        <v>3</v>
      </c>
      <c r="G29" s="392"/>
      <c r="H29" s="399">
        <f>'Áreas Totais'!C11</f>
        <v>1065.8699999999999</v>
      </c>
      <c r="I29" s="399"/>
    </row>
    <row r="30" spans="1:9" ht="14.65" customHeight="1">
      <c r="A30" s="391" t="s">
        <v>313</v>
      </c>
      <c r="B30" s="391"/>
      <c r="C30" s="391"/>
      <c r="D30" s="391"/>
      <c r="E30" s="391"/>
      <c r="F30" s="400" t="s">
        <v>3</v>
      </c>
      <c r="G30" s="400"/>
      <c r="H30" s="399">
        <f>'Áreas Totais'!C12</f>
        <v>623.59</v>
      </c>
      <c r="I30" s="399"/>
    </row>
    <row r="31" spans="1:9" ht="14.65" customHeight="1">
      <c r="A31" s="391" t="s">
        <v>314</v>
      </c>
      <c r="B31" s="391"/>
      <c r="C31" s="391"/>
      <c r="D31" s="391"/>
      <c r="E31" s="391"/>
      <c r="F31" s="392" t="s">
        <v>3</v>
      </c>
      <c r="G31" s="392"/>
      <c r="H31" s="399">
        <f>'Áreas Totais'!C13</f>
        <v>0</v>
      </c>
      <c r="I31" s="399"/>
    </row>
    <row r="32" spans="1:9" ht="14.65" customHeight="1">
      <c r="A32" s="391" t="s">
        <v>315</v>
      </c>
      <c r="B32" s="391"/>
      <c r="C32" s="391"/>
      <c r="D32" s="391"/>
      <c r="E32" s="391"/>
      <c r="F32" s="400" t="s">
        <v>3</v>
      </c>
      <c r="G32" s="400"/>
      <c r="H32" s="399">
        <f>'Áreas Totais'!C14</f>
        <v>1417.99</v>
      </c>
      <c r="I32" s="399"/>
    </row>
    <row r="33" spans="1:9" ht="14.65" customHeight="1">
      <c r="A33" s="391" t="s">
        <v>316</v>
      </c>
      <c r="B33" s="391"/>
      <c r="C33" s="391"/>
      <c r="D33" s="391"/>
      <c r="E33" s="391"/>
      <c r="F33" s="400" t="s">
        <v>3</v>
      </c>
      <c r="G33" s="400"/>
      <c r="H33" s="399">
        <f>'Áreas Totais'!C15</f>
        <v>0</v>
      </c>
      <c r="I33" s="399"/>
    </row>
    <row r="34" spans="1:9" ht="25.35" customHeight="1">
      <c r="A34" s="391" t="s">
        <v>317</v>
      </c>
      <c r="B34" s="391"/>
      <c r="C34" s="391"/>
      <c r="D34" s="391"/>
      <c r="E34" s="391"/>
      <c r="F34" s="392" t="s">
        <v>3</v>
      </c>
      <c r="G34" s="392"/>
      <c r="H34" s="399">
        <f>'Áreas Totais'!C16</f>
        <v>0</v>
      </c>
      <c r="I34" s="399"/>
    </row>
    <row r="35" spans="1:9" ht="14.65" customHeight="1">
      <c r="A35" s="402" t="s">
        <v>122</v>
      </c>
      <c r="B35" s="402"/>
      <c r="C35" s="402"/>
      <c r="D35" s="402"/>
      <c r="E35" s="402"/>
      <c r="F35" s="402"/>
      <c r="G35" s="402"/>
      <c r="H35" s="403">
        <f>ROUND(H29+H30+H31+H32+H33+H34,2)</f>
        <v>3107.45</v>
      </c>
      <c r="I35" s="403"/>
    </row>
    <row r="36" spans="1:9" ht="14.65" customHeight="1">
      <c r="A36" s="404"/>
      <c r="B36" s="404"/>
      <c r="C36" s="404"/>
      <c r="D36" s="404"/>
      <c r="E36" s="404"/>
      <c r="F36" s="404"/>
      <c r="G36" s="404"/>
      <c r="H36" s="404"/>
      <c r="I36" s="404"/>
    </row>
    <row r="37" spans="1:9" ht="25.35" customHeight="1">
      <c r="A37" s="391" t="s">
        <v>318</v>
      </c>
      <c r="B37" s="391"/>
      <c r="C37" s="391"/>
      <c r="D37" s="391"/>
      <c r="E37" s="391"/>
      <c r="F37" s="392" t="s">
        <v>3</v>
      </c>
      <c r="G37" s="392"/>
      <c r="H37" s="399">
        <f>'Áreas Totais'!C17</f>
        <v>308.81</v>
      </c>
      <c r="I37" s="399"/>
    </row>
    <row r="38" spans="1:9" ht="25.35" customHeight="1">
      <c r="A38" s="391" t="s">
        <v>319</v>
      </c>
      <c r="B38" s="391"/>
      <c r="C38" s="391"/>
      <c r="D38" s="391"/>
      <c r="E38" s="391"/>
      <c r="F38" s="392" t="s">
        <v>3</v>
      </c>
      <c r="G38" s="392"/>
      <c r="H38" s="399">
        <f>'Áreas Totais'!C18</f>
        <v>1102.26</v>
      </c>
      <c r="I38" s="399"/>
    </row>
    <row r="39" spans="1:9" ht="14.65" customHeight="1">
      <c r="A39" s="391" t="s">
        <v>320</v>
      </c>
      <c r="B39" s="391"/>
      <c r="C39" s="391"/>
      <c r="D39" s="391"/>
      <c r="E39" s="391"/>
      <c r="F39" s="392" t="s">
        <v>3</v>
      </c>
      <c r="G39" s="392"/>
      <c r="H39" s="399">
        <f>'Áreas Totais'!C19</f>
        <v>1411.06</v>
      </c>
      <c r="I39" s="399"/>
    </row>
    <row r="40" spans="1:9" ht="14.65" customHeight="1">
      <c r="A40" s="409" t="s">
        <v>321</v>
      </c>
      <c r="B40" s="409"/>
      <c r="C40" s="409"/>
      <c r="D40" s="409"/>
      <c r="E40" s="409"/>
      <c r="F40" s="409"/>
      <c r="G40" s="409"/>
      <c r="H40" s="403">
        <f>ROUND(H37+H38+H39,2)</f>
        <v>2822.13</v>
      </c>
      <c r="I40" s="403"/>
    </row>
    <row r="41" spans="1:9" ht="14.65" customHeight="1">
      <c r="A41" s="410"/>
      <c r="B41" s="410"/>
      <c r="C41" s="410"/>
      <c r="D41" s="410"/>
      <c r="E41" s="410"/>
      <c r="F41" s="410"/>
      <c r="G41" s="410"/>
      <c r="H41" s="410"/>
      <c r="I41" s="410"/>
    </row>
    <row r="42" spans="1:9" ht="14.65" customHeight="1">
      <c r="A42" s="407" t="s">
        <v>322</v>
      </c>
      <c r="B42" s="407"/>
      <c r="C42" s="407"/>
      <c r="D42" s="407"/>
      <c r="E42" s="407"/>
      <c r="F42" s="392" t="s">
        <v>3</v>
      </c>
      <c r="G42" s="392"/>
      <c r="H42" s="399">
        <f>'Áreas Totais'!C20</f>
        <v>75.569999999999993</v>
      </c>
      <c r="I42" s="399"/>
    </row>
    <row r="43" spans="1:9" ht="14.65" customHeight="1">
      <c r="A43" s="405" t="s">
        <v>323</v>
      </c>
      <c r="B43" s="405"/>
      <c r="C43" s="405"/>
      <c r="D43" s="405"/>
      <c r="E43" s="405"/>
      <c r="F43" s="405"/>
      <c r="G43" s="405"/>
      <c r="H43" s="403">
        <f>H42</f>
        <v>75.569999999999993</v>
      </c>
      <c r="I43" s="403"/>
    </row>
    <row r="44" spans="1:9" ht="14.65" customHeight="1">
      <c r="A44" s="406"/>
      <c r="B44" s="406"/>
      <c r="C44" s="406"/>
      <c r="D44" s="406"/>
      <c r="E44" s="406"/>
      <c r="F44" s="406"/>
      <c r="G44" s="406"/>
      <c r="H44" s="406"/>
      <c r="I44" s="406"/>
    </row>
    <row r="45" spans="1:9" ht="14.65" customHeight="1">
      <c r="A45" s="407" t="s">
        <v>324</v>
      </c>
      <c r="B45" s="407"/>
      <c r="C45" s="407"/>
      <c r="D45" s="407"/>
      <c r="E45" s="407"/>
      <c r="F45" s="400" t="s">
        <v>3</v>
      </c>
      <c r="G45" s="400"/>
      <c r="H45" s="408">
        <f>'Áreas Totais'!C21</f>
        <v>56.82</v>
      </c>
      <c r="I45" s="408"/>
    </row>
    <row r="46" spans="1:9" ht="14.65" customHeight="1">
      <c r="A46" s="414" t="s">
        <v>502</v>
      </c>
      <c r="B46" s="415"/>
      <c r="C46" s="415"/>
      <c r="D46" s="415"/>
      <c r="E46" s="415"/>
      <c r="F46" s="415"/>
      <c r="G46" s="416"/>
      <c r="H46" s="403">
        <f>H45</f>
        <v>56.82</v>
      </c>
      <c r="I46" s="403"/>
    </row>
    <row r="47" spans="1:9">
      <c r="A47" s="59"/>
      <c r="B47" s="60"/>
      <c r="C47" s="60"/>
      <c r="D47" s="60"/>
      <c r="E47" s="60"/>
      <c r="F47" s="60"/>
      <c r="G47" s="60"/>
      <c r="H47" s="61"/>
      <c r="I47" s="62"/>
    </row>
    <row r="48" spans="1:9" ht="14.65" customHeight="1">
      <c r="A48" s="417" t="s">
        <v>325</v>
      </c>
      <c r="B48" s="417"/>
      <c r="C48" s="417"/>
      <c r="D48" s="417"/>
      <c r="E48" s="417"/>
      <c r="F48" s="400" t="s">
        <v>3</v>
      </c>
      <c r="G48" s="400"/>
      <c r="H48" s="418">
        <v>0</v>
      </c>
      <c r="I48" s="418"/>
    </row>
    <row r="49" spans="1:9" ht="14.65" customHeight="1">
      <c r="A49" s="409" t="s">
        <v>326</v>
      </c>
      <c r="B49" s="409"/>
      <c r="C49" s="409"/>
      <c r="D49" s="409"/>
      <c r="E49" s="409"/>
      <c r="F49" s="409"/>
      <c r="G49" s="409"/>
      <c r="H49" s="419">
        <v>0</v>
      </c>
      <c r="I49" s="419"/>
    </row>
    <row r="50" spans="1:9" ht="14.65" customHeight="1">
      <c r="A50" s="410"/>
      <c r="B50" s="410"/>
      <c r="C50" s="410"/>
      <c r="D50" s="410"/>
      <c r="E50" s="410"/>
      <c r="F50" s="410"/>
      <c r="G50" s="410"/>
      <c r="H50" s="410"/>
      <c r="I50" s="410"/>
    </row>
    <row r="51" spans="1:9" ht="14.65" customHeight="1">
      <c r="A51" s="385" t="s">
        <v>327</v>
      </c>
      <c r="B51" s="385"/>
      <c r="C51" s="385"/>
      <c r="D51" s="385"/>
      <c r="E51" s="385"/>
      <c r="F51" s="385"/>
      <c r="G51" s="385"/>
      <c r="H51" s="411">
        <f>ROUND(H27+H35+H40+H43+H46+H49,2)</f>
        <v>19071.830000000002</v>
      </c>
      <c r="I51" s="411"/>
    </row>
    <row r="52" spans="1:9" ht="14.65" customHeight="1">
      <c r="A52" s="412"/>
      <c r="B52" s="412"/>
      <c r="C52" s="412"/>
      <c r="D52" s="412"/>
      <c r="E52" s="412"/>
      <c r="F52" s="412"/>
      <c r="G52" s="412"/>
      <c r="H52" s="412"/>
      <c r="I52" s="412"/>
    </row>
    <row r="53" spans="1:9" ht="51.75" customHeight="1">
      <c r="A53" s="413" t="s">
        <v>328</v>
      </c>
      <c r="B53" s="413"/>
      <c r="C53" s="413"/>
      <c r="D53" s="413"/>
      <c r="E53" s="413"/>
      <c r="F53" s="413"/>
      <c r="G53" s="413"/>
      <c r="H53" s="413"/>
      <c r="I53" s="413"/>
    </row>
    <row r="54" spans="1:9" ht="14.65" customHeight="1">
      <c r="A54" s="412"/>
      <c r="B54" s="412"/>
      <c r="C54" s="412"/>
      <c r="D54" s="412"/>
      <c r="E54" s="412"/>
      <c r="F54" s="412"/>
      <c r="G54" s="412"/>
      <c r="H54" s="412"/>
      <c r="I54" s="412"/>
    </row>
    <row r="55" spans="1:9" ht="38.25" customHeight="1">
      <c r="A55" s="422" t="s">
        <v>329</v>
      </c>
      <c r="B55" s="422"/>
      <c r="C55" s="422"/>
      <c r="D55" s="422"/>
      <c r="E55" s="422"/>
      <c r="F55" s="422"/>
      <c r="G55" s="422"/>
      <c r="H55" s="422"/>
      <c r="I55" s="422"/>
    </row>
    <row r="56" spans="1:9" ht="20.65" customHeight="1">
      <c r="A56" s="423"/>
      <c r="B56" s="423"/>
      <c r="C56" s="423"/>
      <c r="D56" s="423"/>
      <c r="E56" s="423"/>
      <c r="F56" s="423"/>
      <c r="G56" s="423"/>
      <c r="H56" s="423"/>
      <c r="I56" s="423"/>
    </row>
    <row r="57" spans="1:9" ht="15.75" customHeight="1">
      <c r="A57" s="382" t="s">
        <v>330</v>
      </c>
      <c r="B57" s="382"/>
      <c r="C57" s="382"/>
      <c r="D57" s="382"/>
      <c r="E57" s="382"/>
      <c r="F57" s="382"/>
      <c r="G57" s="382"/>
      <c r="H57" s="382"/>
      <c r="I57" s="382"/>
    </row>
    <row r="58" spans="1:9" ht="15.75" customHeight="1">
      <c r="A58" s="58">
        <v>1</v>
      </c>
      <c r="B58" s="383" t="s">
        <v>331</v>
      </c>
      <c r="C58" s="383"/>
      <c r="D58" s="383"/>
      <c r="E58" s="383"/>
      <c r="F58" s="383"/>
      <c r="G58" s="383"/>
      <c r="H58" s="420" t="s">
        <v>332</v>
      </c>
      <c r="I58" s="420"/>
    </row>
    <row r="59" spans="1:9" ht="15.75" customHeight="1">
      <c r="A59" s="58">
        <v>2</v>
      </c>
      <c r="B59" s="383" t="s">
        <v>333</v>
      </c>
      <c r="C59" s="383"/>
      <c r="D59" s="383"/>
      <c r="E59" s="383"/>
      <c r="F59" s="383"/>
      <c r="G59" s="383"/>
      <c r="H59" s="424">
        <v>5143</v>
      </c>
      <c r="I59" s="424"/>
    </row>
    <row r="60" spans="1:9" ht="15.75" customHeight="1">
      <c r="A60" s="58">
        <v>3</v>
      </c>
      <c r="B60" s="383" t="s">
        <v>334</v>
      </c>
      <c r="C60" s="383"/>
      <c r="D60" s="383"/>
      <c r="E60" s="383"/>
      <c r="F60" s="383"/>
      <c r="G60" s="383"/>
      <c r="H60" s="420">
        <v>1184.93</v>
      </c>
      <c r="I60" s="420"/>
    </row>
    <row r="61" spans="1:9" ht="15.75" customHeight="1">
      <c r="A61" s="58">
        <v>4</v>
      </c>
      <c r="B61" s="383" t="s">
        <v>335</v>
      </c>
      <c r="C61" s="383"/>
      <c r="D61" s="383"/>
      <c r="E61" s="383"/>
      <c r="F61" s="383"/>
      <c r="G61" s="383"/>
      <c r="H61" s="421" t="s">
        <v>336</v>
      </c>
      <c r="I61" s="421"/>
    </row>
    <row r="62" spans="1:9" ht="15.75" customHeight="1">
      <c r="A62" s="58">
        <v>5</v>
      </c>
      <c r="B62" s="383" t="s">
        <v>337</v>
      </c>
      <c r="C62" s="383"/>
      <c r="D62" s="383"/>
      <c r="E62" s="383"/>
      <c r="F62" s="383"/>
      <c r="G62" s="383"/>
      <c r="H62" s="421" t="s">
        <v>501</v>
      </c>
      <c r="I62" s="421"/>
    </row>
    <row r="63" spans="1:9" ht="14.65" customHeight="1">
      <c r="A63" s="406"/>
      <c r="B63" s="406"/>
      <c r="C63" s="406"/>
      <c r="D63" s="406"/>
      <c r="E63" s="406"/>
      <c r="F63" s="406"/>
      <c r="G63" s="406"/>
      <c r="H63" s="406"/>
      <c r="I63" s="406"/>
    </row>
    <row r="64" spans="1:9" ht="23.85" customHeight="1">
      <c r="A64" s="430" t="s">
        <v>338</v>
      </c>
      <c r="B64" s="430"/>
      <c r="C64" s="430"/>
      <c r="D64" s="430"/>
      <c r="E64" s="430"/>
      <c r="F64" s="430"/>
      <c r="G64" s="430"/>
      <c r="H64" s="430"/>
      <c r="I64" s="430"/>
    </row>
    <row r="65" spans="1:9" ht="14.65" customHeight="1">
      <c r="A65" s="431"/>
      <c r="B65" s="431"/>
      <c r="C65" s="431"/>
      <c r="D65" s="431"/>
      <c r="E65" s="431"/>
      <c r="F65" s="431"/>
      <c r="G65" s="431"/>
      <c r="H65" s="431"/>
      <c r="I65" s="431"/>
    </row>
    <row r="66" spans="1:9" ht="17.100000000000001" customHeight="1">
      <c r="A66" s="432" t="s">
        <v>339</v>
      </c>
      <c r="B66" s="432"/>
      <c r="C66" s="432"/>
      <c r="D66" s="432"/>
      <c r="E66" s="432"/>
      <c r="F66" s="432"/>
      <c r="G66" s="432"/>
      <c r="H66" s="432"/>
      <c r="I66" s="432"/>
    </row>
    <row r="67" spans="1:9" ht="28.35" customHeight="1">
      <c r="A67" s="63">
        <v>1</v>
      </c>
      <c r="B67" s="433" t="s">
        <v>340</v>
      </c>
      <c r="C67" s="433"/>
      <c r="D67" s="433"/>
      <c r="E67" s="433"/>
      <c r="F67" s="433"/>
      <c r="G67" s="433"/>
      <c r="H67" s="63" t="s">
        <v>341</v>
      </c>
      <c r="I67" s="63" t="s">
        <v>342</v>
      </c>
    </row>
    <row r="68" spans="1:9" s="14" customFormat="1" ht="26.85" customHeight="1">
      <c r="A68" s="118" t="s">
        <v>289</v>
      </c>
      <c r="B68" s="426" t="s">
        <v>549</v>
      </c>
      <c r="C68" s="426"/>
      <c r="D68" s="426"/>
      <c r="E68" s="426"/>
      <c r="F68" s="426"/>
      <c r="G68" s="426"/>
      <c r="H68" s="426"/>
      <c r="I68" s="189">
        <f>H60</f>
        <v>1184.93</v>
      </c>
    </row>
    <row r="69" spans="1:9" s="14" customFormat="1">
      <c r="A69" s="118" t="s">
        <v>291</v>
      </c>
      <c r="B69" s="425" t="s">
        <v>550</v>
      </c>
      <c r="C69" s="425"/>
      <c r="D69" s="425"/>
      <c r="E69" s="425"/>
      <c r="F69" s="425"/>
      <c r="G69" s="425"/>
      <c r="H69" s="64">
        <v>0.4</v>
      </c>
      <c r="I69" s="125">
        <f>ROUND(H69*I68,2)</f>
        <v>473.97</v>
      </c>
    </row>
    <row r="70" spans="1:9" s="14" customFormat="1" ht="14.65" customHeight="1">
      <c r="A70" s="118" t="s">
        <v>293</v>
      </c>
      <c r="B70" s="426" t="s">
        <v>345</v>
      </c>
      <c r="C70" s="426"/>
      <c r="D70" s="426"/>
      <c r="E70" s="426"/>
      <c r="F70" s="426"/>
      <c r="G70" s="426"/>
      <c r="H70" s="426"/>
      <c r="I70" s="125"/>
    </row>
    <row r="71" spans="1:9" ht="19.149999999999999" customHeight="1">
      <c r="A71" s="427" t="s">
        <v>503</v>
      </c>
      <c r="B71" s="428"/>
      <c r="C71" s="428"/>
      <c r="D71" s="428"/>
      <c r="E71" s="428"/>
      <c r="F71" s="428"/>
      <c r="G71" s="429"/>
      <c r="H71" s="86" t="s">
        <v>7</v>
      </c>
      <c r="I71" s="65">
        <f>SUM(I68:I70)</f>
        <v>1658.9</v>
      </c>
    </row>
    <row r="72" spans="1:9" ht="14.65" customHeight="1">
      <c r="A72" s="439"/>
      <c r="B72" s="439"/>
      <c r="C72" s="439"/>
      <c r="D72" s="439"/>
      <c r="E72" s="439"/>
      <c r="F72" s="439"/>
      <c r="G72" s="439"/>
      <c r="H72" s="439"/>
      <c r="I72" s="439"/>
    </row>
    <row r="73" spans="1:9" ht="14.65" customHeight="1">
      <c r="A73" s="440" t="s">
        <v>346</v>
      </c>
      <c r="B73" s="440"/>
      <c r="C73" s="440"/>
      <c r="D73" s="440"/>
      <c r="E73" s="440"/>
      <c r="F73" s="440"/>
      <c r="G73" s="440"/>
      <c r="H73" s="440"/>
      <c r="I73" s="440"/>
    </row>
    <row r="74" spans="1:9" ht="14.65" customHeight="1">
      <c r="A74" s="441"/>
      <c r="B74" s="441"/>
      <c r="C74" s="441"/>
      <c r="D74" s="441"/>
      <c r="E74" s="441"/>
      <c r="F74" s="441"/>
      <c r="G74" s="441"/>
      <c r="H74" s="441"/>
      <c r="I74" s="441"/>
    </row>
    <row r="75" spans="1:9" ht="17.100000000000001" customHeight="1">
      <c r="A75" s="442" t="s">
        <v>347</v>
      </c>
      <c r="B75" s="442"/>
      <c r="C75" s="442"/>
      <c r="D75" s="442"/>
      <c r="E75" s="442"/>
      <c r="F75" s="442"/>
      <c r="G75" s="442"/>
      <c r="H75" s="442"/>
      <c r="I75" s="442"/>
    </row>
    <row r="76" spans="1:9" ht="15.75" customHeight="1">
      <c r="A76" s="443" t="s">
        <v>539</v>
      </c>
      <c r="B76" s="443"/>
      <c r="C76" s="443"/>
      <c r="D76" s="443"/>
      <c r="E76" s="443"/>
      <c r="F76" s="443"/>
      <c r="G76" s="443"/>
      <c r="H76" s="443"/>
      <c r="I76" s="443"/>
    </row>
    <row r="77" spans="1:9" ht="15.75" customHeight="1">
      <c r="A77" s="66" t="s">
        <v>348</v>
      </c>
      <c r="B77" s="444" t="s">
        <v>540</v>
      </c>
      <c r="C77" s="444"/>
      <c r="D77" s="444"/>
      <c r="E77" s="444"/>
      <c r="F77" s="444"/>
      <c r="G77" s="444"/>
      <c r="H77" s="444"/>
      <c r="I77" s="67" t="s">
        <v>349</v>
      </c>
    </row>
    <row r="78" spans="1:9" ht="14.65" customHeight="1">
      <c r="A78" s="123" t="s">
        <v>289</v>
      </c>
      <c r="B78" s="434" t="s">
        <v>551</v>
      </c>
      <c r="C78" s="434"/>
      <c r="D78" s="434"/>
      <c r="E78" s="434"/>
      <c r="F78" s="434"/>
      <c r="G78" s="434"/>
      <c r="H78" s="434"/>
      <c r="I78" s="124">
        <f>ROUND($I$71/12,2)</f>
        <v>138.24</v>
      </c>
    </row>
    <row r="79" spans="1:9" ht="15.6" customHeight="1">
      <c r="A79" s="123" t="s">
        <v>291</v>
      </c>
      <c r="B79" s="434" t="s">
        <v>552</v>
      </c>
      <c r="C79" s="434"/>
      <c r="D79" s="434"/>
      <c r="E79" s="434"/>
      <c r="F79" s="434"/>
      <c r="G79" s="434"/>
      <c r="H79" s="434"/>
      <c r="I79" s="124">
        <f>ROUND(($I$71/3)/12,2)</f>
        <v>46.08</v>
      </c>
    </row>
    <row r="80" spans="1:9" ht="14.65" customHeight="1">
      <c r="A80" s="435" t="s">
        <v>7</v>
      </c>
      <c r="B80" s="435"/>
      <c r="C80" s="435"/>
      <c r="D80" s="435"/>
      <c r="E80" s="435"/>
      <c r="F80" s="435"/>
      <c r="G80" s="435"/>
      <c r="H80" s="435"/>
      <c r="I80" s="69">
        <f>SUM(I78+I79)</f>
        <v>184.32</v>
      </c>
    </row>
    <row r="81" spans="1:9" ht="12.75" customHeight="1">
      <c r="A81" s="436"/>
      <c r="B81" s="436"/>
      <c r="C81" s="436"/>
      <c r="D81" s="436"/>
      <c r="E81" s="436"/>
      <c r="F81" s="436"/>
      <c r="G81" s="436"/>
      <c r="H81" s="436"/>
      <c r="I81" s="436"/>
    </row>
    <row r="82" spans="1:9" ht="59.45" customHeight="1">
      <c r="A82" s="413" t="s">
        <v>541</v>
      </c>
      <c r="B82" s="437"/>
      <c r="C82" s="437"/>
      <c r="D82" s="437"/>
      <c r="E82" s="437"/>
      <c r="F82" s="437"/>
      <c r="G82" s="437"/>
      <c r="H82" s="437"/>
      <c r="I82" s="437"/>
    </row>
    <row r="83" spans="1:9" ht="14.65" customHeight="1">
      <c r="A83" s="438"/>
      <c r="B83" s="438"/>
      <c r="C83" s="438"/>
      <c r="D83" s="438"/>
      <c r="E83" s="438"/>
      <c r="F83" s="438"/>
      <c r="G83" s="438"/>
      <c r="H83" s="438"/>
      <c r="I83" s="438"/>
    </row>
    <row r="84" spans="1:9" ht="28.35" customHeight="1">
      <c r="A84" s="446" t="s">
        <v>350</v>
      </c>
      <c r="B84" s="446"/>
      <c r="C84" s="446"/>
      <c r="D84" s="446"/>
      <c r="E84" s="446"/>
      <c r="F84" s="446"/>
      <c r="G84" s="446"/>
      <c r="H84" s="446"/>
      <c r="I84" s="446"/>
    </row>
    <row r="85" spans="1:9" ht="28.35" customHeight="1">
      <c r="A85" s="70" t="s">
        <v>351</v>
      </c>
      <c r="B85" s="433" t="s">
        <v>352</v>
      </c>
      <c r="C85" s="433"/>
      <c r="D85" s="433"/>
      <c r="E85" s="433"/>
      <c r="F85" s="433"/>
      <c r="G85" s="433"/>
      <c r="H85" s="71" t="s">
        <v>353</v>
      </c>
      <c r="I85" s="71" t="s">
        <v>354</v>
      </c>
    </row>
    <row r="86" spans="1:9" ht="14.65" customHeight="1">
      <c r="A86" s="120" t="s">
        <v>289</v>
      </c>
      <c r="B86" s="426" t="s">
        <v>355</v>
      </c>
      <c r="C86" s="426"/>
      <c r="D86" s="426"/>
      <c r="E86" s="426"/>
      <c r="F86" s="426"/>
      <c r="G86" s="426"/>
      <c r="H86" s="121">
        <v>0.2</v>
      </c>
      <c r="I86" s="122">
        <f>ROUND(($I$71+$I$80)*H86,2)</f>
        <v>368.64</v>
      </c>
    </row>
    <row r="87" spans="1:9" ht="14.65" customHeight="1">
      <c r="A87" s="120" t="s">
        <v>291</v>
      </c>
      <c r="B87" s="426" t="s">
        <v>356</v>
      </c>
      <c r="C87" s="426"/>
      <c r="D87" s="426"/>
      <c r="E87" s="426"/>
      <c r="F87" s="426"/>
      <c r="G87" s="426"/>
      <c r="H87" s="121">
        <v>2.5000000000000001E-2</v>
      </c>
      <c r="I87" s="122">
        <f t="shared" ref="I87:I93" si="0">ROUND(($I$71+$I$80)*H87,2)</f>
        <v>46.08</v>
      </c>
    </row>
    <row r="88" spans="1:9" ht="46.5" customHeight="1">
      <c r="A88" s="120" t="s">
        <v>293</v>
      </c>
      <c r="B88" s="426" t="s">
        <v>524</v>
      </c>
      <c r="C88" s="426"/>
      <c r="D88" s="118" t="s">
        <v>357</v>
      </c>
      <c r="E88" s="206">
        <f>[2]Preenchimento!B85</f>
        <v>0.03</v>
      </c>
      <c r="F88" s="118" t="s">
        <v>358</v>
      </c>
      <c r="G88" s="207">
        <f>[2]Preenchimento!B86</f>
        <v>1</v>
      </c>
      <c r="H88" s="195">
        <f>ROUND((E88*G88),6)</f>
        <v>0.03</v>
      </c>
      <c r="I88" s="122">
        <f t="shared" si="0"/>
        <v>55.3</v>
      </c>
    </row>
    <row r="89" spans="1:9" ht="14.65" customHeight="1">
      <c r="A89" s="120" t="s">
        <v>295</v>
      </c>
      <c r="B89" s="426" t="s">
        <v>359</v>
      </c>
      <c r="C89" s="426"/>
      <c r="D89" s="426"/>
      <c r="E89" s="426"/>
      <c r="F89" s="426"/>
      <c r="G89" s="426"/>
      <c r="H89" s="121">
        <v>1.4999999999999999E-2</v>
      </c>
      <c r="I89" s="122">
        <f t="shared" si="0"/>
        <v>27.65</v>
      </c>
    </row>
    <row r="90" spans="1:9" ht="14.65" customHeight="1">
      <c r="A90" s="120" t="s">
        <v>343</v>
      </c>
      <c r="B90" s="426" t="s">
        <v>360</v>
      </c>
      <c r="C90" s="426"/>
      <c r="D90" s="426"/>
      <c r="E90" s="426"/>
      <c r="F90" s="426"/>
      <c r="G90" s="426"/>
      <c r="H90" s="121">
        <v>0.01</v>
      </c>
      <c r="I90" s="122">
        <f t="shared" si="0"/>
        <v>18.43</v>
      </c>
    </row>
    <row r="91" spans="1:9" ht="14.65" customHeight="1">
      <c r="A91" s="120" t="s">
        <v>344</v>
      </c>
      <c r="B91" s="426" t="s">
        <v>361</v>
      </c>
      <c r="C91" s="426"/>
      <c r="D91" s="426"/>
      <c r="E91" s="426"/>
      <c r="F91" s="426"/>
      <c r="G91" s="426"/>
      <c r="H91" s="121">
        <v>6.0000000000000001E-3</v>
      </c>
      <c r="I91" s="122">
        <f t="shared" si="0"/>
        <v>11.06</v>
      </c>
    </row>
    <row r="92" spans="1:9" ht="14.65" customHeight="1">
      <c r="A92" s="120" t="s">
        <v>362</v>
      </c>
      <c r="B92" s="426" t="s">
        <v>363</v>
      </c>
      <c r="C92" s="426"/>
      <c r="D92" s="426"/>
      <c r="E92" s="426"/>
      <c r="F92" s="426"/>
      <c r="G92" s="426"/>
      <c r="H92" s="121">
        <v>2E-3</v>
      </c>
      <c r="I92" s="122">
        <f t="shared" si="0"/>
        <v>3.69</v>
      </c>
    </row>
    <row r="93" spans="1:9" ht="14.65" customHeight="1">
      <c r="A93" s="120" t="s">
        <v>364</v>
      </c>
      <c r="B93" s="426" t="s">
        <v>365</v>
      </c>
      <c r="C93" s="426"/>
      <c r="D93" s="426"/>
      <c r="E93" s="426"/>
      <c r="F93" s="426"/>
      <c r="G93" s="426"/>
      <c r="H93" s="121">
        <v>0.08</v>
      </c>
      <c r="I93" s="122">
        <f t="shared" si="0"/>
        <v>147.46</v>
      </c>
    </row>
    <row r="94" spans="1:9" ht="14.65" customHeight="1">
      <c r="A94" s="445" t="s">
        <v>7</v>
      </c>
      <c r="B94" s="445"/>
      <c r="C94" s="445"/>
      <c r="D94" s="445"/>
      <c r="E94" s="445"/>
      <c r="F94" s="445"/>
      <c r="G94" s="445"/>
      <c r="H94" s="104">
        <f>SUM(H86:H93)</f>
        <v>0.36800000000000005</v>
      </c>
      <c r="I94" s="105">
        <f>SUM(I86:I93)</f>
        <v>678.31</v>
      </c>
    </row>
    <row r="95" spans="1:9">
      <c r="A95" s="72"/>
      <c r="B95" s="73"/>
      <c r="C95" s="73"/>
      <c r="D95" s="73"/>
      <c r="E95" s="73"/>
      <c r="F95" s="73"/>
      <c r="G95" s="73"/>
      <c r="H95" s="74"/>
      <c r="I95" s="75"/>
    </row>
    <row r="96" spans="1:9" ht="34.35" customHeight="1">
      <c r="A96" s="413" t="s">
        <v>366</v>
      </c>
      <c r="B96" s="413"/>
      <c r="C96" s="413"/>
      <c r="D96" s="413"/>
      <c r="E96" s="413"/>
      <c r="F96" s="413"/>
      <c r="G96" s="413"/>
      <c r="H96" s="413"/>
      <c r="I96" s="413"/>
    </row>
    <row r="97" spans="1:9" ht="14.65" customHeight="1">
      <c r="A97" s="412"/>
      <c r="B97" s="412"/>
      <c r="C97" s="412"/>
      <c r="D97" s="412"/>
      <c r="E97" s="412"/>
      <c r="F97" s="412"/>
      <c r="G97" s="412"/>
      <c r="H97" s="412"/>
      <c r="I97" s="412"/>
    </row>
    <row r="98" spans="1:9" ht="15.75" customHeight="1">
      <c r="A98" s="447" t="s">
        <v>367</v>
      </c>
      <c r="B98" s="447"/>
      <c r="C98" s="447"/>
      <c r="D98" s="447"/>
      <c r="E98" s="447"/>
      <c r="F98" s="447"/>
      <c r="G98" s="447"/>
      <c r="H98" s="447"/>
      <c r="I98" s="447"/>
    </row>
    <row r="99" spans="1:9" ht="15.75" customHeight="1">
      <c r="A99" s="115" t="s">
        <v>368</v>
      </c>
      <c r="B99" s="448" t="s">
        <v>369</v>
      </c>
      <c r="C99" s="448"/>
      <c r="D99" s="448"/>
      <c r="E99" s="448"/>
      <c r="F99" s="448"/>
      <c r="G99" s="448"/>
      <c r="H99" s="448"/>
      <c r="I99" s="71" t="s">
        <v>349</v>
      </c>
    </row>
    <row r="100" spans="1:9" ht="14.65" customHeight="1">
      <c r="A100" s="449" t="s">
        <v>289</v>
      </c>
      <c r="B100" s="452" t="s">
        <v>519</v>
      </c>
      <c r="C100" s="452"/>
      <c r="D100" s="452"/>
      <c r="E100" s="452"/>
      <c r="F100" s="452"/>
      <c r="G100" s="452"/>
      <c r="H100" s="453"/>
      <c r="I100" s="454">
        <f>IF(ROUND((H103*H101*H102)-(I68*H104),2)&lt;0,0,ROUND((H103*H101*H102)-(I68*H104),2))</f>
        <v>155.1</v>
      </c>
    </row>
    <row r="101" spans="1:9">
      <c r="A101" s="450"/>
      <c r="B101" s="457" t="s">
        <v>510</v>
      </c>
      <c r="C101" s="457"/>
      <c r="D101" s="457"/>
      <c r="E101" s="457"/>
      <c r="F101" s="457"/>
      <c r="G101" s="457"/>
      <c r="H101" s="179">
        <v>4.3499999999999996</v>
      </c>
      <c r="I101" s="455"/>
    </row>
    <row r="102" spans="1:9" ht="14.65" customHeight="1">
      <c r="A102" s="450"/>
      <c r="B102" s="458" t="s">
        <v>511</v>
      </c>
      <c r="C102" s="458"/>
      <c r="D102" s="458"/>
      <c r="E102" s="458"/>
      <c r="F102" s="458"/>
      <c r="G102" s="458"/>
      <c r="H102" s="180">
        <v>2</v>
      </c>
      <c r="I102" s="455"/>
    </row>
    <row r="103" spans="1:9" ht="14.65" customHeight="1">
      <c r="A103" s="450"/>
      <c r="B103" s="459" t="s">
        <v>512</v>
      </c>
      <c r="C103" s="459"/>
      <c r="D103" s="459"/>
      <c r="E103" s="459"/>
      <c r="F103" s="459"/>
      <c r="G103" s="459"/>
      <c r="H103" s="182">
        <v>26</v>
      </c>
      <c r="I103" s="455"/>
    </row>
    <row r="104" spans="1:9" ht="11.45" customHeight="1">
      <c r="A104" s="451"/>
      <c r="B104" s="460" t="s">
        <v>523</v>
      </c>
      <c r="C104" s="460"/>
      <c r="D104" s="460"/>
      <c r="E104" s="460"/>
      <c r="F104" s="460"/>
      <c r="G104" s="460"/>
      <c r="H104" s="181">
        <v>0.06</v>
      </c>
      <c r="I104" s="456"/>
    </row>
    <row r="105" spans="1:9" ht="14.65" customHeight="1">
      <c r="A105" s="472" t="s">
        <v>291</v>
      </c>
      <c r="B105" s="474" t="s">
        <v>553</v>
      </c>
      <c r="C105" s="474"/>
      <c r="D105" s="474"/>
      <c r="E105" s="474"/>
      <c r="F105" s="474"/>
      <c r="G105" s="474"/>
      <c r="H105" s="474"/>
      <c r="I105" s="475">
        <f>ROUND(H107*H106*(1-H108),2)</f>
        <v>324.32</v>
      </c>
    </row>
    <row r="106" spans="1:9" ht="14.65" customHeight="1">
      <c r="A106" s="472"/>
      <c r="B106" s="478" t="s">
        <v>507</v>
      </c>
      <c r="C106" s="478"/>
      <c r="D106" s="478"/>
      <c r="E106" s="478"/>
      <c r="F106" s="478"/>
      <c r="G106" s="478"/>
      <c r="H106" s="183">
        <f>[2]Preenchimento!B87</f>
        <v>18.2</v>
      </c>
      <c r="I106" s="476"/>
    </row>
    <row r="107" spans="1:9" ht="14.65" customHeight="1">
      <c r="A107" s="472"/>
      <c r="B107" s="479" t="s">
        <v>508</v>
      </c>
      <c r="C107" s="479"/>
      <c r="D107" s="479"/>
      <c r="E107" s="479"/>
      <c r="F107" s="479"/>
      <c r="G107" s="479"/>
      <c r="H107" s="185">
        <v>22</v>
      </c>
      <c r="I107" s="476"/>
    </row>
    <row r="108" spans="1:9" ht="14.65" customHeight="1">
      <c r="A108" s="473"/>
      <c r="B108" s="478" t="s">
        <v>509</v>
      </c>
      <c r="C108" s="478"/>
      <c r="D108" s="478"/>
      <c r="E108" s="478"/>
      <c r="F108" s="478"/>
      <c r="G108" s="478"/>
      <c r="H108" s="184">
        <v>0.19</v>
      </c>
      <c r="I108" s="477"/>
    </row>
    <row r="109" spans="1:9" ht="14.65" customHeight="1">
      <c r="A109" s="461" t="s">
        <v>293</v>
      </c>
      <c r="B109" s="464" t="s">
        <v>520</v>
      </c>
      <c r="C109" s="464"/>
      <c r="D109" s="464"/>
      <c r="E109" s="464"/>
      <c r="F109" s="464"/>
      <c r="G109" s="464"/>
      <c r="H109" s="464"/>
      <c r="I109" s="465">
        <f>ROUND(H111*H110*(1-H112),2)</f>
        <v>29.48</v>
      </c>
    </row>
    <row r="110" spans="1:9" ht="14.65" customHeight="1">
      <c r="A110" s="462"/>
      <c r="B110" s="468" t="s">
        <v>521</v>
      </c>
      <c r="C110" s="468"/>
      <c r="D110" s="468"/>
      <c r="E110" s="468"/>
      <c r="F110" s="468"/>
      <c r="G110" s="468"/>
      <c r="H110" s="186">
        <v>9.1</v>
      </c>
      <c r="I110" s="466"/>
    </row>
    <row r="111" spans="1:9">
      <c r="A111" s="462"/>
      <c r="B111" s="469" t="s">
        <v>522</v>
      </c>
      <c r="C111" s="469"/>
      <c r="D111" s="469"/>
      <c r="E111" s="469"/>
      <c r="F111" s="469"/>
      <c r="G111" s="469"/>
      <c r="H111" s="188">
        <v>4</v>
      </c>
      <c r="I111" s="466"/>
    </row>
    <row r="112" spans="1:9" ht="14.65" customHeight="1">
      <c r="A112" s="463"/>
      <c r="B112" s="468" t="s">
        <v>506</v>
      </c>
      <c r="C112" s="470"/>
      <c r="D112" s="470"/>
      <c r="E112" s="470"/>
      <c r="F112" s="470"/>
      <c r="G112" s="471"/>
      <c r="H112" s="187">
        <v>0.19</v>
      </c>
      <c r="I112" s="467"/>
    </row>
    <row r="113" spans="1:9" ht="14.65" customHeight="1">
      <c r="A113" s="109" t="s">
        <v>295</v>
      </c>
      <c r="B113" s="478" t="s">
        <v>504</v>
      </c>
      <c r="C113" s="482"/>
      <c r="D113" s="482"/>
      <c r="E113" s="482"/>
      <c r="F113" s="482"/>
      <c r="G113" s="482"/>
      <c r="H113" s="483"/>
      <c r="I113" s="110">
        <v>15.62</v>
      </c>
    </row>
    <row r="114" spans="1:9" ht="14.65" customHeight="1">
      <c r="A114" s="78"/>
      <c r="B114" s="484" t="s">
        <v>371</v>
      </c>
      <c r="C114" s="484"/>
      <c r="D114" s="484"/>
      <c r="E114" s="484"/>
      <c r="F114" s="484"/>
      <c r="G114" s="484"/>
      <c r="H114" s="484"/>
      <c r="I114" s="105">
        <f>SUM(I100+I105+I109+I113)</f>
        <v>524.52</v>
      </c>
    </row>
    <row r="115" spans="1:9" ht="14.65" customHeight="1">
      <c r="A115" s="412"/>
      <c r="B115" s="412"/>
      <c r="C115" s="412"/>
      <c r="D115" s="412"/>
      <c r="E115" s="412"/>
      <c r="F115" s="412"/>
      <c r="G115" s="412"/>
      <c r="H115" s="412"/>
      <c r="I115" s="412"/>
    </row>
    <row r="116" spans="1:9" ht="34.35" customHeight="1">
      <c r="A116" s="430" t="s">
        <v>372</v>
      </c>
      <c r="B116" s="430"/>
      <c r="C116" s="430"/>
      <c r="D116" s="430"/>
      <c r="E116" s="430"/>
      <c r="F116" s="430"/>
      <c r="G116" s="430"/>
      <c r="H116" s="430"/>
      <c r="I116" s="430"/>
    </row>
    <row r="117" spans="1:9" ht="14.65" customHeight="1">
      <c r="A117" s="404"/>
      <c r="B117" s="404"/>
      <c r="C117" s="404"/>
      <c r="D117" s="404"/>
      <c r="E117" s="404"/>
      <c r="F117" s="404"/>
      <c r="G117" s="404"/>
      <c r="H117" s="404"/>
      <c r="I117" s="404"/>
    </row>
    <row r="118" spans="1:9" ht="17.100000000000001" customHeight="1">
      <c r="A118" s="432" t="s">
        <v>373</v>
      </c>
      <c r="B118" s="432"/>
      <c r="C118" s="432"/>
      <c r="D118" s="432"/>
      <c r="E118" s="432"/>
      <c r="F118" s="432"/>
      <c r="G118" s="432"/>
      <c r="H118" s="432"/>
      <c r="I118" s="432"/>
    </row>
    <row r="119" spans="1:9" ht="15.75" customHeight="1">
      <c r="A119" s="71">
        <v>2</v>
      </c>
      <c r="B119" s="433" t="s">
        <v>374</v>
      </c>
      <c r="C119" s="433"/>
      <c r="D119" s="433"/>
      <c r="E119" s="433"/>
      <c r="F119" s="433"/>
      <c r="G119" s="433"/>
      <c r="H119" s="433"/>
      <c r="I119" s="71" t="s">
        <v>349</v>
      </c>
    </row>
    <row r="120" spans="1:9" s="14" customFormat="1" ht="14.65" customHeight="1">
      <c r="A120" s="118" t="s">
        <v>348</v>
      </c>
      <c r="B120" s="426" t="s">
        <v>518</v>
      </c>
      <c r="C120" s="426"/>
      <c r="D120" s="426"/>
      <c r="E120" s="426"/>
      <c r="F120" s="426"/>
      <c r="G120" s="426"/>
      <c r="H120" s="426"/>
      <c r="I120" s="119">
        <f>I80</f>
        <v>184.32</v>
      </c>
    </row>
    <row r="121" spans="1:9" s="14" customFormat="1" ht="14.65" customHeight="1">
      <c r="A121" s="118" t="s">
        <v>351</v>
      </c>
      <c r="B121" s="426" t="s">
        <v>352</v>
      </c>
      <c r="C121" s="426"/>
      <c r="D121" s="426"/>
      <c r="E121" s="426"/>
      <c r="F121" s="426"/>
      <c r="G121" s="426"/>
      <c r="H121" s="426"/>
      <c r="I121" s="119">
        <f>I94</f>
        <v>678.31</v>
      </c>
    </row>
    <row r="122" spans="1:9" s="14" customFormat="1" ht="14.65" customHeight="1">
      <c r="A122" s="118" t="s">
        <v>368</v>
      </c>
      <c r="B122" s="426" t="s">
        <v>369</v>
      </c>
      <c r="C122" s="426"/>
      <c r="D122" s="426"/>
      <c r="E122" s="426"/>
      <c r="F122" s="426"/>
      <c r="G122" s="426"/>
      <c r="H122" s="426"/>
      <c r="I122" s="119">
        <f>I114</f>
        <v>524.52</v>
      </c>
    </row>
    <row r="123" spans="1:9" ht="14.65" customHeight="1">
      <c r="A123" s="480" t="s">
        <v>7</v>
      </c>
      <c r="B123" s="480"/>
      <c r="C123" s="480"/>
      <c r="D123" s="480"/>
      <c r="E123" s="480"/>
      <c r="F123" s="480"/>
      <c r="G123" s="480"/>
      <c r="H123" s="480"/>
      <c r="I123" s="106">
        <f>SUM(I120+I121+I122)</f>
        <v>1387.1499999999999</v>
      </c>
    </row>
    <row r="124" spans="1:9" ht="14.65" customHeight="1">
      <c r="A124" s="481"/>
      <c r="B124" s="481"/>
      <c r="C124" s="481"/>
      <c r="D124" s="481"/>
      <c r="E124" s="481"/>
      <c r="F124" s="481"/>
      <c r="G124" s="481"/>
      <c r="H124" s="481"/>
      <c r="I124" s="481"/>
    </row>
    <row r="125" spans="1:9" ht="17.100000000000001" customHeight="1">
      <c r="A125" s="442" t="s">
        <v>375</v>
      </c>
      <c r="B125" s="442"/>
      <c r="C125" s="442"/>
      <c r="D125" s="442"/>
      <c r="E125" s="442"/>
      <c r="F125" s="442"/>
      <c r="G125" s="442"/>
      <c r="H125" s="442"/>
      <c r="I125" s="442"/>
    </row>
    <row r="126" spans="1:9" ht="15.75" customHeight="1">
      <c r="A126" s="76">
        <v>3</v>
      </c>
      <c r="B126" s="486" t="s">
        <v>376</v>
      </c>
      <c r="C126" s="486"/>
      <c r="D126" s="486"/>
      <c r="E126" s="486"/>
      <c r="F126" s="486"/>
      <c r="G126" s="486"/>
      <c r="H126" s="486"/>
      <c r="I126" s="76" t="s">
        <v>377</v>
      </c>
    </row>
    <row r="127" spans="1:9" s="14" customFormat="1" ht="45" customHeight="1">
      <c r="A127" s="178" t="s">
        <v>289</v>
      </c>
      <c r="B127" s="426" t="s">
        <v>554</v>
      </c>
      <c r="C127" s="426"/>
      <c r="D127" s="426"/>
      <c r="E127" s="426"/>
      <c r="F127" s="426"/>
      <c r="G127" s="426"/>
      <c r="H127" s="426"/>
      <c r="I127" s="176">
        <f>ROUND((($I$71/12)+($I$78/12)+($I$71/12/12)+($I$79/12))*(30/30)*0.05,2)</f>
        <v>8.26</v>
      </c>
    </row>
    <row r="128" spans="1:9" s="14" customFormat="1" ht="14.65" customHeight="1">
      <c r="A128" s="178" t="s">
        <v>291</v>
      </c>
      <c r="B128" s="434" t="s">
        <v>378</v>
      </c>
      <c r="C128" s="434"/>
      <c r="D128" s="434"/>
      <c r="E128" s="434"/>
      <c r="F128" s="434"/>
      <c r="G128" s="434"/>
      <c r="H128" s="434"/>
      <c r="I128" s="176">
        <f>ROUND($I$127*H93,2)</f>
        <v>0.66</v>
      </c>
    </row>
    <row r="129" spans="1:12" s="14" customFormat="1" ht="25.35" customHeight="1">
      <c r="A129" s="178" t="s">
        <v>293</v>
      </c>
      <c r="B129" s="426" t="s">
        <v>542</v>
      </c>
      <c r="C129" s="426"/>
      <c r="D129" s="426"/>
      <c r="E129" s="426"/>
      <c r="F129" s="426"/>
      <c r="G129" s="426"/>
      <c r="H129" s="426"/>
      <c r="I129" s="176">
        <f>ROUND(0.08*0.4*($I$71+$I$78+($I$71/12)+$I$79)*0.05,2)</f>
        <v>3.17</v>
      </c>
    </row>
    <row r="130" spans="1:12" s="14" customFormat="1" ht="26.1" customHeight="1">
      <c r="A130" s="178" t="s">
        <v>295</v>
      </c>
      <c r="B130" s="426" t="s">
        <v>555</v>
      </c>
      <c r="C130" s="426"/>
      <c r="D130" s="426"/>
      <c r="E130" s="426"/>
      <c r="F130" s="426"/>
      <c r="G130" s="426"/>
      <c r="H130" s="426"/>
      <c r="I130" s="176">
        <f>ROUND(((($I$71/30)*7)/$H$17)*1,2)</f>
        <v>32.26</v>
      </c>
      <c r="K130" s="197"/>
    </row>
    <row r="131" spans="1:12" s="14" customFormat="1" ht="14.65" customHeight="1">
      <c r="A131" s="178" t="s">
        <v>343</v>
      </c>
      <c r="B131" s="434" t="s">
        <v>379</v>
      </c>
      <c r="C131" s="434"/>
      <c r="D131" s="434"/>
      <c r="E131" s="434"/>
      <c r="F131" s="434"/>
      <c r="G131" s="434"/>
      <c r="H131" s="434"/>
      <c r="I131" s="176">
        <f>ROUND($H$94*I130,2)</f>
        <v>11.87</v>
      </c>
    </row>
    <row r="132" spans="1:12" s="14" customFormat="1" ht="25.35" customHeight="1">
      <c r="A132" s="178" t="s">
        <v>344</v>
      </c>
      <c r="B132" s="426" t="s">
        <v>556</v>
      </c>
      <c r="C132" s="426"/>
      <c r="D132" s="426"/>
      <c r="E132" s="426"/>
      <c r="F132" s="426"/>
      <c r="G132" s="426"/>
      <c r="H132" s="426"/>
      <c r="I132" s="176">
        <f>ROUND(0.08*0.4*($I$71+$I$78+($I$71/12)+$I$79)*1,2)</f>
        <v>63.41</v>
      </c>
    </row>
    <row r="133" spans="1:12" ht="14.65" customHeight="1">
      <c r="A133" s="484" t="s">
        <v>7</v>
      </c>
      <c r="B133" s="484"/>
      <c r="C133" s="484"/>
      <c r="D133" s="484"/>
      <c r="E133" s="484"/>
      <c r="F133" s="484"/>
      <c r="G133" s="484"/>
      <c r="H133" s="484"/>
      <c r="I133" s="105">
        <f>SUM(I127:I132)</f>
        <v>119.63</v>
      </c>
    </row>
    <row r="134" spans="1:12" s="54" customFormat="1" ht="14.65" customHeight="1">
      <c r="A134" s="485"/>
      <c r="B134" s="485"/>
      <c r="C134" s="485"/>
      <c r="D134" s="485"/>
      <c r="E134" s="485"/>
      <c r="F134" s="485"/>
      <c r="G134" s="485"/>
      <c r="H134" s="485"/>
      <c r="I134" s="485"/>
      <c r="K134" s="196"/>
    </row>
    <row r="135" spans="1:12" ht="17.100000000000001" customHeight="1">
      <c r="A135" s="432" t="s">
        <v>380</v>
      </c>
      <c r="B135" s="432"/>
      <c r="C135" s="432"/>
      <c r="D135" s="432"/>
      <c r="E135" s="432"/>
      <c r="F135" s="432"/>
      <c r="G135" s="432"/>
      <c r="H135" s="432"/>
      <c r="I135" s="432"/>
    </row>
    <row r="136" spans="1:12" ht="25.5" customHeight="1">
      <c r="A136" s="413" t="s">
        <v>381</v>
      </c>
      <c r="B136" s="413"/>
      <c r="C136" s="413"/>
      <c r="D136" s="413"/>
      <c r="E136" s="413"/>
      <c r="F136" s="413"/>
      <c r="G136" s="413"/>
      <c r="H136" s="413"/>
      <c r="I136" s="413"/>
    </row>
    <row r="137" spans="1:12" ht="52.5" customHeight="1">
      <c r="A137" s="446" t="s">
        <v>382</v>
      </c>
      <c r="B137" s="446"/>
      <c r="C137" s="446"/>
      <c r="D137" s="446"/>
      <c r="E137" s="446"/>
      <c r="F137" s="446"/>
      <c r="G137" s="446"/>
      <c r="H137" s="446"/>
      <c r="I137" s="446"/>
    </row>
    <row r="138" spans="1:12" ht="15.75" customHeight="1">
      <c r="A138" s="488"/>
      <c r="B138" s="488"/>
      <c r="C138" s="488"/>
      <c r="D138" s="488"/>
      <c r="E138" s="488"/>
      <c r="F138" s="488"/>
      <c r="G138" s="488"/>
      <c r="H138" s="488"/>
      <c r="I138" s="488"/>
      <c r="L138" s="79"/>
    </row>
    <row r="139" spans="1:12" ht="40.5">
      <c r="A139" s="198" t="s">
        <v>383</v>
      </c>
      <c r="B139" s="199">
        <f>I71</f>
        <v>1658.9</v>
      </c>
      <c r="C139" s="200"/>
      <c r="D139" s="198" t="s">
        <v>557</v>
      </c>
      <c r="E139" s="199">
        <f>I123-I100-I105-I109</f>
        <v>878.25</v>
      </c>
      <c r="F139" s="200"/>
      <c r="G139" s="198" t="s">
        <v>384</v>
      </c>
      <c r="H139" s="199">
        <f>I133</f>
        <v>119.63</v>
      </c>
      <c r="I139" s="201">
        <f>B139+E139+H139</f>
        <v>2656.78</v>
      </c>
    </row>
    <row r="140" spans="1:12" s="146" customFormat="1" ht="15.6" customHeight="1">
      <c r="A140" s="491" t="s">
        <v>386</v>
      </c>
      <c r="B140" s="491"/>
      <c r="C140" s="491"/>
      <c r="D140" s="491"/>
      <c r="E140" s="491"/>
      <c r="F140" s="491"/>
      <c r="G140" s="491"/>
      <c r="H140" s="491"/>
      <c r="I140" s="205">
        <f>ROUND(I139/30,2)</f>
        <v>88.56</v>
      </c>
    </row>
    <row r="141" spans="1:12" ht="15.75" customHeight="1">
      <c r="A141" s="489"/>
      <c r="B141" s="489"/>
      <c r="C141" s="489"/>
      <c r="D141" s="489"/>
      <c r="E141" s="489"/>
      <c r="F141" s="489"/>
      <c r="G141" s="489"/>
      <c r="H141" s="489"/>
      <c r="I141" s="489"/>
    </row>
    <row r="142" spans="1:12" ht="20.45" customHeight="1">
      <c r="A142" s="492" t="s">
        <v>385</v>
      </c>
      <c r="B142" s="492"/>
      <c r="C142" s="492"/>
      <c r="D142" s="492"/>
      <c r="E142" s="492"/>
      <c r="F142" s="492"/>
      <c r="G142" s="492"/>
      <c r="H142" s="492"/>
      <c r="I142" s="492"/>
    </row>
    <row r="143" spans="1:12" ht="15.75" customHeight="1">
      <c r="A143" s="204" t="s">
        <v>387</v>
      </c>
      <c r="B143" s="490" t="s">
        <v>388</v>
      </c>
      <c r="C143" s="490"/>
      <c r="D143" s="490"/>
      <c r="E143" s="490"/>
      <c r="F143" s="490"/>
      <c r="G143" s="490"/>
      <c r="H143" s="490"/>
      <c r="I143" s="204" t="s">
        <v>349</v>
      </c>
    </row>
    <row r="144" spans="1:12" s="14" customFormat="1" ht="14.65" customHeight="1">
      <c r="A144" s="202" t="s">
        <v>289</v>
      </c>
      <c r="B144" s="487" t="s">
        <v>543</v>
      </c>
      <c r="C144" s="487"/>
      <c r="D144" s="487"/>
      <c r="E144" s="487"/>
      <c r="F144" s="487"/>
      <c r="G144" s="487"/>
      <c r="H144" s="487"/>
      <c r="I144" s="203">
        <f>ROUND($I$139/12,2)</f>
        <v>221.4</v>
      </c>
    </row>
    <row r="145" spans="1:9" s="14" customFormat="1" ht="14.65" customHeight="1">
      <c r="A145" s="123" t="s">
        <v>291</v>
      </c>
      <c r="B145" s="426" t="s">
        <v>544</v>
      </c>
      <c r="C145" s="426"/>
      <c r="D145" s="426"/>
      <c r="E145" s="426"/>
      <c r="F145" s="426"/>
      <c r="G145" s="426"/>
      <c r="H145" s="426"/>
      <c r="I145" s="122">
        <f>ROUND((($I$139/30)*1)/12,2)</f>
        <v>7.38</v>
      </c>
    </row>
    <row r="146" spans="1:9" s="14" customFormat="1">
      <c r="A146" s="123" t="s">
        <v>293</v>
      </c>
      <c r="B146" s="426" t="s">
        <v>545</v>
      </c>
      <c r="C146" s="426"/>
      <c r="D146" s="426"/>
      <c r="E146" s="426"/>
      <c r="F146" s="426"/>
      <c r="G146" s="426"/>
      <c r="H146" s="426"/>
      <c r="I146" s="122">
        <f>ROUND(((($I$139/30)*5)/12)*0.015,2)</f>
        <v>0.55000000000000004</v>
      </c>
    </row>
    <row r="147" spans="1:9" s="14" customFormat="1" ht="25.35" customHeight="1">
      <c r="A147" s="123" t="s">
        <v>295</v>
      </c>
      <c r="B147" s="426" t="s">
        <v>546</v>
      </c>
      <c r="C147" s="426"/>
      <c r="D147" s="426"/>
      <c r="E147" s="426"/>
      <c r="F147" s="426"/>
      <c r="G147" s="426"/>
      <c r="H147" s="426"/>
      <c r="I147" s="122">
        <f>ROUND(((($I$139/30)*15)/12)*0.0078,2)</f>
        <v>0.86</v>
      </c>
    </row>
    <row r="148" spans="1:9" s="14" customFormat="1" ht="23.1" customHeight="1">
      <c r="A148" s="123" t="s">
        <v>343</v>
      </c>
      <c r="B148" s="426" t="s">
        <v>547</v>
      </c>
      <c r="C148" s="426"/>
      <c r="D148" s="426"/>
      <c r="E148" s="426"/>
      <c r="F148" s="426"/>
      <c r="G148" s="426"/>
      <c r="H148" s="426"/>
      <c r="I148" s="122">
        <f>ROUND(((((B139+B139/3)/12)+(I94+I114-I100-I105+I133))*(4/12))*0.02,2)</f>
        <v>6.85</v>
      </c>
    </row>
    <row r="149" spans="1:9" s="14" customFormat="1">
      <c r="A149" s="126" t="s">
        <v>344</v>
      </c>
      <c r="B149" s="426" t="s">
        <v>548</v>
      </c>
      <c r="C149" s="426"/>
      <c r="D149" s="426"/>
      <c r="E149" s="426"/>
      <c r="F149" s="426"/>
      <c r="G149" s="426"/>
      <c r="H149" s="426"/>
      <c r="I149" s="122">
        <f>ROUND(((($I$139/30)*5)/12),2)</f>
        <v>36.9</v>
      </c>
    </row>
    <row r="150" spans="1:9" ht="14.65" customHeight="1">
      <c r="A150" s="484" t="s">
        <v>7</v>
      </c>
      <c r="B150" s="484"/>
      <c r="C150" s="484"/>
      <c r="D150" s="484"/>
      <c r="E150" s="484"/>
      <c r="F150" s="484"/>
      <c r="G150" s="484"/>
      <c r="H150" s="484"/>
      <c r="I150" s="107">
        <f>SUM(I144:I149)</f>
        <v>273.94</v>
      </c>
    </row>
    <row r="151" spans="1:9" s="54" customFormat="1" ht="14.65" customHeight="1">
      <c r="A151" s="494"/>
      <c r="B151" s="494"/>
      <c r="C151" s="494"/>
      <c r="D151" s="494"/>
      <c r="E151" s="494"/>
      <c r="F151" s="494"/>
      <c r="G151" s="494"/>
      <c r="H151" s="494"/>
      <c r="I151" s="494"/>
    </row>
    <row r="152" spans="1:9" ht="15.75" customHeight="1">
      <c r="A152" s="447" t="s">
        <v>389</v>
      </c>
      <c r="B152" s="447"/>
      <c r="C152" s="447"/>
      <c r="D152" s="447"/>
      <c r="E152" s="447"/>
      <c r="F152" s="447"/>
      <c r="G152" s="447"/>
      <c r="H152" s="447"/>
      <c r="I152" s="447"/>
    </row>
    <row r="153" spans="1:9" ht="15.75" customHeight="1">
      <c r="A153" s="76" t="s">
        <v>390</v>
      </c>
      <c r="B153" s="486" t="s">
        <v>391</v>
      </c>
      <c r="C153" s="486"/>
      <c r="D153" s="486"/>
      <c r="E153" s="486"/>
      <c r="F153" s="486"/>
      <c r="G153" s="486"/>
      <c r="H153" s="486"/>
      <c r="I153" s="80" t="s">
        <v>349</v>
      </c>
    </row>
    <row r="154" spans="1:9" ht="14.65" customHeight="1">
      <c r="A154" s="178" t="s">
        <v>289</v>
      </c>
      <c r="B154" s="434" t="s">
        <v>392</v>
      </c>
      <c r="C154" s="434"/>
      <c r="D154" s="434"/>
      <c r="E154" s="434"/>
      <c r="F154" s="434"/>
      <c r="G154" s="434"/>
      <c r="H154" s="434"/>
      <c r="I154" s="176">
        <v>0</v>
      </c>
    </row>
    <row r="155" spans="1:9" ht="14.65" customHeight="1">
      <c r="A155" s="495" t="s">
        <v>7</v>
      </c>
      <c r="B155" s="495"/>
      <c r="C155" s="495"/>
      <c r="D155" s="495"/>
      <c r="E155" s="495"/>
      <c r="F155" s="495"/>
      <c r="G155" s="495"/>
      <c r="H155" s="495"/>
      <c r="I155" s="77">
        <v>0</v>
      </c>
    </row>
    <row r="156" spans="1:9" ht="14.65" customHeight="1">
      <c r="A156" s="493"/>
      <c r="B156" s="493"/>
      <c r="C156" s="493"/>
      <c r="D156" s="493"/>
      <c r="E156" s="493"/>
      <c r="F156" s="493"/>
      <c r="G156" s="493"/>
      <c r="H156" s="493"/>
      <c r="I156" s="493"/>
    </row>
    <row r="157" spans="1:9" ht="17.100000000000001" customHeight="1">
      <c r="A157" s="432" t="s">
        <v>393</v>
      </c>
      <c r="B157" s="432"/>
      <c r="C157" s="432"/>
      <c r="D157" s="432"/>
      <c r="E157" s="432"/>
      <c r="F157" s="432"/>
      <c r="G157" s="432"/>
      <c r="H157" s="432"/>
      <c r="I157" s="432"/>
    </row>
    <row r="158" spans="1:9" ht="15.75" customHeight="1">
      <c r="A158" s="71">
        <v>4</v>
      </c>
      <c r="B158" s="486" t="s">
        <v>394</v>
      </c>
      <c r="C158" s="486"/>
      <c r="D158" s="486"/>
      <c r="E158" s="486"/>
      <c r="F158" s="486"/>
      <c r="G158" s="486"/>
      <c r="H158" s="486"/>
      <c r="I158" s="80" t="s">
        <v>349</v>
      </c>
    </row>
    <row r="159" spans="1:9" s="14" customFormat="1" ht="14.65" customHeight="1">
      <c r="A159" s="118" t="s">
        <v>387</v>
      </c>
      <c r="B159" s="434" t="s">
        <v>388</v>
      </c>
      <c r="C159" s="434"/>
      <c r="D159" s="434"/>
      <c r="E159" s="434"/>
      <c r="F159" s="434"/>
      <c r="G159" s="434"/>
      <c r="H159" s="434"/>
      <c r="I159" s="122">
        <f>I150</f>
        <v>273.94</v>
      </c>
    </row>
    <row r="160" spans="1:9" s="14" customFormat="1" ht="14.65" customHeight="1">
      <c r="A160" s="118" t="s">
        <v>395</v>
      </c>
      <c r="B160" s="434" t="s">
        <v>391</v>
      </c>
      <c r="C160" s="434"/>
      <c r="D160" s="434"/>
      <c r="E160" s="434"/>
      <c r="F160" s="434"/>
      <c r="G160" s="434"/>
      <c r="H160" s="434"/>
      <c r="I160" s="122">
        <f>I155</f>
        <v>0</v>
      </c>
    </row>
    <row r="161" spans="1:9" ht="14.65" customHeight="1">
      <c r="A161" s="398" t="s">
        <v>7</v>
      </c>
      <c r="B161" s="398"/>
      <c r="C161" s="398"/>
      <c r="D161" s="398"/>
      <c r="E161" s="398"/>
      <c r="F161" s="398"/>
      <c r="G161" s="398"/>
      <c r="H161" s="398"/>
      <c r="I161" s="105">
        <f>SUM(I159+I160)</f>
        <v>273.94</v>
      </c>
    </row>
    <row r="162" spans="1:9" ht="14.65" customHeight="1">
      <c r="A162" s="498"/>
      <c r="B162" s="498"/>
      <c r="C162" s="498"/>
      <c r="D162" s="498"/>
      <c r="E162" s="498"/>
      <c r="F162" s="498"/>
      <c r="G162" s="498"/>
      <c r="H162" s="498"/>
      <c r="I162" s="498"/>
    </row>
    <row r="163" spans="1:9" ht="17.100000000000001" customHeight="1">
      <c r="A163" s="432" t="s">
        <v>396</v>
      </c>
      <c r="B163" s="432"/>
      <c r="C163" s="432"/>
      <c r="D163" s="432"/>
      <c r="E163" s="432"/>
      <c r="F163" s="432"/>
      <c r="G163" s="432"/>
      <c r="H163" s="432"/>
      <c r="I163" s="432"/>
    </row>
    <row r="164" spans="1:9" ht="15.75" customHeight="1">
      <c r="A164" s="76">
        <v>5</v>
      </c>
      <c r="B164" s="433" t="s">
        <v>397</v>
      </c>
      <c r="C164" s="433"/>
      <c r="D164" s="433"/>
      <c r="E164" s="433"/>
      <c r="F164" s="433"/>
      <c r="G164" s="433"/>
      <c r="H164" s="433"/>
      <c r="I164" s="76" t="s">
        <v>349</v>
      </c>
    </row>
    <row r="165" spans="1:9" s="14" customFormat="1" ht="14.65" customHeight="1">
      <c r="A165" s="123" t="s">
        <v>289</v>
      </c>
      <c r="B165" s="426" t="s">
        <v>525</v>
      </c>
      <c r="C165" s="426"/>
      <c r="D165" s="426"/>
      <c r="E165" s="426"/>
      <c r="F165" s="426"/>
      <c r="G165" s="426"/>
      <c r="H165" s="426"/>
      <c r="I165" s="122">
        <f>Insumos!G153</f>
        <v>107.87</v>
      </c>
    </row>
    <row r="166" spans="1:9" s="14" customFormat="1" ht="14.65" customHeight="1">
      <c r="A166" s="123" t="s">
        <v>291</v>
      </c>
      <c r="B166" s="426" t="s">
        <v>526</v>
      </c>
      <c r="C166" s="426"/>
      <c r="D166" s="426"/>
      <c r="E166" s="426"/>
      <c r="F166" s="426"/>
      <c r="G166" s="426"/>
      <c r="H166" s="426"/>
      <c r="I166" s="122">
        <f>Insumos!G147</f>
        <v>389.04</v>
      </c>
    </row>
    <row r="167" spans="1:9" s="14" customFormat="1" ht="14.65" customHeight="1">
      <c r="A167" s="123" t="s">
        <v>293</v>
      </c>
      <c r="B167" s="434" t="s">
        <v>527</v>
      </c>
      <c r="C167" s="434"/>
      <c r="D167" s="434"/>
      <c r="E167" s="434"/>
      <c r="F167" s="434"/>
      <c r="G167" s="434"/>
      <c r="H167" s="434"/>
      <c r="I167" s="127">
        <f>Insumos!G149</f>
        <v>24.83</v>
      </c>
    </row>
    <row r="168" spans="1:9" s="14" customFormat="1" ht="14.65" customHeight="1">
      <c r="A168" s="123" t="s">
        <v>295</v>
      </c>
      <c r="B168" s="426" t="s">
        <v>535</v>
      </c>
      <c r="C168" s="426"/>
      <c r="D168" s="426"/>
      <c r="E168" s="426"/>
      <c r="F168" s="426"/>
      <c r="G168" s="426"/>
      <c r="H168" s="426"/>
      <c r="I168" s="127">
        <f>Insumos!G151</f>
        <v>12.96</v>
      </c>
    </row>
    <row r="169" spans="1:9" ht="14.65" customHeight="1">
      <c r="A169" s="484" t="s">
        <v>371</v>
      </c>
      <c r="B169" s="484"/>
      <c r="C169" s="484"/>
      <c r="D169" s="484"/>
      <c r="E169" s="484"/>
      <c r="F169" s="484"/>
      <c r="G169" s="484"/>
      <c r="H169" s="484"/>
      <c r="I169" s="108">
        <f>SUM(I165:I168)</f>
        <v>534.70000000000005</v>
      </c>
    </row>
    <row r="170" spans="1:9" ht="19.350000000000001" customHeight="1">
      <c r="A170" s="496"/>
      <c r="B170" s="496"/>
      <c r="C170" s="496"/>
      <c r="D170" s="496"/>
      <c r="E170" s="496"/>
      <c r="F170" s="496"/>
      <c r="G170" s="496"/>
      <c r="H170" s="496"/>
      <c r="I170" s="496"/>
    </row>
    <row r="171" spans="1:9" ht="14.65" customHeight="1">
      <c r="A171" s="497" t="s">
        <v>398</v>
      </c>
      <c r="B171" s="497"/>
      <c r="C171" s="497"/>
      <c r="D171" s="497"/>
      <c r="E171" s="497"/>
      <c r="F171" s="497"/>
      <c r="G171" s="497"/>
      <c r="H171" s="497"/>
      <c r="I171" s="497"/>
    </row>
    <row r="172" spans="1:9" ht="18">
      <c r="A172" s="81"/>
      <c r="B172" s="82"/>
      <c r="C172" s="82"/>
      <c r="D172" s="82"/>
      <c r="E172" s="82"/>
      <c r="F172" s="82"/>
      <c r="G172" s="82"/>
      <c r="H172" s="82"/>
      <c r="I172" s="83"/>
    </row>
    <row r="173" spans="1:9" ht="17.100000000000001" customHeight="1">
      <c r="A173" s="442" t="s">
        <v>399</v>
      </c>
      <c r="B173" s="442"/>
      <c r="C173" s="442"/>
      <c r="D173" s="442"/>
      <c r="E173" s="442"/>
      <c r="F173" s="442"/>
      <c r="G173" s="442"/>
      <c r="H173" s="442"/>
      <c r="I173" s="442"/>
    </row>
    <row r="174" spans="1:9" ht="28.35" customHeight="1">
      <c r="A174" s="76">
        <v>6</v>
      </c>
      <c r="B174" s="486" t="s">
        <v>400</v>
      </c>
      <c r="C174" s="486"/>
      <c r="D174" s="486"/>
      <c r="E174" s="486"/>
      <c r="F174" s="486"/>
      <c r="G174" s="486"/>
      <c r="H174" s="71" t="s">
        <v>353</v>
      </c>
      <c r="I174" s="84" t="s">
        <v>401</v>
      </c>
    </row>
    <row r="175" spans="1:9" s="128" customFormat="1" ht="55.15" customHeight="1">
      <c r="A175" s="499" t="s">
        <v>402</v>
      </c>
      <c r="B175" s="499"/>
      <c r="C175" s="499"/>
      <c r="D175" s="499"/>
      <c r="E175" s="499"/>
      <c r="F175" s="499"/>
      <c r="G175" s="499"/>
      <c r="H175" s="123" t="s">
        <v>370</v>
      </c>
      <c r="I175" s="122">
        <f>SUM(I71+I123+I133+I161+I169)</f>
        <v>3974.3200000000006</v>
      </c>
    </row>
    <row r="176" spans="1:9" ht="17.100000000000001" customHeight="1">
      <c r="A176" s="53" t="s">
        <v>289</v>
      </c>
      <c r="B176" s="442" t="s">
        <v>403</v>
      </c>
      <c r="C176" s="442"/>
      <c r="D176" s="442"/>
      <c r="E176" s="442"/>
      <c r="F176" s="442"/>
      <c r="G176" s="442"/>
      <c r="H176" s="64">
        <f>[2]Preenchimento!C99</f>
        <v>0.03</v>
      </c>
      <c r="I176" s="77">
        <f>ROUND(H176*I175,2)</f>
        <v>119.23</v>
      </c>
    </row>
    <row r="177" spans="1:9" s="128" customFormat="1" ht="50.25" customHeight="1">
      <c r="A177" s="499" t="s">
        <v>404</v>
      </c>
      <c r="B177" s="499"/>
      <c r="C177" s="499"/>
      <c r="D177" s="499"/>
      <c r="E177" s="499"/>
      <c r="F177" s="499"/>
      <c r="G177" s="499"/>
      <c r="H177" s="121" t="s">
        <v>370</v>
      </c>
      <c r="I177" s="122">
        <f>SUM(I71+I123+I133+I161+I169+I176)</f>
        <v>4093.5500000000006</v>
      </c>
    </row>
    <row r="178" spans="1:9" ht="17.100000000000001" customHeight="1">
      <c r="A178" s="53" t="s">
        <v>291</v>
      </c>
      <c r="B178" s="442" t="s">
        <v>405</v>
      </c>
      <c r="C178" s="442"/>
      <c r="D178" s="442"/>
      <c r="E178" s="442"/>
      <c r="F178" s="442"/>
      <c r="G178" s="442"/>
      <c r="H178" s="64">
        <f>[2]Preenchimento!C100</f>
        <v>6.7900000000000002E-2</v>
      </c>
      <c r="I178" s="77">
        <f>ROUND(H178*I177,2)</f>
        <v>277.95</v>
      </c>
    </row>
    <row r="179" spans="1:9" s="128" customFormat="1" ht="53.25" customHeight="1">
      <c r="A179" s="499" t="s">
        <v>406</v>
      </c>
      <c r="B179" s="499"/>
      <c r="C179" s="499"/>
      <c r="D179" s="499"/>
      <c r="E179" s="499"/>
      <c r="F179" s="499"/>
      <c r="G179" s="499"/>
      <c r="H179" s="121" t="s">
        <v>370</v>
      </c>
      <c r="I179" s="122">
        <f>SUM(I71+I123+I133+I161+I169+I176+I178)</f>
        <v>4371.5000000000009</v>
      </c>
    </row>
    <row r="180" spans="1:9" ht="17.100000000000001" customHeight="1">
      <c r="A180" s="53" t="s">
        <v>293</v>
      </c>
      <c r="B180" s="442" t="s">
        <v>407</v>
      </c>
      <c r="C180" s="442"/>
      <c r="D180" s="442"/>
      <c r="E180" s="442"/>
      <c r="F180" s="442"/>
      <c r="G180" s="442"/>
      <c r="H180" s="64" t="s">
        <v>370</v>
      </c>
      <c r="I180" s="77" t="s">
        <v>370</v>
      </c>
    </row>
    <row r="181" spans="1:9" ht="17.100000000000001" customHeight="1">
      <c r="A181" s="68"/>
      <c r="B181" s="442" t="s">
        <v>408</v>
      </c>
      <c r="C181" s="442"/>
      <c r="D181" s="442"/>
      <c r="E181" s="442"/>
      <c r="F181" s="442"/>
      <c r="G181" s="442"/>
      <c r="H181" s="64" t="s">
        <v>370</v>
      </c>
      <c r="I181" s="77" t="s">
        <v>370</v>
      </c>
    </row>
    <row r="182" spans="1:9" s="14" customFormat="1" ht="17.100000000000001" customHeight="1">
      <c r="A182" s="123"/>
      <c r="B182" s="426" t="s">
        <v>528</v>
      </c>
      <c r="C182" s="426"/>
      <c r="D182" s="426"/>
      <c r="E182" s="426"/>
      <c r="F182" s="426"/>
      <c r="G182" s="426"/>
      <c r="H182" s="129">
        <f>[2]Preenchimento!B69</f>
        <v>7.5999999999999998E-2</v>
      </c>
      <c r="I182" s="122">
        <f>ROUND(($I$179/(1-$H$191))*H182,2)</f>
        <v>382.98</v>
      </c>
    </row>
    <row r="183" spans="1:9" s="14" customFormat="1" ht="26.1" customHeight="1">
      <c r="A183" s="123"/>
      <c r="B183" s="426" t="s">
        <v>529</v>
      </c>
      <c r="C183" s="426"/>
      <c r="D183" s="426"/>
      <c r="E183" s="426"/>
      <c r="F183" s="426"/>
      <c r="G183" s="426"/>
      <c r="H183" s="129">
        <f>[2]Preenchimento!B68</f>
        <v>1.6500000000000001E-2</v>
      </c>
      <c r="I183" s="122">
        <f>ROUND(($I$179/(1-$H$191))*H183,2)</f>
        <v>83.15</v>
      </c>
    </row>
    <row r="184" spans="1:9" s="14" customFormat="1" ht="26.1" customHeight="1">
      <c r="A184" s="123"/>
      <c r="B184" s="499" t="s">
        <v>536</v>
      </c>
      <c r="C184" s="499"/>
      <c r="D184" s="499"/>
      <c r="E184" s="499"/>
      <c r="F184" s="499"/>
      <c r="G184" s="499"/>
      <c r="H184" s="129" t="s">
        <v>370</v>
      </c>
      <c r="I184" s="122" t="s">
        <v>370</v>
      </c>
    </row>
    <row r="185" spans="1:9" s="14" customFormat="1" ht="26.1" customHeight="1">
      <c r="A185" s="123"/>
      <c r="B185" s="499" t="s">
        <v>537</v>
      </c>
      <c r="C185" s="499"/>
      <c r="D185" s="499"/>
      <c r="E185" s="499"/>
      <c r="F185" s="499"/>
      <c r="G185" s="499"/>
      <c r="H185" s="129" t="s">
        <v>370</v>
      </c>
      <c r="I185" s="122" t="s">
        <v>370</v>
      </c>
    </row>
    <row r="186" spans="1:9" s="130" customFormat="1" ht="14.65" customHeight="1">
      <c r="A186" s="68"/>
      <c r="B186" s="500" t="s">
        <v>409</v>
      </c>
      <c r="C186" s="500"/>
      <c r="D186" s="500"/>
      <c r="E186" s="500"/>
      <c r="F186" s="500"/>
      <c r="G186" s="500"/>
      <c r="H186" s="85" t="s">
        <v>370</v>
      </c>
      <c r="I186" s="117" t="s">
        <v>370</v>
      </c>
    </row>
    <row r="187" spans="1:9" s="14" customFormat="1" ht="17.100000000000001" customHeight="1">
      <c r="A187" s="68"/>
      <c r="B187" s="501" t="s">
        <v>410</v>
      </c>
      <c r="C187" s="501"/>
      <c r="D187" s="501"/>
      <c r="E187" s="501"/>
      <c r="F187" s="501"/>
      <c r="G187" s="501"/>
      <c r="H187" s="85" t="s">
        <v>370</v>
      </c>
      <c r="I187" s="117" t="s">
        <v>370</v>
      </c>
    </row>
    <row r="188" spans="1:9" s="14" customFormat="1">
      <c r="A188" s="123"/>
      <c r="B188" s="426" t="s">
        <v>566</v>
      </c>
      <c r="C188" s="426"/>
      <c r="D188" s="426"/>
      <c r="E188" s="426"/>
      <c r="F188" s="426"/>
      <c r="G188" s="426"/>
      <c r="H188" s="129">
        <v>0.04</v>
      </c>
      <c r="I188" s="122">
        <f>ROUND(($I$179/(1-$H$191))*H188,2)</f>
        <v>201.57</v>
      </c>
    </row>
    <row r="189" spans="1:9" s="14" customFormat="1" ht="14.65" customHeight="1">
      <c r="A189" s="484" t="s">
        <v>7</v>
      </c>
      <c r="B189" s="484"/>
      <c r="C189" s="484"/>
      <c r="D189" s="484"/>
      <c r="E189" s="484"/>
      <c r="F189" s="484"/>
      <c r="G189" s="484"/>
      <c r="H189" s="484"/>
      <c r="I189" s="105">
        <f>SUM(I176+I178+I182+I183+I188)</f>
        <v>1064.8800000000001</v>
      </c>
    </row>
    <row r="190" spans="1:9" ht="14.65" customHeight="1">
      <c r="A190" s="498"/>
      <c r="B190" s="498"/>
      <c r="C190" s="498"/>
      <c r="D190" s="498"/>
      <c r="E190" s="498"/>
      <c r="F190" s="498"/>
      <c r="G190" s="498"/>
      <c r="H190" s="498"/>
      <c r="I190" s="498"/>
    </row>
    <row r="191" spans="1:9" ht="14.65" customHeight="1">
      <c r="A191" s="502" t="s">
        <v>411</v>
      </c>
      <c r="B191" s="502"/>
      <c r="C191" s="502"/>
      <c r="D191" s="502"/>
      <c r="E191" s="502"/>
      <c r="F191" s="502"/>
      <c r="G191" s="502"/>
      <c r="H191" s="208">
        <f>SUM(H182:H188)</f>
        <v>0.13250000000000001</v>
      </c>
      <c r="I191" s="209">
        <f>SUM(I182:I188)</f>
        <v>667.7</v>
      </c>
    </row>
    <row r="192" spans="1:9" ht="14.65" customHeight="1">
      <c r="A192" s="503" t="s">
        <v>412</v>
      </c>
      <c r="B192" s="504"/>
      <c r="C192" s="509" t="s">
        <v>413</v>
      </c>
      <c r="D192" s="509"/>
      <c r="E192" s="509"/>
      <c r="F192" s="509"/>
      <c r="G192" s="509"/>
      <c r="H192" s="509"/>
      <c r="I192" s="510"/>
    </row>
    <row r="193" spans="1:10" ht="14.65" customHeight="1">
      <c r="A193" s="505"/>
      <c r="B193" s="506"/>
      <c r="C193" s="511" t="s">
        <v>414</v>
      </c>
      <c r="D193" s="511"/>
      <c r="E193" s="511"/>
      <c r="F193" s="511"/>
      <c r="G193" s="511"/>
      <c r="H193" s="511"/>
      <c r="I193" s="512"/>
    </row>
    <row r="194" spans="1:10" ht="14.65" customHeight="1">
      <c r="A194" s="507"/>
      <c r="B194" s="508"/>
      <c r="C194" s="513" t="s">
        <v>415</v>
      </c>
      <c r="D194" s="513"/>
      <c r="E194" s="513"/>
      <c r="F194" s="513"/>
      <c r="G194" s="513"/>
      <c r="H194" s="513"/>
      <c r="I194" s="514"/>
    </row>
    <row r="195" spans="1:10" ht="14.65" customHeight="1">
      <c r="A195" s="517"/>
      <c r="B195" s="517"/>
      <c r="C195" s="517"/>
      <c r="D195" s="517"/>
      <c r="E195" s="517"/>
      <c r="F195" s="517"/>
      <c r="G195" s="517"/>
      <c r="H195" s="517"/>
      <c r="I195" s="517"/>
    </row>
    <row r="196" spans="1:10" ht="23.85" customHeight="1">
      <c r="A196" s="518" t="s">
        <v>416</v>
      </c>
      <c r="B196" s="518"/>
      <c r="C196" s="518"/>
      <c r="D196" s="518"/>
      <c r="E196" s="518"/>
      <c r="F196" s="518"/>
      <c r="G196" s="518"/>
      <c r="H196" s="518"/>
      <c r="I196" s="518"/>
    </row>
    <row r="197" spans="1:10" ht="14.65" customHeight="1">
      <c r="A197" s="498"/>
      <c r="B197" s="498"/>
      <c r="C197" s="498"/>
      <c r="D197" s="498"/>
      <c r="E197" s="498"/>
      <c r="F197" s="498"/>
      <c r="G197" s="498"/>
      <c r="H197" s="498"/>
      <c r="I197" s="498"/>
    </row>
    <row r="198" spans="1:10" ht="18.600000000000001" customHeight="1">
      <c r="A198" s="519" t="s">
        <v>558</v>
      </c>
      <c r="B198" s="520"/>
      <c r="C198" s="520"/>
      <c r="D198" s="520"/>
      <c r="E198" s="520"/>
      <c r="F198" s="520"/>
      <c r="G198" s="520"/>
      <c r="H198" s="520"/>
      <c r="I198" s="520"/>
      <c r="J198" s="210"/>
    </row>
    <row r="199" spans="1:10" ht="15.75" customHeight="1">
      <c r="A199" s="382" t="s">
        <v>417</v>
      </c>
      <c r="B199" s="382"/>
      <c r="C199" s="382"/>
      <c r="D199" s="382"/>
      <c r="E199" s="382"/>
      <c r="F199" s="382"/>
      <c r="G199" s="382"/>
      <c r="H199" s="382"/>
      <c r="I199" s="86" t="s">
        <v>349</v>
      </c>
    </row>
    <row r="200" spans="1:10" s="14" customFormat="1" ht="14.65" customHeight="1">
      <c r="A200" s="131" t="s">
        <v>289</v>
      </c>
      <c r="B200" s="515" t="s">
        <v>418</v>
      </c>
      <c r="C200" s="515"/>
      <c r="D200" s="515"/>
      <c r="E200" s="515"/>
      <c r="F200" s="515"/>
      <c r="G200" s="515"/>
      <c r="H200" s="515"/>
      <c r="I200" s="127">
        <f>I71</f>
        <v>1658.9</v>
      </c>
      <c r="J200" s="211"/>
    </row>
    <row r="201" spans="1:10" s="14" customFormat="1" ht="14.65" customHeight="1">
      <c r="A201" s="131" t="s">
        <v>291</v>
      </c>
      <c r="B201" s="515" t="s">
        <v>347</v>
      </c>
      <c r="C201" s="515"/>
      <c r="D201" s="515"/>
      <c r="E201" s="515"/>
      <c r="F201" s="515"/>
      <c r="G201" s="515"/>
      <c r="H201" s="515"/>
      <c r="I201" s="127">
        <f>I123</f>
        <v>1387.1499999999999</v>
      </c>
    </row>
    <row r="202" spans="1:10" s="14" customFormat="1" ht="14.65" customHeight="1">
      <c r="A202" s="131" t="s">
        <v>293</v>
      </c>
      <c r="B202" s="515" t="s">
        <v>419</v>
      </c>
      <c r="C202" s="515"/>
      <c r="D202" s="515"/>
      <c r="E202" s="515"/>
      <c r="F202" s="515"/>
      <c r="G202" s="515"/>
      <c r="H202" s="515"/>
      <c r="I202" s="127">
        <f>I133</f>
        <v>119.63</v>
      </c>
    </row>
    <row r="203" spans="1:10" s="14" customFormat="1" ht="14.65" customHeight="1">
      <c r="A203" s="131" t="s">
        <v>295</v>
      </c>
      <c r="B203" s="515" t="s">
        <v>420</v>
      </c>
      <c r="C203" s="515"/>
      <c r="D203" s="515"/>
      <c r="E203" s="515"/>
      <c r="F203" s="515"/>
      <c r="G203" s="515"/>
      <c r="H203" s="515"/>
      <c r="I203" s="127">
        <f>I161</f>
        <v>273.94</v>
      </c>
    </row>
    <row r="204" spans="1:10" s="14" customFormat="1" ht="14.65" customHeight="1">
      <c r="A204" s="131" t="s">
        <v>343</v>
      </c>
      <c r="B204" s="515" t="s">
        <v>421</v>
      </c>
      <c r="C204" s="515"/>
      <c r="D204" s="515"/>
      <c r="E204" s="515"/>
      <c r="F204" s="515"/>
      <c r="G204" s="515"/>
      <c r="H204" s="515"/>
      <c r="I204" s="127">
        <f>I169</f>
        <v>534.70000000000005</v>
      </c>
    </row>
    <row r="205" spans="1:10" ht="14.65" customHeight="1">
      <c r="A205" s="516" t="s">
        <v>422</v>
      </c>
      <c r="B205" s="516"/>
      <c r="C205" s="516"/>
      <c r="D205" s="516"/>
      <c r="E205" s="516"/>
      <c r="F205" s="516"/>
      <c r="G205" s="516"/>
      <c r="H205" s="516"/>
      <c r="I205" s="108">
        <f>SUM(I200:I204)</f>
        <v>3974.3200000000006</v>
      </c>
    </row>
    <row r="206" spans="1:10" s="14" customFormat="1" ht="14.65" customHeight="1">
      <c r="A206" s="132" t="s">
        <v>344</v>
      </c>
      <c r="B206" s="515" t="s">
        <v>423</v>
      </c>
      <c r="C206" s="515"/>
      <c r="D206" s="515"/>
      <c r="E206" s="515"/>
      <c r="F206" s="515"/>
      <c r="G206" s="515"/>
      <c r="H206" s="515"/>
      <c r="I206" s="127">
        <f>I189</f>
        <v>1064.8800000000001</v>
      </c>
    </row>
    <row r="207" spans="1:10" ht="14.65" customHeight="1">
      <c r="A207" s="516" t="s">
        <v>424</v>
      </c>
      <c r="B207" s="516"/>
      <c r="C207" s="516"/>
      <c r="D207" s="516"/>
      <c r="E207" s="516"/>
      <c r="F207" s="516"/>
      <c r="G207" s="516"/>
      <c r="H207" s="516"/>
      <c r="I207" s="108">
        <f>SUM(I205:I206)</f>
        <v>5039.2000000000007</v>
      </c>
    </row>
    <row r="208" spans="1:10">
      <c r="A208" s="87"/>
      <c r="B208" s="87"/>
      <c r="C208" s="87"/>
      <c r="D208" s="87"/>
      <c r="E208" s="87"/>
      <c r="F208" s="87"/>
      <c r="G208" s="87"/>
      <c r="H208" s="88"/>
      <c r="I208" s="89"/>
    </row>
    <row r="209" spans="1:9" ht="15.75" customHeight="1">
      <c r="A209" s="525"/>
      <c r="B209" s="525"/>
      <c r="C209" s="525"/>
      <c r="D209" s="525"/>
      <c r="E209" s="525"/>
      <c r="F209" s="525"/>
      <c r="G209" s="525"/>
      <c r="H209" s="525"/>
      <c r="I209" s="525"/>
    </row>
    <row r="210" spans="1:9" ht="17.100000000000001" customHeight="1">
      <c r="A210" s="526" t="s">
        <v>425</v>
      </c>
      <c r="B210" s="527"/>
      <c r="C210" s="527"/>
      <c r="D210" s="527"/>
      <c r="E210" s="527"/>
      <c r="F210" s="527"/>
      <c r="G210" s="527"/>
      <c r="H210" s="527"/>
      <c r="I210" s="528"/>
    </row>
    <row r="211" spans="1:9" ht="16.899999999999999" customHeight="1">
      <c r="A211" s="529" t="s">
        <v>426</v>
      </c>
      <c r="B211" s="530"/>
      <c r="C211" s="530"/>
      <c r="D211" s="530"/>
      <c r="E211" s="530"/>
      <c r="F211" s="530"/>
      <c r="G211" s="530"/>
      <c r="H211" s="530"/>
      <c r="I211" s="531"/>
    </row>
    <row r="212" spans="1:9" ht="30.6" customHeight="1">
      <c r="A212" s="529" t="s">
        <v>563</v>
      </c>
      <c r="B212" s="530"/>
      <c r="C212" s="530"/>
      <c r="D212" s="530"/>
      <c r="E212" s="530"/>
      <c r="F212" s="530"/>
      <c r="G212" s="530"/>
      <c r="H212" s="530"/>
      <c r="I212" s="531"/>
    </row>
    <row r="213" spans="1:9" ht="47.85" customHeight="1">
      <c r="A213" s="532" t="s">
        <v>427</v>
      </c>
      <c r="B213" s="532"/>
      <c r="C213" s="533" t="s">
        <v>560</v>
      </c>
      <c r="D213" s="533"/>
      <c r="E213" s="533" t="s">
        <v>562</v>
      </c>
      <c r="F213" s="533"/>
      <c r="G213" s="533" t="s">
        <v>561</v>
      </c>
      <c r="H213" s="533"/>
      <c r="I213" s="533"/>
    </row>
    <row r="214" spans="1:9" s="128" customFormat="1" ht="14.65" customHeight="1">
      <c r="A214" s="521" t="s">
        <v>428</v>
      </c>
      <c r="B214" s="521"/>
      <c r="C214" s="522" t="s">
        <v>429</v>
      </c>
      <c r="D214" s="522"/>
      <c r="E214" s="523">
        <f>I207</f>
        <v>5039.2000000000007</v>
      </c>
      <c r="F214" s="523"/>
      <c r="G214" s="524">
        <f>ROUND((1/1200)*E214,2)</f>
        <v>4.2</v>
      </c>
      <c r="H214" s="524"/>
      <c r="I214" s="524"/>
    </row>
    <row r="215" spans="1:9" s="128" customFormat="1" ht="14.65" customHeight="1">
      <c r="A215" s="521" t="s">
        <v>430</v>
      </c>
      <c r="B215" s="521"/>
      <c r="C215" s="522" t="s">
        <v>429</v>
      </c>
      <c r="D215" s="522"/>
      <c r="E215" s="534">
        <f>I207</f>
        <v>5039.2000000000007</v>
      </c>
      <c r="F215" s="534"/>
      <c r="G215" s="535">
        <f>ROUND((1/1200)*E215,2)</f>
        <v>4.2</v>
      </c>
      <c r="H215" s="535"/>
      <c r="I215" s="535"/>
    </row>
    <row r="216" spans="1:9" s="128" customFormat="1" ht="14.65" customHeight="1">
      <c r="A216" s="521" t="s">
        <v>431</v>
      </c>
      <c r="B216" s="521"/>
      <c r="C216" s="522" t="s">
        <v>432</v>
      </c>
      <c r="D216" s="522"/>
      <c r="E216" s="524">
        <f>I207</f>
        <v>5039.2000000000007</v>
      </c>
      <c r="F216" s="524"/>
      <c r="G216" s="535">
        <f>ROUND((1/450)*E216,2)</f>
        <v>11.2</v>
      </c>
      <c r="H216" s="535"/>
      <c r="I216" s="535"/>
    </row>
    <row r="217" spans="1:9" s="128" customFormat="1" ht="14.65" customHeight="1">
      <c r="A217" s="536" t="s">
        <v>433</v>
      </c>
      <c r="B217" s="536"/>
      <c r="C217" s="522" t="s">
        <v>434</v>
      </c>
      <c r="D217" s="522"/>
      <c r="E217" s="523">
        <f>I207</f>
        <v>5039.2000000000007</v>
      </c>
      <c r="F217" s="523"/>
      <c r="G217" s="537">
        <f>ROUND((1/2500)*E217,2)</f>
        <v>2.02</v>
      </c>
      <c r="H217" s="537"/>
      <c r="I217" s="537"/>
    </row>
    <row r="218" spans="1:9" s="128" customFormat="1" ht="14.65" customHeight="1">
      <c r="A218" s="521" t="s">
        <v>435</v>
      </c>
      <c r="B218" s="521"/>
      <c r="C218" s="522" t="s">
        <v>436</v>
      </c>
      <c r="D218" s="522"/>
      <c r="E218" s="524">
        <f>I207</f>
        <v>5039.2000000000007</v>
      </c>
      <c r="F218" s="524"/>
      <c r="G218" s="537">
        <f>ROUND((1/1800)*E218,2)</f>
        <v>2.8</v>
      </c>
      <c r="H218" s="537"/>
      <c r="I218" s="537"/>
    </row>
    <row r="219" spans="1:9" s="128" customFormat="1" ht="25.35" customHeight="1">
      <c r="A219" s="521" t="s">
        <v>437</v>
      </c>
      <c r="B219" s="521"/>
      <c r="C219" s="522" t="s">
        <v>438</v>
      </c>
      <c r="D219" s="522"/>
      <c r="E219" s="523">
        <f>I207</f>
        <v>5039.2000000000007</v>
      </c>
      <c r="F219" s="523"/>
      <c r="G219" s="535">
        <f>ROUND((1/1500)*E219,2)</f>
        <v>3.36</v>
      </c>
      <c r="H219" s="535"/>
      <c r="I219" s="535"/>
    </row>
    <row r="220" spans="1:9" s="128" customFormat="1" ht="14.65" customHeight="1">
      <c r="A220" s="542" t="s">
        <v>439</v>
      </c>
      <c r="B220" s="542"/>
      <c r="C220" s="543" t="s">
        <v>440</v>
      </c>
      <c r="D220" s="543"/>
      <c r="E220" s="523">
        <f>I207</f>
        <v>5039.2000000000007</v>
      </c>
      <c r="F220" s="523"/>
      <c r="G220" s="524">
        <f>ROUND((1/300)*E220,2)</f>
        <v>16.8</v>
      </c>
      <c r="H220" s="524"/>
      <c r="I220" s="524"/>
    </row>
    <row r="221" spans="1:9" ht="14.65" customHeight="1">
      <c r="A221" s="538"/>
      <c r="B221" s="538"/>
      <c r="C221" s="538"/>
      <c r="D221" s="538"/>
      <c r="E221" s="538"/>
      <c r="F221" s="538"/>
      <c r="G221" s="538"/>
      <c r="H221" s="538"/>
      <c r="I221" s="538"/>
    </row>
    <row r="222" spans="1:9" ht="14.65" customHeight="1">
      <c r="A222" s="539" t="s">
        <v>441</v>
      </c>
      <c r="B222" s="539"/>
      <c r="C222" s="539"/>
      <c r="D222" s="539"/>
      <c r="E222" s="539"/>
      <c r="F222" s="539"/>
      <c r="G222" s="539"/>
      <c r="H222" s="539"/>
      <c r="I222" s="539"/>
    </row>
    <row r="223" spans="1:9" ht="14.65" customHeight="1">
      <c r="A223" s="540"/>
      <c r="B223" s="540"/>
      <c r="C223" s="540"/>
      <c r="D223" s="540"/>
      <c r="E223" s="540"/>
      <c r="F223" s="540"/>
      <c r="G223" s="540"/>
      <c r="H223" s="540"/>
      <c r="I223" s="540"/>
    </row>
    <row r="224" spans="1:9" ht="27.75" customHeight="1">
      <c r="A224" s="541" t="s">
        <v>564</v>
      </c>
      <c r="B224" s="541"/>
      <c r="C224" s="541"/>
      <c r="D224" s="541"/>
      <c r="E224" s="541"/>
      <c r="F224" s="541"/>
      <c r="G224" s="541"/>
      <c r="H224" s="541"/>
      <c r="I224" s="541"/>
    </row>
    <row r="225" spans="1:10" ht="47.85" customHeight="1">
      <c r="A225" s="545" t="s">
        <v>442</v>
      </c>
      <c r="B225" s="545"/>
      <c r="C225" s="398" t="s">
        <v>560</v>
      </c>
      <c r="D225" s="398"/>
      <c r="E225" s="398" t="s">
        <v>559</v>
      </c>
      <c r="F225" s="398"/>
      <c r="G225" s="398" t="s">
        <v>561</v>
      </c>
      <c r="H225" s="398"/>
      <c r="I225" s="398"/>
    </row>
    <row r="226" spans="1:10" s="128" customFormat="1" ht="48.75" customHeight="1">
      <c r="A226" s="426" t="s">
        <v>443</v>
      </c>
      <c r="B226" s="426"/>
      <c r="C226" s="544" t="s">
        <v>444</v>
      </c>
      <c r="D226" s="544"/>
      <c r="E226" s="534">
        <f>I207</f>
        <v>5039.2000000000007</v>
      </c>
      <c r="F226" s="534"/>
      <c r="G226" s="534">
        <f>ROUND((1/2700)*E226,2)</f>
        <v>1.87</v>
      </c>
      <c r="H226" s="534"/>
      <c r="I226" s="534"/>
    </row>
    <row r="227" spans="1:10" s="128" customFormat="1" ht="25.35" customHeight="1">
      <c r="A227" s="426" t="s">
        <v>445</v>
      </c>
      <c r="B227" s="426"/>
      <c r="C227" s="544" t="s">
        <v>446</v>
      </c>
      <c r="D227" s="544"/>
      <c r="E227" s="534">
        <f>I207</f>
        <v>5039.2000000000007</v>
      </c>
      <c r="F227" s="534"/>
      <c r="G227" s="534">
        <f>ROUND((1/9000)*E227,2)</f>
        <v>0.56000000000000005</v>
      </c>
      <c r="H227" s="534"/>
      <c r="I227" s="534"/>
    </row>
    <row r="228" spans="1:10" s="128" customFormat="1" ht="25.35" customHeight="1">
      <c r="A228" s="426" t="s">
        <v>447</v>
      </c>
      <c r="B228" s="426"/>
      <c r="C228" s="544" t="s">
        <v>444</v>
      </c>
      <c r="D228" s="544"/>
      <c r="E228" s="534">
        <f>I207</f>
        <v>5039.2000000000007</v>
      </c>
      <c r="F228" s="534"/>
      <c r="G228" s="534">
        <f>ROUND((1/2700)*E228,2)</f>
        <v>1.87</v>
      </c>
      <c r="H228" s="534"/>
      <c r="I228" s="534"/>
    </row>
    <row r="229" spans="1:10" s="128" customFormat="1" ht="36.6" customHeight="1">
      <c r="A229" s="426" t="s">
        <v>448</v>
      </c>
      <c r="B229" s="426"/>
      <c r="C229" s="544" t="s">
        <v>444</v>
      </c>
      <c r="D229" s="544"/>
      <c r="E229" s="534">
        <f>I207</f>
        <v>5039.2000000000007</v>
      </c>
      <c r="F229" s="534"/>
      <c r="G229" s="534">
        <f>ROUND((1/2700)*E229,2)</f>
        <v>1.87</v>
      </c>
      <c r="H229" s="534"/>
      <c r="I229" s="534"/>
      <c r="J229" s="156"/>
    </row>
    <row r="230" spans="1:10" s="128" customFormat="1" ht="25.35" customHeight="1">
      <c r="A230" s="426" t="s">
        <v>449</v>
      </c>
      <c r="B230" s="426"/>
      <c r="C230" s="544" t="s">
        <v>444</v>
      </c>
      <c r="D230" s="544"/>
      <c r="E230" s="534">
        <f>I207</f>
        <v>5039.2000000000007</v>
      </c>
      <c r="F230" s="534"/>
      <c r="G230" s="534">
        <f>ROUND((1/2700)*E230,2)</f>
        <v>1.87</v>
      </c>
      <c r="H230" s="534"/>
      <c r="I230" s="534"/>
      <c r="J230" s="156"/>
    </row>
    <row r="231" spans="1:10" s="128" customFormat="1" ht="36.6" customHeight="1">
      <c r="A231" s="426" t="s">
        <v>450</v>
      </c>
      <c r="B231" s="426"/>
      <c r="C231" s="544" t="s">
        <v>451</v>
      </c>
      <c r="D231" s="544"/>
      <c r="E231" s="534">
        <f>I207</f>
        <v>5039.2000000000007</v>
      </c>
      <c r="F231" s="534"/>
      <c r="G231" s="534">
        <f>ROUND((1/100000)*E231,2)</f>
        <v>0.05</v>
      </c>
      <c r="H231" s="534"/>
      <c r="I231" s="534"/>
      <c r="J231" s="156"/>
    </row>
    <row r="232" spans="1:10" ht="14.65" customHeight="1">
      <c r="A232" s="439"/>
      <c r="B232" s="439"/>
      <c r="C232" s="439"/>
      <c r="D232" s="439"/>
      <c r="E232" s="439"/>
      <c r="F232" s="439"/>
      <c r="G232" s="439"/>
      <c r="H232" s="439"/>
      <c r="I232" s="439"/>
    </row>
    <row r="233" spans="1:10" ht="14.65" customHeight="1">
      <c r="A233" s="430" t="s">
        <v>452</v>
      </c>
      <c r="B233" s="430"/>
      <c r="C233" s="430"/>
      <c r="D233" s="430"/>
      <c r="E233" s="430"/>
      <c r="F233" s="430"/>
      <c r="G233" s="430"/>
      <c r="H233" s="430"/>
      <c r="I233" s="430"/>
    </row>
    <row r="234" spans="1:10" ht="14.65" customHeight="1">
      <c r="A234" s="404"/>
      <c r="B234" s="404"/>
      <c r="C234" s="404"/>
      <c r="D234" s="404"/>
      <c r="E234" s="404"/>
      <c r="F234" s="404"/>
      <c r="G234" s="404"/>
      <c r="H234" s="404"/>
      <c r="I234" s="404"/>
    </row>
    <row r="235" spans="1:10" ht="14.65" customHeight="1">
      <c r="A235" s="383" t="s">
        <v>565</v>
      </c>
      <c r="B235" s="383"/>
      <c r="C235" s="383"/>
      <c r="D235" s="383"/>
      <c r="E235" s="383"/>
      <c r="F235" s="383"/>
      <c r="G235" s="383"/>
      <c r="H235" s="383"/>
      <c r="I235" s="383"/>
    </row>
    <row r="236" spans="1:10" ht="21.75" customHeight="1">
      <c r="A236" s="383"/>
      <c r="B236" s="383"/>
      <c r="C236" s="383"/>
      <c r="D236" s="383"/>
      <c r="E236" s="383"/>
      <c r="F236" s="383"/>
      <c r="G236" s="383"/>
      <c r="H236" s="383"/>
      <c r="I236" s="383"/>
    </row>
    <row r="237" spans="1:10" ht="66.75" customHeight="1">
      <c r="A237" s="90" t="s">
        <v>453</v>
      </c>
      <c r="B237" s="91" t="s">
        <v>454</v>
      </c>
      <c r="C237" s="91" t="s">
        <v>455</v>
      </c>
      <c r="D237" s="547" t="s">
        <v>456</v>
      </c>
      <c r="E237" s="547"/>
      <c r="F237" s="91" t="s">
        <v>457</v>
      </c>
      <c r="G237" s="91" t="s">
        <v>458</v>
      </c>
      <c r="H237" s="547" t="s">
        <v>459</v>
      </c>
      <c r="I237" s="547"/>
    </row>
    <row r="238" spans="1:10" s="14" customFormat="1" ht="66" customHeight="1">
      <c r="A238" s="177" t="s">
        <v>461</v>
      </c>
      <c r="B238" s="175" t="s">
        <v>462</v>
      </c>
      <c r="C238" s="178">
        <v>16</v>
      </c>
      <c r="D238" s="546" t="s">
        <v>460</v>
      </c>
      <c r="E238" s="546"/>
      <c r="F238" s="212">
        <f>ROUND((1/160)*16*(1/188.76),7)</f>
        <v>5.2979999999999998E-4</v>
      </c>
      <c r="G238" s="213">
        <f>I207</f>
        <v>5039.2000000000007</v>
      </c>
      <c r="H238" s="534">
        <f>ROUND(F238*G238,2)</f>
        <v>2.67</v>
      </c>
      <c r="I238" s="534"/>
    </row>
    <row r="239" spans="1:10" s="14" customFormat="1" ht="67.900000000000006" customHeight="1">
      <c r="A239" s="177" t="s">
        <v>463</v>
      </c>
      <c r="B239" s="175" t="s">
        <v>464</v>
      </c>
      <c r="C239" s="178">
        <v>16</v>
      </c>
      <c r="D239" s="546" t="s">
        <v>460</v>
      </c>
      <c r="E239" s="546"/>
      <c r="F239" s="212">
        <f>ROUND((1/380)*16*(1/188.76),7)</f>
        <v>2.231E-4</v>
      </c>
      <c r="G239" s="213">
        <f>I207</f>
        <v>5039.2000000000007</v>
      </c>
      <c r="H239" s="534">
        <f>ROUND(F239*G239,2)</f>
        <v>1.1200000000000001</v>
      </c>
      <c r="I239" s="534"/>
      <c r="J239" s="14" t="s">
        <v>533</v>
      </c>
    </row>
    <row r="240" spans="1:10" s="14" customFormat="1" ht="25.35" customHeight="1">
      <c r="A240" s="177" t="s">
        <v>465</v>
      </c>
      <c r="B240" s="214" t="s">
        <v>464</v>
      </c>
      <c r="C240" s="215">
        <v>16</v>
      </c>
      <c r="D240" s="546" t="s">
        <v>460</v>
      </c>
      <c r="E240" s="546"/>
      <c r="F240" s="212">
        <f>ROUND((1/380)*16*(1/188.76),7)</f>
        <v>2.231E-4</v>
      </c>
      <c r="G240" s="213">
        <f>I207</f>
        <v>5039.2000000000007</v>
      </c>
      <c r="H240" s="534">
        <f>ROUND(F240*G240,2)</f>
        <v>1.1200000000000001</v>
      </c>
      <c r="I240" s="534"/>
    </row>
    <row r="241" spans="1:10" ht="14.65" customHeight="1">
      <c r="A241" s="439"/>
      <c r="B241" s="439"/>
      <c r="C241" s="439"/>
      <c r="D241" s="439"/>
      <c r="E241" s="439"/>
      <c r="F241" s="439"/>
      <c r="G241" s="439"/>
      <c r="H241" s="439"/>
      <c r="I241" s="439"/>
    </row>
    <row r="242" spans="1:10" ht="14.65" customHeight="1">
      <c r="A242" s="430" t="s">
        <v>466</v>
      </c>
      <c r="B242" s="430"/>
      <c r="C242" s="430"/>
      <c r="D242" s="430"/>
      <c r="E242" s="430"/>
      <c r="F242" s="430"/>
      <c r="G242" s="430"/>
      <c r="H242" s="430"/>
      <c r="I242" s="430"/>
    </row>
    <row r="243" spans="1:10" ht="14.65" customHeight="1">
      <c r="A243" s="431"/>
      <c r="B243" s="431"/>
      <c r="C243" s="431"/>
      <c r="D243" s="431"/>
      <c r="E243" s="431"/>
      <c r="F243" s="431"/>
      <c r="G243" s="431"/>
      <c r="H243" s="431"/>
      <c r="I243" s="431"/>
    </row>
    <row r="244" spans="1:10" ht="14.65" customHeight="1">
      <c r="A244" s="383" t="s">
        <v>467</v>
      </c>
      <c r="B244" s="383"/>
      <c r="C244" s="383"/>
      <c r="D244" s="383"/>
      <c r="E244" s="383"/>
      <c r="F244" s="383"/>
      <c r="G244" s="383"/>
      <c r="H244" s="383"/>
      <c r="I244" s="383"/>
    </row>
    <row r="245" spans="1:10" ht="58.9" customHeight="1">
      <c r="A245" s="90" t="s">
        <v>453</v>
      </c>
      <c r="B245" s="92" t="s">
        <v>468</v>
      </c>
      <c r="C245" s="111" t="s">
        <v>505</v>
      </c>
      <c r="D245" s="550" t="s">
        <v>469</v>
      </c>
      <c r="E245" s="550"/>
      <c r="F245" s="92" t="s">
        <v>470</v>
      </c>
      <c r="G245" s="92" t="s">
        <v>471</v>
      </c>
      <c r="H245" s="550" t="s">
        <v>472</v>
      </c>
      <c r="I245" s="550"/>
    </row>
    <row r="246" spans="1:10">
      <c r="A246" s="192" t="s">
        <v>474</v>
      </c>
      <c r="B246" s="160" t="s">
        <v>462</v>
      </c>
      <c r="C246" s="161">
        <v>8</v>
      </c>
      <c r="D246" s="551" t="s">
        <v>473</v>
      </c>
      <c r="E246" s="551"/>
      <c r="F246" s="193">
        <f>ROUND((1/160)*8*(1/1132.6),7)</f>
        <v>4.4100000000000001E-5</v>
      </c>
      <c r="G246" s="194">
        <f>I207</f>
        <v>5039.2000000000007</v>
      </c>
      <c r="H246" s="552">
        <f>ROUND(F246*G246,2)</f>
        <v>0.22</v>
      </c>
      <c r="I246" s="552"/>
      <c r="J246" s="14"/>
    </row>
    <row r="247" spans="1:10" ht="14.65" customHeight="1">
      <c r="A247" s="439"/>
      <c r="B247" s="439"/>
      <c r="C247" s="439"/>
      <c r="D247" s="439"/>
      <c r="E247" s="439"/>
      <c r="F247" s="439"/>
      <c r="G247" s="439"/>
      <c r="H247" s="439"/>
      <c r="I247" s="439"/>
    </row>
    <row r="248" spans="1:10" ht="14.65" customHeight="1">
      <c r="A248" s="430" t="s">
        <v>475</v>
      </c>
      <c r="B248" s="430"/>
      <c r="C248" s="430"/>
      <c r="D248" s="430"/>
      <c r="E248" s="430"/>
      <c r="F248" s="430"/>
      <c r="G248" s="430"/>
      <c r="H248" s="430"/>
      <c r="I248" s="430"/>
    </row>
    <row r="249" spans="1:10" ht="14.65" customHeight="1">
      <c r="A249" s="548"/>
      <c r="B249" s="548"/>
      <c r="C249" s="548"/>
      <c r="D249" s="548"/>
      <c r="E249" s="548"/>
      <c r="F249" s="548"/>
      <c r="G249" s="548"/>
      <c r="H249" s="548"/>
      <c r="I249" s="548"/>
    </row>
    <row r="250" spans="1:10">
      <c r="A250" s="549" t="s">
        <v>476</v>
      </c>
      <c r="B250" s="549"/>
      <c r="C250" s="549"/>
      <c r="D250" s="549"/>
      <c r="E250" s="549"/>
      <c r="F250" s="549"/>
      <c r="G250" s="549"/>
      <c r="H250" s="549"/>
      <c r="I250" s="93"/>
    </row>
    <row r="251" spans="1:10">
      <c r="A251" s="549"/>
      <c r="B251" s="549"/>
      <c r="C251" s="549"/>
      <c r="D251" s="549"/>
      <c r="E251" s="549"/>
      <c r="F251" s="549"/>
      <c r="G251" s="549"/>
      <c r="H251" s="549"/>
      <c r="I251" s="94"/>
    </row>
    <row r="252" spans="1:10" ht="36.6" customHeight="1">
      <c r="A252" s="398" t="s">
        <v>453</v>
      </c>
      <c r="B252" s="398"/>
      <c r="C252" s="398" t="s">
        <v>468</v>
      </c>
      <c r="D252" s="398"/>
      <c r="E252" s="398" t="s">
        <v>559</v>
      </c>
      <c r="F252" s="398"/>
      <c r="G252" s="398" t="s">
        <v>561</v>
      </c>
      <c r="H252" s="398"/>
      <c r="I252" s="398"/>
    </row>
    <row r="253" spans="1:10" ht="14.65" customHeight="1">
      <c r="A253" s="553" t="s">
        <v>474</v>
      </c>
      <c r="B253" s="553"/>
      <c r="C253" s="554" t="s">
        <v>432</v>
      </c>
      <c r="D253" s="554"/>
      <c r="E253" s="555">
        <f>I207</f>
        <v>5039.2000000000007</v>
      </c>
      <c r="F253" s="555"/>
      <c r="G253" s="556">
        <f>ROUND(E253/450,2)</f>
        <v>11.2</v>
      </c>
      <c r="H253" s="556"/>
      <c r="I253" s="556"/>
      <c r="J253" s="14"/>
    </row>
    <row r="254" spans="1:10" ht="14.65" customHeight="1">
      <c r="A254" s="439"/>
      <c r="B254" s="439"/>
      <c r="C254" s="439"/>
      <c r="D254" s="439"/>
      <c r="E254" s="439"/>
      <c r="F254" s="439"/>
      <c r="G254" s="439"/>
      <c r="H254" s="439"/>
      <c r="I254" s="439"/>
    </row>
    <row r="255" spans="1:10" ht="14.65" customHeight="1">
      <c r="A255" s="430" t="s">
        <v>477</v>
      </c>
      <c r="B255" s="430"/>
      <c r="C255" s="430"/>
      <c r="D255" s="430"/>
      <c r="E255" s="430"/>
      <c r="F255" s="430"/>
      <c r="G255" s="430"/>
      <c r="H255" s="430"/>
      <c r="I255" s="430"/>
    </row>
    <row r="256" spans="1:10" ht="14.65" customHeight="1">
      <c r="A256" s="560"/>
      <c r="B256" s="560"/>
      <c r="C256" s="560"/>
      <c r="D256" s="560"/>
      <c r="E256" s="560"/>
      <c r="F256" s="560"/>
      <c r="G256" s="560"/>
      <c r="H256" s="560"/>
      <c r="I256" s="560"/>
    </row>
    <row r="257" spans="1:9" ht="90.75" customHeight="1">
      <c r="A257" s="561" t="s">
        <v>478</v>
      </c>
      <c r="B257" s="561"/>
      <c r="C257" s="561"/>
      <c r="D257" s="561"/>
      <c r="E257" s="561"/>
      <c r="F257" s="561"/>
      <c r="G257" s="561"/>
      <c r="H257" s="561"/>
      <c r="I257" s="561"/>
    </row>
    <row r="258" spans="1:9">
      <c r="A258" s="442" t="s">
        <v>479</v>
      </c>
      <c r="B258" s="442"/>
      <c r="C258" s="442"/>
      <c r="D258" s="442"/>
      <c r="E258" s="442"/>
      <c r="F258" s="442"/>
      <c r="G258" s="442"/>
      <c r="H258" s="442"/>
      <c r="I258" s="442"/>
    </row>
    <row r="259" spans="1:9">
      <c r="A259" s="442"/>
      <c r="B259" s="442"/>
      <c r="C259" s="442"/>
      <c r="D259" s="442"/>
      <c r="E259" s="442"/>
      <c r="F259" s="442"/>
      <c r="G259" s="442"/>
      <c r="H259" s="442"/>
      <c r="I259" s="442"/>
    </row>
    <row r="260" spans="1:9" ht="25.35" customHeight="1">
      <c r="A260" s="562" t="s">
        <v>51</v>
      </c>
      <c r="B260" s="562"/>
      <c r="C260" s="562"/>
      <c r="D260" s="533" t="s">
        <v>480</v>
      </c>
      <c r="E260" s="533"/>
      <c r="F260" s="95" t="s">
        <v>481</v>
      </c>
      <c r="G260" s="533" t="s">
        <v>482</v>
      </c>
      <c r="H260" s="533"/>
      <c r="I260" s="533"/>
    </row>
    <row r="261" spans="1:9" s="14" customFormat="1" ht="14.65" customHeight="1">
      <c r="A261" s="557" t="s">
        <v>301</v>
      </c>
      <c r="B261" s="557"/>
      <c r="C261" s="557"/>
      <c r="D261" s="558">
        <f>G214</f>
        <v>4.2</v>
      </c>
      <c r="E261" s="558"/>
      <c r="F261" s="218">
        <f t="shared" ref="F261:F268" si="1">H20</f>
        <v>138.30000000000001</v>
      </c>
      <c r="G261" s="559">
        <f t="shared" ref="G261:G267" si="2">ROUND(D261*F261,2)</f>
        <v>580.86</v>
      </c>
      <c r="H261" s="559"/>
      <c r="I261" s="559"/>
    </row>
    <row r="262" spans="1:9" s="14" customFormat="1" ht="14.65" customHeight="1">
      <c r="A262" s="557" t="s">
        <v>302</v>
      </c>
      <c r="B262" s="557"/>
      <c r="C262" s="557"/>
      <c r="D262" s="558">
        <f t="shared" ref="D262:D267" si="3">G215</f>
        <v>4.2</v>
      </c>
      <c r="E262" s="558"/>
      <c r="F262" s="218">
        <f t="shared" si="1"/>
        <v>7300.19</v>
      </c>
      <c r="G262" s="559">
        <f t="shared" si="2"/>
        <v>30660.799999999999</v>
      </c>
      <c r="H262" s="559"/>
      <c r="I262" s="559"/>
    </row>
    <row r="263" spans="1:9" s="14" customFormat="1" ht="14.65" customHeight="1">
      <c r="A263" s="557" t="s">
        <v>303</v>
      </c>
      <c r="B263" s="557"/>
      <c r="C263" s="557"/>
      <c r="D263" s="558">
        <f t="shared" si="3"/>
        <v>11.2</v>
      </c>
      <c r="E263" s="558"/>
      <c r="F263" s="218">
        <f t="shared" si="1"/>
        <v>124.1</v>
      </c>
      <c r="G263" s="559">
        <f t="shared" si="2"/>
        <v>1389.92</v>
      </c>
      <c r="H263" s="559"/>
      <c r="I263" s="559"/>
    </row>
    <row r="264" spans="1:9" s="14" customFormat="1" ht="14.65" customHeight="1">
      <c r="A264" s="557" t="s">
        <v>304</v>
      </c>
      <c r="B264" s="557"/>
      <c r="C264" s="557"/>
      <c r="D264" s="558">
        <f t="shared" si="3"/>
        <v>2.02</v>
      </c>
      <c r="E264" s="558"/>
      <c r="F264" s="218">
        <f t="shared" si="1"/>
        <v>307.38</v>
      </c>
      <c r="G264" s="559">
        <f t="shared" si="2"/>
        <v>620.91</v>
      </c>
      <c r="H264" s="559"/>
      <c r="I264" s="559"/>
    </row>
    <row r="265" spans="1:9" s="14" customFormat="1" ht="14.65" customHeight="1">
      <c r="A265" s="557" t="s">
        <v>305</v>
      </c>
      <c r="B265" s="557"/>
      <c r="C265" s="557"/>
      <c r="D265" s="558">
        <f t="shared" si="3"/>
        <v>2.8</v>
      </c>
      <c r="E265" s="558"/>
      <c r="F265" s="218">
        <f t="shared" si="1"/>
        <v>2449.77</v>
      </c>
      <c r="G265" s="559">
        <f t="shared" si="2"/>
        <v>6859.36</v>
      </c>
      <c r="H265" s="559"/>
      <c r="I265" s="559"/>
    </row>
    <row r="266" spans="1:9" s="14" customFormat="1" ht="25.35" customHeight="1">
      <c r="A266" s="521" t="s">
        <v>306</v>
      </c>
      <c r="B266" s="521"/>
      <c r="C266" s="521"/>
      <c r="D266" s="558">
        <f t="shared" si="3"/>
        <v>3.36</v>
      </c>
      <c r="E266" s="558"/>
      <c r="F266" s="218">
        <f t="shared" si="1"/>
        <v>2163.91</v>
      </c>
      <c r="G266" s="559">
        <f t="shared" si="2"/>
        <v>7270.74</v>
      </c>
      <c r="H266" s="559"/>
      <c r="I266" s="559"/>
    </row>
    <row r="267" spans="1:9" s="14" customFormat="1" ht="14.65" customHeight="1">
      <c r="A267" s="426" t="s">
        <v>483</v>
      </c>
      <c r="B267" s="426"/>
      <c r="C267" s="426"/>
      <c r="D267" s="558">
        <f t="shared" si="3"/>
        <v>16.8</v>
      </c>
      <c r="E267" s="558"/>
      <c r="F267" s="219">
        <f t="shared" si="1"/>
        <v>526.21</v>
      </c>
      <c r="G267" s="559">
        <f t="shared" si="2"/>
        <v>8840.33</v>
      </c>
      <c r="H267" s="559"/>
      <c r="I267" s="559"/>
    </row>
    <row r="268" spans="1:9" ht="14.65" customHeight="1">
      <c r="A268" s="565" t="s">
        <v>121</v>
      </c>
      <c r="B268" s="565"/>
      <c r="C268" s="565"/>
      <c r="D268" s="565"/>
      <c r="E268" s="565"/>
      <c r="F268" s="96">
        <f t="shared" si="1"/>
        <v>13009.86</v>
      </c>
      <c r="G268" s="566">
        <f>SUM(G261:G267)</f>
        <v>56222.920000000006</v>
      </c>
      <c r="H268" s="566"/>
      <c r="I268" s="566"/>
    </row>
    <row r="269" spans="1:9" ht="14.65" customHeight="1">
      <c r="A269" s="567"/>
      <c r="B269" s="567"/>
      <c r="C269" s="567"/>
      <c r="D269" s="567"/>
      <c r="E269" s="567"/>
      <c r="F269" s="567"/>
      <c r="G269" s="567"/>
      <c r="H269" s="567"/>
      <c r="I269" s="567"/>
    </row>
    <row r="270" spans="1:9" s="14" customFormat="1" ht="25.35" customHeight="1">
      <c r="A270" s="563" t="s">
        <v>312</v>
      </c>
      <c r="B270" s="563"/>
      <c r="C270" s="563"/>
      <c r="D270" s="564">
        <f>G226</f>
        <v>1.87</v>
      </c>
      <c r="E270" s="564"/>
      <c r="F270" s="216">
        <f t="shared" ref="F270:F276" si="4">H29</f>
        <v>1065.8699999999999</v>
      </c>
      <c r="G270" s="559">
        <f t="shared" ref="G270:G275" si="5">ROUND(D270*F270,2)</f>
        <v>1993.18</v>
      </c>
      <c r="H270" s="559"/>
      <c r="I270" s="559"/>
    </row>
    <row r="271" spans="1:9" s="14" customFormat="1" ht="25.35" customHeight="1">
      <c r="A271" s="521" t="s">
        <v>484</v>
      </c>
      <c r="B271" s="521"/>
      <c r="C271" s="521"/>
      <c r="D271" s="564">
        <f t="shared" ref="D271:D275" si="6">G227</f>
        <v>0.56000000000000005</v>
      </c>
      <c r="E271" s="564"/>
      <c r="F271" s="217">
        <f t="shared" si="4"/>
        <v>623.59</v>
      </c>
      <c r="G271" s="559">
        <f t="shared" si="5"/>
        <v>349.21</v>
      </c>
      <c r="H271" s="559"/>
      <c r="I271" s="559"/>
    </row>
    <row r="272" spans="1:9" s="14" customFormat="1" ht="25.35" customHeight="1">
      <c r="A272" s="521" t="s">
        <v>485</v>
      </c>
      <c r="B272" s="521"/>
      <c r="C272" s="521"/>
      <c r="D272" s="564">
        <f t="shared" si="6"/>
        <v>1.87</v>
      </c>
      <c r="E272" s="564"/>
      <c r="F272" s="217">
        <f t="shared" si="4"/>
        <v>0</v>
      </c>
      <c r="G272" s="559">
        <f t="shared" si="5"/>
        <v>0</v>
      </c>
      <c r="H272" s="559"/>
      <c r="I272" s="559"/>
    </row>
    <row r="273" spans="1:9" s="14" customFormat="1" ht="25.35" customHeight="1">
      <c r="A273" s="521" t="s">
        <v>486</v>
      </c>
      <c r="B273" s="521"/>
      <c r="C273" s="521"/>
      <c r="D273" s="564">
        <f t="shared" si="6"/>
        <v>1.87</v>
      </c>
      <c r="E273" s="564"/>
      <c r="F273" s="217">
        <f t="shared" si="4"/>
        <v>1417.99</v>
      </c>
      <c r="G273" s="559">
        <f t="shared" si="5"/>
        <v>2651.64</v>
      </c>
      <c r="H273" s="559"/>
      <c r="I273" s="559"/>
    </row>
    <row r="274" spans="1:9" s="14" customFormat="1" ht="25.35" customHeight="1">
      <c r="A274" s="521" t="s">
        <v>487</v>
      </c>
      <c r="B274" s="521"/>
      <c r="C274" s="521"/>
      <c r="D274" s="564">
        <f t="shared" si="6"/>
        <v>1.87</v>
      </c>
      <c r="E274" s="564"/>
      <c r="F274" s="217">
        <f t="shared" si="4"/>
        <v>0</v>
      </c>
      <c r="G274" s="559">
        <f t="shared" si="5"/>
        <v>0</v>
      </c>
      <c r="H274" s="559"/>
      <c r="I274" s="559"/>
    </row>
    <row r="275" spans="1:9" s="14" customFormat="1" ht="23.85" customHeight="1">
      <c r="A275" s="536" t="s">
        <v>488</v>
      </c>
      <c r="B275" s="536"/>
      <c r="C275" s="536"/>
      <c r="D275" s="564">
        <f t="shared" si="6"/>
        <v>0.05</v>
      </c>
      <c r="E275" s="564"/>
      <c r="F275" s="217">
        <f t="shared" si="4"/>
        <v>0</v>
      </c>
      <c r="G275" s="559">
        <f t="shared" si="5"/>
        <v>0</v>
      </c>
      <c r="H275" s="559"/>
      <c r="I275" s="559"/>
    </row>
    <row r="276" spans="1:9" ht="14.65" customHeight="1">
      <c r="A276" s="565" t="s">
        <v>122</v>
      </c>
      <c r="B276" s="565"/>
      <c r="C276" s="565"/>
      <c r="D276" s="565"/>
      <c r="E276" s="565"/>
      <c r="F276" s="97">
        <f t="shared" si="4"/>
        <v>3107.45</v>
      </c>
      <c r="G276" s="566">
        <f>SUM(G270:G275)</f>
        <v>4994.03</v>
      </c>
      <c r="H276" s="566"/>
      <c r="I276" s="566"/>
    </row>
    <row r="277" spans="1:9" ht="14.65" customHeight="1">
      <c r="A277" s="569"/>
      <c r="B277" s="569"/>
      <c r="C277" s="569"/>
      <c r="D277" s="569"/>
      <c r="E277" s="569"/>
      <c r="F277" s="569"/>
      <c r="G277" s="569"/>
      <c r="H277" s="569"/>
      <c r="I277" s="569"/>
    </row>
    <row r="278" spans="1:9" s="14" customFormat="1" ht="25.35" customHeight="1">
      <c r="A278" s="570" t="s">
        <v>318</v>
      </c>
      <c r="B278" s="570"/>
      <c r="C278" s="570"/>
      <c r="D278" s="564">
        <f>H238</f>
        <v>2.67</v>
      </c>
      <c r="E278" s="564"/>
      <c r="F278" s="220">
        <f>H37</f>
        <v>308.81</v>
      </c>
      <c r="G278" s="559">
        <f>ROUND(D278*F278,2)</f>
        <v>824.52</v>
      </c>
      <c r="H278" s="559"/>
      <c r="I278" s="559"/>
    </row>
    <row r="279" spans="1:9" s="14" customFormat="1" ht="25.35" customHeight="1">
      <c r="A279" s="568" t="s">
        <v>489</v>
      </c>
      <c r="B279" s="568"/>
      <c r="C279" s="568"/>
      <c r="D279" s="558">
        <f>H239</f>
        <v>1.1200000000000001</v>
      </c>
      <c r="E279" s="558"/>
      <c r="F279" s="218">
        <f>H38</f>
        <v>1102.26</v>
      </c>
      <c r="G279" s="559">
        <f>ROUND((D279*F279),2)</f>
        <v>1234.53</v>
      </c>
      <c r="H279" s="559"/>
      <c r="I279" s="559"/>
    </row>
    <row r="280" spans="1:9" s="14" customFormat="1" ht="14.65" customHeight="1">
      <c r="A280" s="568" t="s">
        <v>490</v>
      </c>
      <c r="B280" s="568"/>
      <c r="C280" s="568"/>
      <c r="D280" s="558">
        <f>H240</f>
        <v>1.1200000000000001</v>
      </c>
      <c r="E280" s="558"/>
      <c r="F280" s="218">
        <f>H39</f>
        <v>1411.06</v>
      </c>
      <c r="G280" s="559">
        <f>ROUND((D280*F280),2)</f>
        <v>1580.39</v>
      </c>
      <c r="H280" s="559"/>
      <c r="I280" s="559"/>
    </row>
    <row r="281" spans="1:9" ht="14.65" customHeight="1">
      <c r="A281" s="565" t="s">
        <v>123</v>
      </c>
      <c r="B281" s="565"/>
      <c r="C281" s="565"/>
      <c r="D281" s="565"/>
      <c r="E281" s="565"/>
      <c r="F281" s="96">
        <f>H40</f>
        <v>2822.13</v>
      </c>
      <c r="G281" s="566">
        <f>SUM(G278:G280)</f>
        <v>3639.4400000000005</v>
      </c>
      <c r="H281" s="566"/>
      <c r="I281" s="566"/>
    </row>
    <row r="282" spans="1:9" ht="14.65" customHeight="1">
      <c r="A282" s="569"/>
      <c r="B282" s="569"/>
      <c r="C282" s="569"/>
      <c r="D282" s="569"/>
      <c r="E282" s="569"/>
      <c r="F282" s="569"/>
      <c r="G282" s="569"/>
      <c r="H282" s="569"/>
      <c r="I282" s="569"/>
    </row>
    <row r="283" spans="1:9" ht="14.65" customHeight="1">
      <c r="A283" s="575" t="s">
        <v>491</v>
      </c>
      <c r="B283" s="575"/>
      <c r="C283" s="575"/>
      <c r="D283" s="572">
        <f>H246</f>
        <v>0.22</v>
      </c>
      <c r="E283" s="572"/>
      <c r="F283" s="99">
        <f>H43</f>
        <v>75.569999999999993</v>
      </c>
      <c r="G283" s="574">
        <f>ROUND((D283*F283),2)</f>
        <v>16.63</v>
      </c>
      <c r="H283" s="574"/>
      <c r="I283" s="574"/>
    </row>
    <row r="284" spans="1:9" ht="14.65" customHeight="1">
      <c r="A284" s="565" t="s">
        <v>124</v>
      </c>
      <c r="B284" s="565"/>
      <c r="C284" s="565"/>
      <c r="D284" s="565"/>
      <c r="E284" s="565"/>
      <c r="F284" s="96">
        <f>F283</f>
        <v>75.569999999999993</v>
      </c>
      <c r="G284" s="566">
        <f>G283</f>
        <v>16.63</v>
      </c>
      <c r="H284" s="566"/>
      <c r="I284" s="566"/>
    </row>
    <row r="285" spans="1:9" ht="14.65" customHeight="1">
      <c r="A285" s="569"/>
      <c r="B285" s="569"/>
      <c r="C285" s="569"/>
      <c r="D285" s="569"/>
      <c r="E285" s="569"/>
      <c r="F285" s="569"/>
      <c r="G285" s="569"/>
      <c r="H285" s="569"/>
      <c r="I285" s="569"/>
    </row>
    <row r="286" spans="1:9" ht="14.65" customHeight="1">
      <c r="A286" s="571" t="s">
        <v>324</v>
      </c>
      <c r="B286" s="571"/>
      <c r="C286" s="571"/>
      <c r="D286" s="572">
        <f>G253</f>
        <v>11.2</v>
      </c>
      <c r="E286" s="573"/>
      <c r="F286" s="98">
        <f>H46</f>
        <v>56.82</v>
      </c>
      <c r="G286" s="574">
        <f>ROUND((D286*F286),2)</f>
        <v>636.38</v>
      </c>
      <c r="H286" s="574"/>
      <c r="I286" s="574"/>
    </row>
    <row r="287" spans="1:9" ht="14.65" customHeight="1">
      <c r="A287" s="582" t="s">
        <v>125</v>
      </c>
      <c r="B287" s="582"/>
      <c r="C287" s="582"/>
      <c r="D287" s="582"/>
      <c r="E287" s="582"/>
      <c r="F287" s="100">
        <f>F286</f>
        <v>56.82</v>
      </c>
      <c r="G287" s="574">
        <f>G286</f>
        <v>636.38</v>
      </c>
      <c r="H287" s="574"/>
      <c r="I287" s="574"/>
    </row>
    <row r="288" spans="1:9" ht="14.65" customHeight="1">
      <c r="A288" s="583"/>
      <c r="B288" s="584"/>
      <c r="C288" s="584"/>
      <c r="D288" s="584"/>
      <c r="E288" s="584"/>
      <c r="F288" s="584"/>
      <c r="G288" s="584"/>
      <c r="H288" s="584"/>
      <c r="I288" s="585"/>
    </row>
    <row r="289" spans="1:11" ht="14.65" customHeight="1">
      <c r="A289" s="576" t="s">
        <v>71</v>
      </c>
      <c r="B289" s="576"/>
      <c r="C289" s="576"/>
      <c r="D289" s="576"/>
      <c r="E289" s="576"/>
      <c r="F289" s="99">
        <f>ROUND(F268+F276+F281+F284+F287,2)</f>
        <v>19071.830000000002</v>
      </c>
      <c r="G289" s="574">
        <f>SUM(G268+G276+G281+G284+G287)</f>
        <v>65509.4</v>
      </c>
      <c r="H289" s="574"/>
      <c r="I289" s="574"/>
    </row>
    <row r="290" spans="1:11" ht="14.65" customHeight="1">
      <c r="A290" s="577"/>
      <c r="B290" s="577"/>
      <c r="C290" s="577"/>
      <c r="D290" s="577"/>
      <c r="E290" s="577"/>
      <c r="F290" s="577"/>
      <c r="G290" s="577"/>
      <c r="H290" s="577"/>
      <c r="I290" s="577"/>
      <c r="J290" s="25"/>
      <c r="K290" s="25"/>
    </row>
    <row r="291" spans="1:11" ht="19.350000000000001" customHeight="1">
      <c r="A291" s="578" t="s">
        <v>492</v>
      </c>
      <c r="B291" s="579"/>
      <c r="C291" s="579"/>
      <c r="D291" s="579"/>
      <c r="E291" s="579"/>
      <c r="F291" s="579"/>
      <c r="G291" s="579"/>
      <c r="H291" s="580"/>
      <c r="I291" s="114">
        <f>G289</f>
        <v>65509.4</v>
      </c>
      <c r="J291" s="190"/>
      <c r="K291" s="191"/>
    </row>
    <row r="292" spans="1:11" ht="19.350000000000001" customHeight="1">
      <c r="A292" s="581"/>
      <c r="B292" s="581"/>
      <c r="C292" s="581"/>
      <c r="D292" s="581"/>
      <c r="E292" s="581"/>
      <c r="F292" s="581"/>
      <c r="G292" s="581"/>
      <c r="H292" s="581"/>
      <c r="I292" s="581"/>
    </row>
    <row r="293" spans="1:11" ht="19.350000000000001" customHeight="1">
      <c r="A293" s="590" t="s">
        <v>493</v>
      </c>
      <c r="B293" s="590"/>
      <c r="C293" s="590"/>
      <c r="D293" s="590"/>
      <c r="E293" s="590"/>
      <c r="F293" s="590"/>
      <c r="G293" s="591">
        <f>H17</f>
        <v>12</v>
      </c>
      <c r="H293" s="591"/>
      <c r="I293" s="591"/>
    </row>
    <row r="294" spans="1:11" ht="19.350000000000001" customHeight="1">
      <c r="A294" s="592"/>
      <c r="B294" s="592"/>
      <c r="C294" s="592"/>
      <c r="D294" s="592"/>
      <c r="E294" s="592"/>
      <c r="F294" s="592"/>
      <c r="G294" s="592"/>
      <c r="H294" s="592"/>
      <c r="I294" s="592"/>
    </row>
    <row r="295" spans="1:11" ht="29.85" customHeight="1">
      <c r="A295" s="593" t="s">
        <v>494</v>
      </c>
      <c r="B295" s="593"/>
      <c r="C295" s="593"/>
      <c r="D295" s="593"/>
      <c r="E295" s="593"/>
      <c r="F295" s="593"/>
      <c r="G295" s="594">
        <f>ROUND(G289*G293,2)</f>
        <v>786112.8</v>
      </c>
      <c r="H295" s="594"/>
      <c r="I295" s="594"/>
    </row>
    <row r="296" spans="1:11" ht="14.65" customHeight="1">
      <c r="A296" s="595"/>
      <c r="B296" s="595"/>
      <c r="C296" s="595"/>
      <c r="D296" s="595"/>
      <c r="E296" s="595"/>
      <c r="F296" s="595"/>
      <c r="G296" s="595"/>
      <c r="H296" s="595"/>
      <c r="I296" s="595"/>
    </row>
    <row r="297" spans="1:11" ht="25.35" customHeight="1">
      <c r="A297" s="586" t="s">
        <v>531</v>
      </c>
      <c r="B297" s="586"/>
      <c r="C297" s="586"/>
      <c r="D297" s="586"/>
      <c r="E297" s="586"/>
      <c r="F297" s="586"/>
      <c r="G297" s="586"/>
      <c r="H297" s="586"/>
      <c r="I297" s="586"/>
    </row>
    <row r="298" spans="1:11" ht="14.65" customHeight="1">
      <c r="A298" s="484" t="s">
        <v>495</v>
      </c>
      <c r="B298" s="484"/>
      <c r="C298" s="484"/>
      <c r="D298" s="484"/>
      <c r="E298" s="484"/>
      <c r="F298" s="484"/>
      <c r="G298" s="484"/>
      <c r="H298" s="398" t="s">
        <v>496</v>
      </c>
      <c r="I298" s="398"/>
    </row>
    <row r="299" spans="1:11">
      <c r="A299" s="484"/>
      <c r="B299" s="484"/>
      <c r="C299" s="484"/>
      <c r="D299" s="484"/>
      <c r="E299" s="484"/>
      <c r="F299" s="484"/>
      <c r="G299" s="484"/>
      <c r="H299" s="398"/>
      <c r="I299" s="398"/>
    </row>
    <row r="300" spans="1:11" ht="14.65" customHeight="1">
      <c r="A300" s="587" t="s">
        <v>530</v>
      </c>
      <c r="B300" s="588"/>
      <c r="C300" s="588"/>
      <c r="D300" s="588"/>
      <c r="E300" s="588"/>
      <c r="F300" s="588"/>
      <c r="G300" s="588"/>
      <c r="H300" s="589">
        <f>ROUND('Cálculo Qtd'!E23,2)</f>
        <v>13</v>
      </c>
      <c r="I300" s="589"/>
    </row>
    <row r="301" spans="1:11">
      <c r="A301" s="540"/>
      <c r="B301" s="540"/>
      <c r="C301" s="540"/>
      <c r="D301" s="540"/>
      <c r="E301" s="540"/>
      <c r="F301" s="540"/>
      <c r="G301" s="540"/>
      <c r="H301" s="540"/>
      <c r="I301" s="540"/>
    </row>
    <row r="302" spans="1:11" ht="28.5" customHeight="1">
      <c r="A302" s="586" t="s">
        <v>497</v>
      </c>
      <c r="B302" s="586"/>
      <c r="C302" s="586"/>
      <c r="D302" s="586"/>
      <c r="E302" s="586"/>
      <c r="F302" s="586"/>
      <c r="G302" s="586"/>
      <c r="H302" s="586"/>
      <c r="I302" s="586"/>
    </row>
    <row r="303" spans="1:11" ht="14.65" customHeight="1">
      <c r="A303" s="398" t="s">
        <v>498</v>
      </c>
      <c r="B303" s="398"/>
      <c r="C303" s="398"/>
      <c r="D303" s="398"/>
      <c r="E303" s="398"/>
      <c r="F303" s="398"/>
      <c r="G303" s="398"/>
      <c r="H303" s="398" t="s">
        <v>499</v>
      </c>
      <c r="I303" s="398"/>
    </row>
    <row r="304" spans="1:11" ht="15.75" customHeight="1">
      <c r="A304" s="598"/>
      <c r="B304" s="598"/>
      <c r="C304" s="598"/>
      <c r="D304" s="598"/>
      <c r="E304" s="598"/>
      <c r="F304" s="598"/>
      <c r="G304" s="598"/>
      <c r="H304" s="395"/>
      <c r="I304" s="395"/>
    </row>
    <row r="305" spans="1:9" ht="14.65" customHeight="1">
      <c r="A305" s="596"/>
      <c r="B305" s="596"/>
      <c r="C305" s="596"/>
      <c r="D305" s="596"/>
      <c r="E305" s="596"/>
      <c r="F305" s="596"/>
      <c r="G305" s="596"/>
      <c r="H305" s="395"/>
      <c r="I305" s="395"/>
    </row>
    <row r="306" spans="1:9" ht="14.65" customHeight="1">
      <c r="A306" s="597"/>
      <c r="B306" s="597"/>
      <c r="C306" s="597"/>
      <c r="D306" s="597"/>
      <c r="E306" s="597"/>
      <c r="F306" s="597"/>
      <c r="G306" s="597"/>
      <c r="H306" s="395"/>
      <c r="I306" s="395"/>
    </row>
  </sheetData>
  <mergeCells count="467">
    <mergeCell ref="A305:G305"/>
    <mergeCell ref="H305:I305"/>
    <mergeCell ref="A306:G306"/>
    <mergeCell ref="H306:I306"/>
    <mergeCell ref="A301:I301"/>
    <mergeCell ref="A302:I302"/>
    <mergeCell ref="A303:G303"/>
    <mergeCell ref="H303:I303"/>
    <mergeCell ref="A304:G304"/>
    <mergeCell ref="H304:I304"/>
    <mergeCell ref="A298:G299"/>
    <mergeCell ref="H298:I299"/>
    <mergeCell ref="A300:G300"/>
    <mergeCell ref="H300:I300"/>
    <mergeCell ref="A293:F293"/>
    <mergeCell ref="G293:I293"/>
    <mergeCell ref="A294:I294"/>
    <mergeCell ref="A295:F295"/>
    <mergeCell ref="G295:I295"/>
    <mergeCell ref="A296:I296"/>
    <mergeCell ref="A289:E289"/>
    <mergeCell ref="G289:I289"/>
    <mergeCell ref="A290:I290"/>
    <mergeCell ref="A291:H291"/>
    <mergeCell ref="A292:I292"/>
    <mergeCell ref="A287:E287"/>
    <mergeCell ref="G287:I287"/>
    <mergeCell ref="A288:I288"/>
    <mergeCell ref="A297:I297"/>
    <mergeCell ref="A284:E284"/>
    <mergeCell ref="G284:I284"/>
    <mergeCell ref="A285:I285"/>
    <mergeCell ref="A286:C286"/>
    <mergeCell ref="D286:E286"/>
    <mergeCell ref="G286:I286"/>
    <mergeCell ref="A281:E281"/>
    <mergeCell ref="G281:I281"/>
    <mergeCell ref="A282:I282"/>
    <mergeCell ref="A283:C283"/>
    <mergeCell ref="D283:E283"/>
    <mergeCell ref="G283:I283"/>
    <mergeCell ref="A279:C279"/>
    <mergeCell ref="D279:E279"/>
    <mergeCell ref="G279:I279"/>
    <mergeCell ref="A280:C280"/>
    <mergeCell ref="D280:E280"/>
    <mergeCell ref="G280:I280"/>
    <mergeCell ref="A276:E276"/>
    <mergeCell ref="G276:I276"/>
    <mergeCell ref="A277:I277"/>
    <mergeCell ref="A278:C278"/>
    <mergeCell ref="D278:E278"/>
    <mergeCell ref="G278:I278"/>
    <mergeCell ref="A274:C274"/>
    <mergeCell ref="D274:E274"/>
    <mergeCell ref="G274:I274"/>
    <mergeCell ref="A275:C275"/>
    <mergeCell ref="D275:E275"/>
    <mergeCell ref="G275:I275"/>
    <mergeCell ref="A272:C272"/>
    <mergeCell ref="D272:E272"/>
    <mergeCell ref="G272:I272"/>
    <mergeCell ref="A273:C273"/>
    <mergeCell ref="D273:E273"/>
    <mergeCell ref="G273:I273"/>
    <mergeCell ref="A270:C270"/>
    <mergeCell ref="D270:E270"/>
    <mergeCell ref="G270:I270"/>
    <mergeCell ref="A271:C271"/>
    <mergeCell ref="D271:E271"/>
    <mergeCell ref="G271:I271"/>
    <mergeCell ref="A267:C267"/>
    <mergeCell ref="D267:E267"/>
    <mergeCell ref="G267:I267"/>
    <mergeCell ref="A268:E268"/>
    <mergeCell ref="G268:I268"/>
    <mergeCell ref="A269:I269"/>
    <mergeCell ref="A265:C265"/>
    <mergeCell ref="D265:E265"/>
    <mergeCell ref="G265:I265"/>
    <mergeCell ref="A266:C266"/>
    <mergeCell ref="D266:E266"/>
    <mergeCell ref="G266:I266"/>
    <mergeCell ref="A263:C263"/>
    <mergeCell ref="D263:E263"/>
    <mergeCell ref="G263:I263"/>
    <mergeCell ref="A264:C264"/>
    <mergeCell ref="D264:E264"/>
    <mergeCell ref="G264:I264"/>
    <mergeCell ref="A262:C262"/>
    <mergeCell ref="D262:E262"/>
    <mergeCell ref="G262:I262"/>
    <mergeCell ref="A254:I254"/>
    <mergeCell ref="A255:I255"/>
    <mergeCell ref="A256:I256"/>
    <mergeCell ref="A257:I257"/>
    <mergeCell ref="A258:I259"/>
    <mergeCell ref="A260:C260"/>
    <mergeCell ref="D260:E260"/>
    <mergeCell ref="G260:I260"/>
    <mergeCell ref="A253:B253"/>
    <mergeCell ref="C253:D253"/>
    <mergeCell ref="E253:F253"/>
    <mergeCell ref="G253:I253"/>
    <mergeCell ref="A252:B252"/>
    <mergeCell ref="C252:D252"/>
    <mergeCell ref="E252:F252"/>
    <mergeCell ref="G252:I252"/>
    <mergeCell ref="A261:C261"/>
    <mergeCell ref="D261:E261"/>
    <mergeCell ref="G261:I261"/>
    <mergeCell ref="A244:I244"/>
    <mergeCell ref="D240:E240"/>
    <mergeCell ref="H240:I240"/>
    <mergeCell ref="A247:I247"/>
    <mergeCell ref="A248:I248"/>
    <mergeCell ref="A249:I249"/>
    <mergeCell ref="A250:H251"/>
    <mergeCell ref="D245:E245"/>
    <mergeCell ref="H245:I245"/>
    <mergeCell ref="D246:E246"/>
    <mergeCell ref="H246:I246"/>
    <mergeCell ref="D239:E239"/>
    <mergeCell ref="H239:I239"/>
    <mergeCell ref="D237:E237"/>
    <mergeCell ref="H237:I237"/>
    <mergeCell ref="D238:E238"/>
    <mergeCell ref="H238:I238"/>
    <mergeCell ref="A241:I241"/>
    <mergeCell ref="A242:I242"/>
    <mergeCell ref="A243:I243"/>
    <mergeCell ref="A230:B230"/>
    <mergeCell ref="C230:D230"/>
    <mergeCell ref="E230:F230"/>
    <mergeCell ref="G230:I230"/>
    <mergeCell ref="A232:I232"/>
    <mergeCell ref="A233:I233"/>
    <mergeCell ref="A234:I234"/>
    <mergeCell ref="A235:I236"/>
    <mergeCell ref="A231:B231"/>
    <mergeCell ref="C231:D231"/>
    <mergeCell ref="E231:F231"/>
    <mergeCell ref="G231:I231"/>
    <mergeCell ref="A227:B227"/>
    <mergeCell ref="C227:D227"/>
    <mergeCell ref="E227:F227"/>
    <mergeCell ref="G227:I227"/>
    <mergeCell ref="A228:B228"/>
    <mergeCell ref="C228:D228"/>
    <mergeCell ref="E228:F228"/>
    <mergeCell ref="G228:I228"/>
    <mergeCell ref="A229:B229"/>
    <mergeCell ref="C229:D229"/>
    <mergeCell ref="E229:F229"/>
    <mergeCell ref="G229:I229"/>
    <mergeCell ref="A222:I222"/>
    <mergeCell ref="A223:I223"/>
    <mergeCell ref="A224:I224"/>
    <mergeCell ref="A220:B220"/>
    <mergeCell ref="C220:D220"/>
    <mergeCell ref="E220:F220"/>
    <mergeCell ref="G220:I220"/>
    <mergeCell ref="A226:B226"/>
    <mergeCell ref="C226:D226"/>
    <mergeCell ref="E226:F226"/>
    <mergeCell ref="G226:I226"/>
    <mergeCell ref="A225:B225"/>
    <mergeCell ref="C225:D225"/>
    <mergeCell ref="E225:F225"/>
    <mergeCell ref="G225:I225"/>
    <mergeCell ref="A218:B218"/>
    <mergeCell ref="C218:D218"/>
    <mergeCell ref="E218:F218"/>
    <mergeCell ref="G218:I218"/>
    <mergeCell ref="A219:B219"/>
    <mergeCell ref="C219:D219"/>
    <mergeCell ref="E219:F219"/>
    <mergeCell ref="G219:I219"/>
    <mergeCell ref="A221:I221"/>
    <mergeCell ref="A215:B215"/>
    <mergeCell ref="C215:D215"/>
    <mergeCell ref="E215:F215"/>
    <mergeCell ref="G215:I215"/>
    <mergeCell ref="A216:B216"/>
    <mergeCell ref="C216:D216"/>
    <mergeCell ref="E216:F216"/>
    <mergeCell ref="G216:I216"/>
    <mergeCell ref="A217:B217"/>
    <mergeCell ref="C217:D217"/>
    <mergeCell ref="E217:F217"/>
    <mergeCell ref="G217:I217"/>
    <mergeCell ref="A214:B214"/>
    <mergeCell ref="C214:D214"/>
    <mergeCell ref="E214:F214"/>
    <mergeCell ref="G214:I214"/>
    <mergeCell ref="A207:H207"/>
    <mergeCell ref="A209:I209"/>
    <mergeCell ref="A210:I210"/>
    <mergeCell ref="A211:I211"/>
    <mergeCell ref="A212:I212"/>
    <mergeCell ref="A213:B213"/>
    <mergeCell ref="C213:D213"/>
    <mergeCell ref="E213:F213"/>
    <mergeCell ref="G213:I213"/>
    <mergeCell ref="B201:H201"/>
    <mergeCell ref="B202:H202"/>
    <mergeCell ref="B203:H203"/>
    <mergeCell ref="B204:H204"/>
    <mergeCell ref="A205:H205"/>
    <mergeCell ref="B206:H206"/>
    <mergeCell ref="A195:I195"/>
    <mergeCell ref="A196:I196"/>
    <mergeCell ref="A197:I197"/>
    <mergeCell ref="A198:I198"/>
    <mergeCell ref="A199:H199"/>
    <mergeCell ref="B200:H200"/>
    <mergeCell ref="B187:G187"/>
    <mergeCell ref="B188:G188"/>
    <mergeCell ref="A189:H189"/>
    <mergeCell ref="A190:I190"/>
    <mergeCell ref="A191:G191"/>
    <mergeCell ref="A192:B194"/>
    <mergeCell ref="C192:I192"/>
    <mergeCell ref="C193:I193"/>
    <mergeCell ref="C194:I194"/>
    <mergeCell ref="B181:G181"/>
    <mergeCell ref="B182:G182"/>
    <mergeCell ref="B183:G183"/>
    <mergeCell ref="B184:G184"/>
    <mergeCell ref="B185:G185"/>
    <mergeCell ref="B186:G186"/>
    <mergeCell ref="A175:G175"/>
    <mergeCell ref="B176:G176"/>
    <mergeCell ref="A177:G177"/>
    <mergeCell ref="B178:G178"/>
    <mergeCell ref="A179:G179"/>
    <mergeCell ref="B180:G180"/>
    <mergeCell ref="B168:H168"/>
    <mergeCell ref="A169:H169"/>
    <mergeCell ref="A170:I170"/>
    <mergeCell ref="A171:I171"/>
    <mergeCell ref="A173:I173"/>
    <mergeCell ref="B174:G174"/>
    <mergeCell ref="A162:I162"/>
    <mergeCell ref="A163:I163"/>
    <mergeCell ref="B164:H164"/>
    <mergeCell ref="B165:H165"/>
    <mergeCell ref="B166:H166"/>
    <mergeCell ref="B167:H167"/>
    <mergeCell ref="A156:I156"/>
    <mergeCell ref="A157:I157"/>
    <mergeCell ref="B158:H158"/>
    <mergeCell ref="B159:H159"/>
    <mergeCell ref="B160:H160"/>
    <mergeCell ref="A161:H161"/>
    <mergeCell ref="A150:H150"/>
    <mergeCell ref="A151:I151"/>
    <mergeCell ref="A152:I152"/>
    <mergeCell ref="B153:H153"/>
    <mergeCell ref="B154:H154"/>
    <mergeCell ref="A155:H155"/>
    <mergeCell ref="B144:H144"/>
    <mergeCell ref="B145:H145"/>
    <mergeCell ref="B146:H146"/>
    <mergeCell ref="B147:H147"/>
    <mergeCell ref="B148:H148"/>
    <mergeCell ref="B149:H149"/>
    <mergeCell ref="A137:I137"/>
    <mergeCell ref="A138:I138"/>
    <mergeCell ref="A141:I141"/>
    <mergeCell ref="B143:H143"/>
    <mergeCell ref="A140:H140"/>
    <mergeCell ref="A142:I142"/>
    <mergeCell ref="B131:H131"/>
    <mergeCell ref="B132:H132"/>
    <mergeCell ref="A133:H133"/>
    <mergeCell ref="A134:I134"/>
    <mergeCell ref="A135:I135"/>
    <mergeCell ref="A136:I136"/>
    <mergeCell ref="A125:I125"/>
    <mergeCell ref="B126:H126"/>
    <mergeCell ref="B127:H127"/>
    <mergeCell ref="B128:H128"/>
    <mergeCell ref="B129:H129"/>
    <mergeCell ref="B130:H130"/>
    <mergeCell ref="B119:H119"/>
    <mergeCell ref="B120:H120"/>
    <mergeCell ref="B121:H121"/>
    <mergeCell ref="B122:H122"/>
    <mergeCell ref="A123:H123"/>
    <mergeCell ref="A124:I124"/>
    <mergeCell ref="B113:H113"/>
    <mergeCell ref="B114:H114"/>
    <mergeCell ref="A115:I115"/>
    <mergeCell ref="A116:I116"/>
    <mergeCell ref="A117:I117"/>
    <mergeCell ref="A118:I118"/>
    <mergeCell ref="A109:A112"/>
    <mergeCell ref="B109:H109"/>
    <mergeCell ref="I109:I112"/>
    <mergeCell ref="B110:G110"/>
    <mergeCell ref="B111:G111"/>
    <mergeCell ref="B112:G112"/>
    <mergeCell ref="A105:A108"/>
    <mergeCell ref="B105:H105"/>
    <mergeCell ref="I105:I108"/>
    <mergeCell ref="B106:G106"/>
    <mergeCell ref="B107:G107"/>
    <mergeCell ref="B108:G108"/>
    <mergeCell ref="A97:I97"/>
    <mergeCell ref="A98:I98"/>
    <mergeCell ref="B99:H99"/>
    <mergeCell ref="A100:A104"/>
    <mergeCell ref="B100:H100"/>
    <mergeCell ref="I100:I104"/>
    <mergeCell ref="B101:G101"/>
    <mergeCell ref="B102:G102"/>
    <mergeCell ref="B103:G103"/>
    <mergeCell ref="B104:G104"/>
    <mergeCell ref="B90:G90"/>
    <mergeCell ref="B91:G91"/>
    <mergeCell ref="B92:G92"/>
    <mergeCell ref="B93:G93"/>
    <mergeCell ref="A94:G94"/>
    <mergeCell ref="A96:I96"/>
    <mergeCell ref="A84:I84"/>
    <mergeCell ref="B85:G85"/>
    <mergeCell ref="B86:G86"/>
    <mergeCell ref="B87:G87"/>
    <mergeCell ref="B88:C88"/>
    <mergeCell ref="B89:G89"/>
    <mergeCell ref="B78:H78"/>
    <mergeCell ref="B79:H79"/>
    <mergeCell ref="A80:H80"/>
    <mergeCell ref="A81:I81"/>
    <mergeCell ref="A82:I82"/>
    <mergeCell ref="A83:I83"/>
    <mergeCell ref="A72:I72"/>
    <mergeCell ref="A73:I73"/>
    <mergeCell ref="A74:I74"/>
    <mergeCell ref="A75:I75"/>
    <mergeCell ref="A76:I76"/>
    <mergeCell ref="B77:H77"/>
    <mergeCell ref="B69:G69"/>
    <mergeCell ref="B70:H70"/>
    <mergeCell ref="A71:G71"/>
    <mergeCell ref="A63:I63"/>
    <mergeCell ref="A64:I64"/>
    <mergeCell ref="A65:I65"/>
    <mergeCell ref="A66:I66"/>
    <mergeCell ref="B67:G67"/>
    <mergeCell ref="B68:H68"/>
    <mergeCell ref="B60:G60"/>
    <mergeCell ref="H60:I60"/>
    <mergeCell ref="B61:G61"/>
    <mergeCell ref="H61:I61"/>
    <mergeCell ref="B62:G62"/>
    <mergeCell ref="H62:I62"/>
    <mergeCell ref="A55:I55"/>
    <mergeCell ref="A56:I56"/>
    <mergeCell ref="A57:I57"/>
    <mergeCell ref="B58:G58"/>
    <mergeCell ref="H58:I58"/>
    <mergeCell ref="B59:G59"/>
    <mergeCell ref="H59:I59"/>
    <mergeCell ref="A50:I50"/>
    <mergeCell ref="A51:G51"/>
    <mergeCell ref="H51:I51"/>
    <mergeCell ref="A52:I52"/>
    <mergeCell ref="A53:I53"/>
    <mergeCell ref="A54:I54"/>
    <mergeCell ref="A46:G46"/>
    <mergeCell ref="H46:I46"/>
    <mergeCell ref="A48:E48"/>
    <mergeCell ref="F48:G48"/>
    <mergeCell ref="H48:I48"/>
    <mergeCell ref="A49:G49"/>
    <mergeCell ref="H49:I49"/>
    <mergeCell ref="A43:G43"/>
    <mergeCell ref="H43:I43"/>
    <mergeCell ref="A44:I44"/>
    <mergeCell ref="A45:E45"/>
    <mergeCell ref="F45:G45"/>
    <mergeCell ref="H45:I45"/>
    <mergeCell ref="A40:G40"/>
    <mergeCell ref="H40:I40"/>
    <mergeCell ref="A41:I41"/>
    <mergeCell ref="A42:E42"/>
    <mergeCell ref="F42:G42"/>
    <mergeCell ref="H42:I42"/>
    <mergeCell ref="A38:E38"/>
    <mergeCell ref="F38:G38"/>
    <mergeCell ref="H38:I38"/>
    <mergeCell ref="A39:E39"/>
    <mergeCell ref="F39:G39"/>
    <mergeCell ref="H39:I39"/>
    <mergeCell ref="A35:G35"/>
    <mergeCell ref="H35:I35"/>
    <mergeCell ref="A36:I36"/>
    <mergeCell ref="A37:E37"/>
    <mergeCell ref="F37:G37"/>
    <mergeCell ref="H37:I37"/>
    <mergeCell ref="A33:E33"/>
    <mergeCell ref="F33:G33"/>
    <mergeCell ref="H33:I33"/>
    <mergeCell ref="A34:E34"/>
    <mergeCell ref="F34:G34"/>
    <mergeCell ref="H34:I34"/>
    <mergeCell ref="A31:E31"/>
    <mergeCell ref="F31:G31"/>
    <mergeCell ref="H31:I31"/>
    <mergeCell ref="A32:E32"/>
    <mergeCell ref="F32:G32"/>
    <mergeCell ref="H32:I32"/>
    <mergeCell ref="A29:E29"/>
    <mergeCell ref="F29:G29"/>
    <mergeCell ref="H29:I29"/>
    <mergeCell ref="A30:E30"/>
    <mergeCell ref="F30:G30"/>
    <mergeCell ref="H30:I30"/>
    <mergeCell ref="A26:E26"/>
    <mergeCell ref="F26:G26"/>
    <mergeCell ref="H26:I26"/>
    <mergeCell ref="A27:G27"/>
    <mergeCell ref="H27:I27"/>
    <mergeCell ref="A28:I28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B15:G15"/>
    <mergeCell ref="H15:I15"/>
    <mergeCell ref="B17:G17"/>
    <mergeCell ref="H17:I17"/>
    <mergeCell ref="A18:I18"/>
    <mergeCell ref="A19:E19"/>
    <mergeCell ref="F19:G19"/>
    <mergeCell ref="H19:I19"/>
    <mergeCell ref="B16:G16"/>
    <mergeCell ref="H16:I16"/>
    <mergeCell ref="A12:I12"/>
    <mergeCell ref="B13:G13"/>
    <mergeCell ref="H13:I13"/>
    <mergeCell ref="B14:G14"/>
    <mergeCell ref="H14:I14"/>
    <mergeCell ref="A7:I7"/>
    <mergeCell ref="A8:I8"/>
    <mergeCell ref="A9:E9"/>
    <mergeCell ref="F9:I9"/>
    <mergeCell ref="A10:E10"/>
    <mergeCell ref="F10:I10"/>
    <mergeCell ref="F11:I11"/>
    <mergeCell ref="A11:E11"/>
  </mergeCells>
  <conditionalFormatting sqref="C4">
    <cfRule type="expression" dxfId="1" priority="1" stopIfTrue="1">
      <formula>LEN(TRIM(C4))=0</formula>
    </cfRule>
    <cfRule type="expression" dxfId="0" priority="2" stopIfTrue="1">
      <formula>LEN(TRIM(C4))=0</formula>
    </cfRule>
  </conditionalFormatting>
  <pageMargins left="0.70866141732283472" right="0.70866141732283472" top="0.74803149606299213" bottom="0.74803149606299213" header="0" footer="0"/>
  <pageSetup paperSize="9" scale="80" fitToHeight="0" orientation="portrait" r:id="rId1"/>
  <headerFooter>
    <oddFooter>&amp;CANEXO IV - Planilha de Custos e Formação de Preços
Processo n.º 23370.000233/2021-32
Pregão Eletrônico 036/2021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F0B8-4895-4EA7-8160-30FA99808781}">
  <sheetPr>
    <pageSetUpPr fitToPage="1"/>
  </sheetPr>
  <dimension ref="A2:G38"/>
  <sheetViews>
    <sheetView workbookViewId="0">
      <selection activeCell="C40" sqref="C40"/>
    </sheetView>
  </sheetViews>
  <sheetFormatPr defaultColWidth="11.5703125" defaultRowHeight="12.75"/>
  <cols>
    <col min="1" max="1" width="6" style="288" customWidth="1"/>
    <col min="2" max="2" width="37" style="288" customWidth="1"/>
    <col min="3" max="3" width="28.85546875" style="288" customWidth="1"/>
    <col min="4" max="4" width="21.7109375" style="288" customWidth="1"/>
    <col min="5" max="5" width="19.5703125" style="288" customWidth="1"/>
    <col min="6" max="6" width="25.28515625" style="288" customWidth="1"/>
    <col min="7" max="256" width="11.5703125" style="288"/>
    <col min="257" max="257" width="6" style="288" customWidth="1"/>
    <col min="258" max="258" width="37" style="288" customWidth="1"/>
    <col min="259" max="259" width="28.85546875" style="288" customWidth="1"/>
    <col min="260" max="260" width="21.7109375" style="288" customWidth="1"/>
    <col min="261" max="261" width="19.5703125" style="288" customWidth="1"/>
    <col min="262" max="262" width="25.28515625" style="288" customWidth="1"/>
    <col min="263" max="512" width="11.5703125" style="288"/>
    <col min="513" max="513" width="6" style="288" customWidth="1"/>
    <col min="514" max="514" width="37" style="288" customWidth="1"/>
    <col min="515" max="515" width="28.85546875" style="288" customWidth="1"/>
    <col min="516" max="516" width="21.7109375" style="288" customWidth="1"/>
    <col min="517" max="517" width="19.5703125" style="288" customWidth="1"/>
    <col min="518" max="518" width="25.28515625" style="288" customWidth="1"/>
    <col min="519" max="768" width="11.5703125" style="288"/>
    <col min="769" max="769" width="6" style="288" customWidth="1"/>
    <col min="770" max="770" width="37" style="288" customWidth="1"/>
    <col min="771" max="771" width="28.85546875" style="288" customWidth="1"/>
    <col min="772" max="772" width="21.7109375" style="288" customWidth="1"/>
    <col min="773" max="773" width="19.5703125" style="288" customWidth="1"/>
    <col min="774" max="774" width="25.28515625" style="288" customWidth="1"/>
    <col min="775" max="1024" width="11.5703125" style="288"/>
    <col min="1025" max="1025" width="6" style="288" customWidth="1"/>
    <col min="1026" max="1026" width="37" style="288" customWidth="1"/>
    <col min="1027" max="1027" width="28.85546875" style="288" customWidth="1"/>
    <col min="1028" max="1028" width="21.7109375" style="288" customWidth="1"/>
    <col min="1029" max="1029" width="19.5703125" style="288" customWidth="1"/>
    <col min="1030" max="1030" width="25.28515625" style="288" customWidth="1"/>
    <col min="1031" max="1280" width="11.5703125" style="288"/>
    <col min="1281" max="1281" width="6" style="288" customWidth="1"/>
    <col min="1282" max="1282" width="37" style="288" customWidth="1"/>
    <col min="1283" max="1283" width="28.85546875" style="288" customWidth="1"/>
    <col min="1284" max="1284" width="21.7109375" style="288" customWidth="1"/>
    <col min="1285" max="1285" width="19.5703125" style="288" customWidth="1"/>
    <col min="1286" max="1286" width="25.28515625" style="288" customWidth="1"/>
    <col min="1287" max="1536" width="11.5703125" style="288"/>
    <col min="1537" max="1537" width="6" style="288" customWidth="1"/>
    <col min="1538" max="1538" width="37" style="288" customWidth="1"/>
    <col min="1539" max="1539" width="28.85546875" style="288" customWidth="1"/>
    <col min="1540" max="1540" width="21.7109375" style="288" customWidth="1"/>
    <col min="1541" max="1541" width="19.5703125" style="288" customWidth="1"/>
    <col min="1542" max="1542" width="25.28515625" style="288" customWidth="1"/>
    <col min="1543" max="1792" width="11.5703125" style="288"/>
    <col min="1793" max="1793" width="6" style="288" customWidth="1"/>
    <col min="1794" max="1794" width="37" style="288" customWidth="1"/>
    <col min="1795" max="1795" width="28.85546875" style="288" customWidth="1"/>
    <col min="1796" max="1796" width="21.7109375" style="288" customWidth="1"/>
    <col min="1797" max="1797" width="19.5703125" style="288" customWidth="1"/>
    <col min="1798" max="1798" width="25.28515625" style="288" customWidth="1"/>
    <col min="1799" max="2048" width="11.5703125" style="288"/>
    <col min="2049" max="2049" width="6" style="288" customWidth="1"/>
    <col min="2050" max="2050" width="37" style="288" customWidth="1"/>
    <col min="2051" max="2051" width="28.85546875" style="288" customWidth="1"/>
    <col min="2052" max="2052" width="21.7109375" style="288" customWidth="1"/>
    <col min="2053" max="2053" width="19.5703125" style="288" customWidth="1"/>
    <col min="2054" max="2054" width="25.28515625" style="288" customWidth="1"/>
    <col min="2055" max="2304" width="11.5703125" style="288"/>
    <col min="2305" max="2305" width="6" style="288" customWidth="1"/>
    <col min="2306" max="2306" width="37" style="288" customWidth="1"/>
    <col min="2307" max="2307" width="28.85546875" style="288" customWidth="1"/>
    <col min="2308" max="2308" width="21.7109375" style="288" customWidth="1"/>
    <col min="2309" max="2309" width="19.5703125" style="288" customWidth="1"/>
    <col min="2310" max="2310" width="25.28515625" style="288" customWidth="1"/>
    <col min="2311" max="2560" width="11.5703125" style="288"/>
    <col min="2561" max="2561" width="6" style="288" customWidth="1"/>
    <col min="2562" max="2562" width="37" style="288" customWidth="1"/>
    <col min="2563" max="2563" width="28.85546875" style="288" customWidth="1"/>
    <col min="2564" max="2564" width="21.7109375" style="288" customWidth="1"/>
    <col min="2565" max="2565" width="19.5703125" style="288" customWidth="1"/>
    <col min="2566" max="2566" width="25.28515625" style="288" customWidth="1"/>
    <col min="2567" max="2816" width="11.5703125" style="288"/>
    <col min="2817" max="2817" width="6" style="288" customWidth="1"/>
    <col min="2818" max="2818" width="37" style="288" customWidth="1"/>
    <col min="2819" max="2819" width="28.85546875" style="288" customWidth="1"/>
    <col min="2820" max="2820" width="21.7109375" style="288" customWidth="1"/>
    <col min="2821" max="2821" width="19.5703125" style="288" customWidth="1"/>
    <col min="2822" max="2822" width="25.28515625" style="288" customWidth="1"/>
    <col min="2823" max="3072" width="11.5703125" style="288"/>
    <col min="3073" max="3073" width="6" style="288" customWidth="1"/>
    <col min="3074" max="3074" width="37" style="288" customWidth="1"/>
    <col min="3075" max="3075" width="28.85546875" style="288" customWidth="1"/>
    <col min="3076" max="3076" width="21.7109375" style="288" customWidth="1"/>
    <col min="3077" max="3077" width="19.5703125" style="288" customWidth="1"/>
    <col min="3078" max="3078" width="25.28515625" style="288" customWidth="1"/>
    <col min="3079" max="3328" width="11.5703125" style="288"/>
    <col min="3329" max="3329" width="6" style="288" customWidth="1"/>
    <col min="3330" max="3330" width="37" style="288" customWidth="1"/>
    <col min="3331" max="3331" width="28.85546875" style="288" customWidth="1"/>
    <col min="3332" max="3332" width="21.7109375" style="288" customWidth="1"/>
    <col min="3333" max="3333" width="19.5703125" style="288" customWidth="1"/>
    <col min="3334" max="3334" width="25.28515625" style="288" customWidth="1"/>
    <col min="3335" max="3584" width="11.5703125" style="288"/>
    <col min="3585" max="3585" width="6" style="288" customWidth="1"/>
    <col min="3586" max="3586" width="37" style="288" customWidth="1"/>
    <col min="3587" max="3587" width="28.85546875" style="288" customWidth="1"/>
    <col min="3588" max="3588" width="21.7109375" style="288" customWidth="1"/>
    <col min="3589" max="3589" width="19.5703125" style="288" customWidth="1"/>
    <col min="3590" max="3590" width="25.28515625" style="288" customWidth="1"/>
    <col min="3591" max="3840" width="11.5703125" style="288"/>
    <col min="3841" max="3841" width="6" style="288" customWidth="1"/>
    <col min="3842" max="3842" width="37" style="288" customWidth="1"/>
    <col min="3843" max="3843" width="28.85546875" style="288" customWidth="1"/>
    <col min="3844" max="3844" width="21.7109375" style="288" customWidth="1"/>
    <col min="3845" max="3845" width="19.5703125" style="288" customWidth="1"/>
    <col min="3846" max="3846" width="25.28515625" style="288" customWidth="1"/>
    <col min="3847" max="4096" width="11.5703125" style="288"/>
    <col min="4097" max="4097" width="6" style="288" customWidth="1"/>
    <col min="4098" max="4098" width="37" style="288" customWidth="1"/>
    <col min="4099" max="4099" width="28.85546875" style="288" customWidth="1"/>
    <col min="4100" max="4100" width="21.7109375" style="288" customWidth="1"/>
    <col min="4101" max="4101" width="19.5703125" style="288" customWidth="1"/>
    <col min="4102" max="4102" width="25.28515625" style="288" customWidth="1"/>
    <col min="4103" max="4352" width="11.5703125" style="288"/>
    <col min="4353" max="4353" width="6" style="288" customWidth="1"/>
    <col min="4354" max="4354" width="37" style="288" customWidth="1"/>
    <col min="4355" max="4355" width="28.85546875" style="288" customWidth="1"/>
    <col min="4356" max="4356" width="21.7109375" style="288" customWidth="1"/>
    <col min="4357" max="4357" width="19.5703125" style="288" customWidth="1"/>
    <col min="4358" max="4358" width="25.28515625" style="288" customWidth="1"/>
    <col min="4359" max="4608" width="11.5703125" style="288"/>
    <col min="4609" max="4609" width="6" style="288" customWidth="1"/>
    <col min="4610" max="4610" width="37" style="288" customWidth="1"/>
    <col min="4611" max="4611" width="28.85546875" style="288" customWidth="1"/>
    <col min="4612" max="4612" width="21.7109375" style="288" customWidth="1"/>
    <col min="4613" max="4613" width="19.5703125" style="288" customWidth="1"/>
    <col min="4614" max="4614" width="25.28515625" style="288" customWidth="1"/>
    <col min="4615" max="4864" width="11.5703125" style="288"/>
    <col min="4865" max="4865" width="6" style="288" customWidth="1"/>
    <col min="4866" max="4866" width="37" style="288" customWidth="1"/>
    <col min="4867" max="4867" width="28.85546875" style="288" customWidth="1"/>
    <col min="4868" max="4868" width="21.7109375" style="288" customWidth="1"/>
    <col min="4869" max="4869" width="19.5703125" style="288" customWidth="1"/>
    <col min="4870" max="4870" width="25.28515625" style="288" customWidth="1"/>
    <col min="4871" max="5120" width="11.5703125" style="288"/>
    <col min="5121" max="5121" width="6" style="288" customWidth="1"/>
    <col min="5122" max="5122" width="37" style="288" customWidth="1"/>
    <col min="5123" max="5123" width="28.85546875" style="288" customWidth="1"/>
    <col min="5124" max="5124" width="21.7109375" style="288" customWidth="1"/>
    <col min="5125" max="5125" width="19.5703125" style="288" customWidth="1"/>
    <col min="5126" max="5126" width="25.28515625" style="288" customWidth="1"/>
    <col min="5127" max="5376" width="11.5703125" style="288"/>
    <col min="5377" max="5377" width="6" style="288" customWidth="1"/>
    <col min="5378" max="5378" width="37" style="288" customWidth="1"/>
    <col min="5379" max="5379" width="28.85546875" style="288" customWidth="1"/>
    <col min="5380" max="5380" width="21.7109375" style="288" customWidth="1"/>
    <col min="5381" max="5381" width="19.5703125" style="288" customWidth="1"/>
    <col min="5382" max="5382" width="25.28515625" style="288" customWidth="1"/>
    <col min="5383" max="5632" width="11.5703125" style="288"/>
    <col min="5633" max="5633" width="6" style="288" customWidth="1"/>
    <col min="5634" max="5634" width="37" style="288" customWidth="1"/>
    <col min="5635" max="5635" width="28.85546875" style="288" customWidth="1"/>
    <col min="5636" max="5636" width="21.7109375" style="288" customWidth="1"/>
    <col min="5637" max="5637" width="19.5703125" style="288" customWidth="1"/>
    <col min="5638" max="5638" width="25.28515625" style="288" customWidth="1"/>
    <col min="5639" max="5888" width="11.5703125" style="288"/>
    <col min="5889" max="5889" width="6" style="288" customWidth="1"/>
    <col min="5890" max="5890" width="37" style="288" customWidth="1"/>
    <col min="5891" max="5891" width="28.85546875" style="288" customWidth="1"/>
    <col min="5892" max="5892" width="21.7109375" style="288" customWidth="1"/>
    <col min="5893" max="5893" width="19.5703125" style="288" customWidth="1"/>
    <col min="5894" max="5894" width="25.28515625" style="288" customWidth="1"/>
    <col min="5895" max="6144" width="11.5703125" style="288"/>
    <col min="6145" max="6145" width="6" style="288" customWidth="1"/>
    <col min="6146" max="6146" width="37" style="288" customWidth="1"/>
    <col min="6147" max="6147" width="28.85546875" style="288" customWidth="1"/>
    <col min="6148" max="6148" width="21.7109375" style="288" customWidth="1"/>
    <col min="6149" max="6149" width="19.5703125" style="288" customWidth="1"/>
    <col min="6150" max="6150" width="25.28515625" style="288" customWidth="1"/>
    <col min="6151" max="6400" width="11.5703125" style="288"/>
    <col min="6401" max="6401" width="6" style="288" customWidth="1"/>
    <col min="6402" max="6402" width="37" style="288" customWidth="1"/>
    <col min="6403" max="6403" width="28.85546875" style="288" customWidth="1"/>
    <col min="6404" max="6404" width="21.7109375" style="288" customWidth="1"/>
    <col min="6405" max="6405" width="19.5703125" style="288" customWidth="1"/>
    <col min="6406" max="6406" width="25.28515625" style="288" customWidth="1"/>
    <col min="6407" max="6656" width="11.5703125" style="288"/>
    <col min="6657" max="6657" width="6" style="288" customWidth="1"/>
    <col min="6658" max="6658" width="37" style="288" customWidth="1"/>
    <col min="6659" max="6659" width="28.85546875" style="288" customWidth="1"/>
    <col min="6660" max="6660" width="21.7109375" style="288" customWidth="1"/>
    <col min="6661" max="6661" width="19.5703125" style="288" customWidth="1"/>
    <col min="6662" max="6662" width="25.28515625" style="288" customWidth="1"/>
    <col min="6663" max="6912" width="11.5703125" style="288"/>
    <col min="6913" max="6913" width="6" style="288" customWidth="1"/>
    <col min="6914" max="6914" width="37" style="288" customWidth="1"/>
    <col min="6915" max="6915" width="28.85546875" style="288" customWidth="1"/>
    <col min="6916" max="6916" width="21.7109375" style="288" customWidth="1"/>
    <col min="6917" max="6917" width="19.5703125" style="288" customWidth="1"/>
    <col min="6918" max="6918" width="25.28515625" style="288" customWidth="1"/>
    <col min="6919" max="7168" width="11.5703125" style="288"/>
    <col min="7169" max="7169" width="6" style="288" customWidth="1"/>
    <col min="7170" max="7170" width="37" style="288" customWidth="1"/>
    <col min="7171" max="7171" width="28.85546875" style="288" customWidth="1"/>
    <col min="7172" max="7172" width="21.7109375" style="288" customWidth="1"/>
    <col min="7173" max="7173" width="19.5703125" style="288" customWidth="1"/>
    <col min="7174" max="7174" width="25.28515625" style="288" customWidth="1"/>
    <col min="7175" max="7424" width="11.5703125" style="288"/>
    <col min="7425" max="7425" width="6" style="288" customWidth="1"/>
    <col min="7426" max="7426" width="37" style="288" customWidth="1"/>
    <col min="7427" max="7427" width="28.85546875" style="288" customWidth="1"/>
    <col min="7428" max="7428" width="21.7109375" style="288" customWidth="1"/>
    <col min="7429" max="7429" width="19.5703125" style="288" customWidth="1"/>
    <col min="7430" max="7430" width="25.28515625" style="288" customWidth="1"/>
    <col min="7431" max="7680" width="11.5703125" style="288"/>
    <col min="7681" max="7681" width="6" style="288" customWidth="1"/>
    <col min="7682" max="7682" width="37" style="288" customWidth="1"/>
    <col min="7683" max="7683" width="28.85546875" style="288" customWidth="1"/>
    <col min="7684" max="7684" width="21.7109375" style="288" customWidth="1"/>
    <col min="7685" max="7685" width="19.5703125" style="288" customWidth="1"/>
    <col min="7686" max="7686" width="25.28515625" style="288" customWidth="1"/>
    <col min="7687" max="7936" width="11.5703125" style="288"/>
    <col min="7937" max="7937" width="6" style="288" customWidth="1"/>
    <col min="7938" max="7938" width="37" style="288" customWidth="1"/>
    <col min="7939" max="7939" width="28.85546875" style="288" customWidth="1"/>
    <col min="7940" max="7940" width="21.7109375" style="288" customWidth="1"/>
    <col min="7941" max="7941" width="19.5703125" style="288" customWidth="1"/>
    <col min="7942" max="7942" width="25.28515625" style="288" customWidth="1"/>
    <col min="7943" max="8192" width="11.5703125" style="288"/>
    <col min="8193" max="8193" width="6" style="288" customWidth="1"/>
    <col min="8194" max="8194" width="37" style="288" customWidth="1"/>
    <col min="8195" max="8195" width="28.85546875" style="288" customWidth="1"/>
    <col min="8196" max="8196" width="21.7109375" style="288" customWidth="1"/>
    <col min="8197" max="8197" width="19.5703125" style="288" customWidth="1"/>
    <col min="8198" max="8198" width="25.28515625" style="288" customWidth="1"/>
    <col min="8199" max="8448" width="11.5703125" style="288"/>
    <col min="8449" max="8449" width="6" style="288" customWidth="1"/>
    <col min="8450" max="8450" width="37" style="288" customWidth="1"/>
    <col min="8451" max="8451" width="28.85546875" style="288" customWidth="1"/>
    <col min="8452" max="8452" width="21.7109375" style="288" customWidth="1"/>
    <col min="8453" max="8453" width="19.5703125" style="288" customWidth="1"/>
    <col min="8454" max="8454" width="25.28515625" style="288" customWidth="1"/>
    <col min="8455" max="8704" width="11.5703125" style="288"/>
    <col min="8705" max="8705" width="6" style="288" customWidth="1"/>
    <col min="8706" max="8706" width="37" style="288" customWidth="1"/>
    <col min="8707" max="8707" width="28.85546875" style="288" customWidth="1"/>
    <col min="8708" max="8708" width="21.7109375" style="288" customWidth="1"/>
    <col min="8709" max="8709" width="19.5703125" style="288" customWidth="1"/>
    <col min="8710" max="8710" width="25.28515625" style="288" customWidth="1"/>
    <col min="8711" max="8960" width="11.5703125" style="288"/>
    <col min="8961" max="8961" width="6" style="288" customWidth="1"/>
    <col min="8962" max="8962" width="37" style="288" customWidth="1"/>
    <col min="8963" max="8963" width="28.85546875" style="288" customWidth="1"/>
    <col min="8964" max="8964" width="21.7109375" style="288" customWidth="1"/>
    <col min="8965" max="8965" width="19.5703125" style="288" customWidth="1"/>
    <col min="8966" max="8966" width="25.28515625" style="288" customWidth="1"/>
    <col min="8967" max="9216" width="11.5703125" style="288"/>
    <col min="9217" max="9217" width="6" style="288" customWidth="1"/>
    <col min="9218" max="9218" width="37" style="288" customWidth="1"/>
    <col min="9219" max="9219" width="28.85546875" style="288" customWidth="1"/>
    <col min="9220" max="9220" width="21.7109375" style="288" customWidth="1"/>
    <col min="9221" max="9221" width="19.5703125" style="288" customWidth="1"/>
    <col min="9222" max="9222" width="25.28515625" style="288" customWidth="1"/>
    <col min="9223" max="9472" width="11.5703125" style="288"/>
    <col min="9473" max="9473" width="6" style="288" customWidth="1"/>
    <col min="9474" max="9474" width="37" style="288" customWidth="1"/>
    <col min="9475" max="9475" width="28.85546875" style="288" customWidth="1"/>
    <col min="9476" max="9476" width="21.7109375" style="288" customWidth="1"/>
    <col min="9477" max="9477" width="19.5703125" style="288" customWidth="1"/>
    <col min="9478" max="9478" width="25.28515625" style="288" customWidth="1"/>
    <col min="9479" max="9728" width="11.5703125" style="288"/>
    <col min="9729" max="9729" width="6" style="288" customWidth="1"/>
    <col min="9730" max="9730" width="37" style="288" customWidth="1"/>
    <col min="9731" max="9731" width="28.85546875" style="288" customWidth="1"/>
    <col min="9732" max="9732" width="21.7109375" style="288" customWidth="1"/>
    <col min="9733" max="9733" width="19.5703125" style="288" customWidth="1"/>
    <col min="9734" max="9734" width="25.28515625" style="288" customWidth="1"/>
    <col min="9735" max="9984" width="11.5703125" style="288"/>
    <col min="9985" max="9985" width="6" style="288" customWidth="1"/>
    <col min="9986" max="9986" width="37" style="288" customWidth="1"/>
    <col min="9987" max="9987" width="28.85546875" style="288" customWidth="1"/>
    <col min="9988" max="9988" width="21.7109375" style="288" customWidth="1"/>
    <col min="9989" max="9989" width="19.5703125" style="288" customWidth="1"/>
    <col min="9990" max="9990" width="25.28515625" style="288" customWidth="1"/>
    <col min="9991" max="10240" width="11.5703125" style="288"/>
    <col min="10241" max="10241" width="6" style="288" customWidth="1"/>
    <col min="10242" max="10242" width="37" style="288" customWidth="1"/>
    <col min="10243" max="10243" width="28.85546875" style="288" customWidth="1"/>
    <col min="10244" max="10244" width="21.7109375" style="288" customWidth="1"/>
    <col min="10245" max="10245" width="19.5703125" style="288" customWidth="1"/>
    <col min="10246" max="10246" width="25.28515625" style="288" customWidth="1"/>
    <col min="10247" max="10496" width="11.5703125" style="288"/>
    <col min="10497" max="10497" width="6" style="288" customWidth="1"/>
    <col min="10498" max="10498" width="37" style="288" customWidth="1"/>
    <col min="10499" max="10499" width="28.85546875" style="288" customWidth="1"/>
    <col min="10500" max="10500" width="21.7109375" style="288" customWidth="1"/>
    <col min="10501" max="10501" width="19.5703125" style="288" customWidth="1"/>
    <col min="10502" max="10502" width="25.28515625" style="288" customWidth="1"/>
    <col min="10503" max="10752" width="11.5703125" style="288"/>
    <col min="10753" max="10753" width="6" style="288" customWidth="1"/>
    <col min="10754" max="10754" width="37" style="288" customWidth="1"/>
    <col min="10755" max="10755" width="28.85546875" style="288" customWidth="1"/>
    <col min="10756" max="10756" width="21.7109375" style="288" customWidth="1"/>
    <col min="10757" max="10757" width="19.5703125" style="288" customWidth="1"/>
    <col min="10758" max="10758" width="25.28515625" style="288" customWidth="1"/>
    <col min="10759" max="11008" width="11.5703125" style="288"/>
    <col min="11009" max="11009" width="6" style="288" customWidth="1"/>
    <col min="11010" max="11010" width="37" style="288" customWidth="1"/>
    <col min="11011" max="11011" width="28.85546875" style="288" customWidth="1"/>
    <col min="11012" max="11012" width="21.7109375" style="288" customWidth="1"/>
    <col min="11013" max="11013" width="19.5703125" style="288" customWidth="1"/>
    <col min="11014" max="11014" width="25.28515625" style="288" customWidth="1"/>
    <col min="11015" max="11264" width="11.5703125" style="288"/>
    <col min="11265" max="11265" width="6" style="288" customWidth="1"/>
    <col min="11266" max="11266" width="37" style="288" customWidth="1"/>
    <col min="11267" max="11267" width="28.85546875" style="288" customWidth="1"/>
    <col min="11268" max="11268" width="21.7109375" style="288" customWidth="1"/>
    <col min="11269" max="11269" width="19.5703125" style="288" customWidth="1"/>
    <col min="11270" max="11270" width="25.28515625" style="288" customWidth="1"/>
    <col min="11271" max="11520" width="11.5703125" style="288"/>
    <col min="11521" max="11521" width="6" style="288" customWidth="1"/>
    <col min="11522" max="11522" width="37" style="288" customWidth="1"/>
    <col min="11523" max="11523" width="28.85546875" style="288" customWidth="1"/>
    <col min="11524" max="11524" width="21.7109375" style="288" customWidth="1"/>
    <col min="11525" max="11525" width="19.5703125" style="288" customWidth="1"/>
    <col min="11526" max="11526" width="25.28515625" style="288" customWidth="1"/>
    <col min="11527" max="11776" width="11.5703125" style="288"/>
    <col min="11777" max="11777" width="6" style="288" customWidth="1"/>
    <col min="11778" max="11778" width="37" style="288" customWidth="1"/>
    <col min="11779" max="11779" width="28.85546875" style="288" customWidth="1"/>
    <col min="11780" max="11780" width="21.7109375" style="288" customWidth="1"/>
    <col min="11781" max="11781" width="19.5703125" style="288" customWidth="1"/>
    <col min="11782" max="11782" width="25.28515625" style="288" customWidth="1"/>
    <col min="11783" max="12032" width="11.5703125" style="288"/>
    <col min="12033" max="12033" width="6" style="288" customWidth="1"/>
    <col min="12034" max="12034" width="37" style="288" customWidth="1"/>
    <col min="12035" max="12035" width="28.85546875" style="288" customWidth="1"/>
    <col min="12036" max="12036" width="21.7109375" style="288" customWidth="1"/>
    <col min="12037" max="12037" width="19.5703125" style="288" customWidth="1"/>
    <col min="12038" max="12038" width="25.28515625" style="288" customWidth="1"/>
    <col min="12039" max="12288" width="11.5703125" style="288"/>
    <col min="12289" max="12289" width="6" style="288" customWidth="1"/>
    <col min="12290" max="12290" width="37" style="288" customWidth="1"/>
    <col min="12291" max="12291" width="28.85546875" style="288" customWidth="1"/>
    <col min="12292" max="12292" width="21.7109375" style="288" customWidth="1"/>
    <col min="12293" max="12293" width="19.5703125" style="288" customWidth="1"/>
    <col min="12294" max="12294" width="25.28515625" style="288" customWidth="1"/>
    <col min="12295" max="12544" width="11.5703125" style="288"/>
    <col min="12545" max="12545" width="6" style="288" customWidth="1"/>
    <col min="12546" max="12546" width="37" style="288" customWidth="1"/>
    <col min="12547" max="12547" width="28.85546875" style="288" customWidth="1"/>
    <col min="12548" max="12548" width="21.7109375" style="288" customWidth="1"/>
    <col min="12549" max="12549" width="19.5703125" style="288" customWidth="1"/>
    <col min="12550" max="12550" width="25.28515625" style="288" customWidth="1"/>
    <col min="12551" max="12800" width="11.5703125" style="288"/>
    <col min="12801" max="12801" width="6" style="288" customWidth="1"/>
    <col min="12802" max="12802" width="37" style="288" customWidth="1"/>
    <col min="12803" max="12803" width="28.85546875" style="288" customWidth="1"/>
    <col min="12804" max="12804" width="21.7109375" style="288" customWidth="1"/>
    <col min="12805" max="12805" width="19.5703125" style="288" customWidth="1"/>
    <col min="12806" max="12806" width="25.28515625" style="288" customWidth="1"/>
    <col min="12807" max="13056" width="11.5703125" style="288"/>
    <col min="13057" max="13057" width="6" style="288" customWidth="1"/>
    <col min="13058" max="13058" width="37" style="288" customWidth="1"/>
    <col min="13059" max="13059" width="28.85546875" style="288" customWidth="1"/>
    <col min="13060" max="13060" width="21.7109375" style="288" customWidth="1"/>
    <col min="13061" max="13061" width="19.5703125" style="288" customWidth="1"/>
    <col min="13062" max="13062" width="25.28515625" style="288" customWidth="1"/>
    <col min="13063" max="13312" width="11.5703125" style="288"/>
    <col min="13313" max="13313" width="6" style="288" customWidth="1"/>
    <col min="13314" max="13314" width="37" style="288" customWidth="1"/>
    <col min="13315" max="13315" width="28.85546875" style="288" customWidth="1"/>
    <col min="13316" max="13316" width="21.7109375" style="288" customWidth="1"/>
    <col min="13317" max="13317" width="19.5703125" style="288" customWidth="1"/>
    <col min="13318" max="13318" width="25.28515625" style="288" customWidth="1"/>
    <col min="13319" max="13568" width="11.5703125" style="288"/>
    <col min="13569" max="13569" width="6" style="288" customWidth="1"/>
    <col min="13570" max="13570" width="37" style="288" customWidth="1"/>
    <col min="13571" max="13571" width="28.85546875" style="288" customWidth="1"/>
    <col min="13572" max="13572" width="21.7109375" style="288" customWidth="1"/>
    <col min="13573" max="13573" width="19.5703125" style="288" customWidth="1"/>
    <col min="13574" max="13574" width="25.28515625" style="288" customWidth="1"/>
    <col min="13575" max="13824" width="11.5703125" style="288"/>
    <col min="13825" max="13825" width="6" style="288" customWidth="1"/>
    <col min="13826" max="13826" width="37" style="288" customWidth="1"/>
    <col min="13827" max="13827" width="28.85546875" style="288" customWidth="1"/>
    <col min="13828" max="13828" width="21.7109375" style="288" customWidth="1"/>
    <col min="13829" max="13829" width="19.5703125" style="288" customWidth="1"/>
    <col min="13830" max="13830" width="25.28515625" style="288" customWidth="1"/>
    <col min="13831" max="14080" width="11.5703125" style="288"/>
    <col min="14081" max="14081" width="6" style="288" customWidth="1"/>
    <col min="14082" max="14082" width="37" style="288" customWidth="1"/>
    <col min="14083" max="14083" width="28.85546875" style="288" customWidth="1"/>
    <col min="14084" max="14084" width="21.7109375" style="288" customWidth="1"/>
    <col min="14085" max="14085" width="19.5703125" style="288" customWidth="1"/>
    <col min="14086" max="14086" width="25.28515625" style="288" customWidth="1"/>
    <col min="14087" max="14336" width="11.5703125" style="288"/>
    <col min="14337" max="14337" width="6" style="288" customWidth="1"/>
    <col min="14338" max="14338" width="37" style="288" customWidth="1"/>
    <col min="14339" max="14339" width="28.85546875" style="288" customWidth="1"/>
    <col min="14340" max="14340" width="21.7109375" style="288" customWidth="1"/>
    <col min="14341" max="14341" width="19.5703125" style="288" customWidth="1"/>
    <col min="14342" max="14342" width="25.28515625" style="288" customWidth="1"/>
    <col min="14343" max="14592" width="11.5703125" style="288"/>
    <col min="14593" max="14593" width="6" style="288" customWidth="1"/>
    <col min="14594" max="14594" width="37" style="288" customWidth="1"/>
    <col min="14595" max="14595" width="28.85546875" style="288" customWidth="1"/>
    <col min="14596" max="14596" width="21.7109375" style="288" customWidth="1"/>
    <col min="14597" max="14597" width="19.5703125" style="288" customWidth="1"/>
    <col min="14598" max="14598" width="25.28515625" style="288" customWidth="1"/>
    <col min="14599" max="14848" width="11.5703125" style="288"/>
    <col min="14849" max="14849" width="6" style="288" customWidth="1"/>
    <col min="14850" max="14850" width="37" style="288" customWidth="1"/>
    <col min="14851" max="14851" width="28.85546875" style="288" customWidth="1"/>
    <col min="14852" max="14852" width="21.7109375" style="288" customWidth="1"/>
    <col min="14853" max="14853" width="19.5703125" style="288" customWidth="1"/>
    <col min="14854" max="14854" width="25.28515625" style="288" customWidth="1"/>
    <col min="14855" max="15104" width="11.5703125" style="288"/>
    <col min="15105" max="15105" width="6" style="288" customWidth="1"/>
    <col min="15106" max="15106" width="37" style="288" customWidth="1"/>
    <col min="15107" max="15107" width="28.85546875" style="288" customWidth="1"/>
    <col min="15108" max="15108" width="21.7109375" style="288" customWidth="1"/>
    <col min="15109" max="15109" width="19.5703125" style="288" customWidth="1"/>
    <col min="15110" max="15110" width="25.28515625" style="288" customWidth="1"/>
    <col min="15111" max="15360" width="11.5703125" style="288"/>
    <col min="15361" max="15361" width="6" style="288" customWidth="1"/>
    <col min="15362" max="15362" width="37" style="288" customWidth="1"/>
    <col min="15363" max="15363" width="28.85546875" style="288" customWidth="1"/>
    <col min="15364" max="15364" width="21.7109375" style="288" customWidth="1"/>
    <col min="15365" max="15365" width="19.5703125" style="288" customWidth="1"/>
    <col min="15366" max="15366" width="25.28515625" style="288" customWidth="1"/>
    <col min="15367" max="15616" width="11.5703125" style="288"/>
    <col min="15617" max="15617" width="6" style="288" customWidth="1"/>
    <col min="15618" max="15618" width="37" style="288" customWidth="1"/>
    <col min="15619" max="15619" width="28.85546875" style="288" customWidth="1"/>
    <col min="15620" max="15620" width="21.7109375" style="288" customWidth="1"/>
    <col min="15621" max="15621" width="19.5703125" style="288" customWidth="1"/>
    <col min="15622" max="15622" width="25.28515625" style="288" customWidth="1"/>
    <col min="15623" max="15872" width="11.5703125" style="288"/>
    <col min="15873" max="15873" width="6" style="288" customWidth="1"/>
    <col min="15874" max="15874" width="37" style="288" customWidth="1"/>
    <col min="15875" max="15875" width="28.85546875" style="288" customWidth="1"/>
    <col min="15876" max="15876" width="21.7109375" style="288" customWidth="1"/>
    <col min="15877" max="15877" width="19.5703125" style="288" customWidth="1"/>
    <col min="15878" max="15878" width="25.28515625" style="288" customWidth="1"/>
    <col min="15879" max="16128" width="11.5703125" style="288"/>
    <col min="16129" max="16129" width="6" style="288" customWidth="1"/>
    <col min="16130" max="16130" width="37" style="288" customWidth="1"/>
    <col min="16131" max="16131" width="28.85546875" style="288" customWidth="1"/>
    <col min="16132" max="16132" width="21.7109375" style="288" customWidth="1"/>
    <col min="16133" max="16133" width="19.5703125" style="288" customWidth="1"/>
    <col min="16134" max="16134" width="25.28515625" style="288" customWidth="1"/>
    <col min="16135" max="16384" width="11.5703125" style="288"/>
  </cols>
  <sheetData>
    <row r="2" spans="1:7">
      <c r="B2" s="289"/>
      <c r="C2" s="290" t="s">
        <v>513</v>
      </c>
      <c r="D2" s="290"/>
      <c r="E2" s="290"/>
      <c r="F2" s="290"/>
    </row>
    <row r="3" spans="1:7" ht="20.25">
      <c r="A3" s="291"/>
      <c r="B3" s="289"/>
      <c r="C3" s="290" t="s">
        <v>514</v>
      </c>
      <c r="D3" s="290"/>
      <c r="E3" s="290"/>
      <c r="F3" s="290"/>
    </row>
    <row r="4" spans="1:7" ht="18">
      <c r="A4" s="292"/>
      <c r="B4" s="289"/>
      <c r="C4" s="290" t="s">
        <v>515</v>
      </c>
      <c r="D4" s="290"/>
      <c r="E4" s="290"/>
      <c r="F4" s="290"/>
    </row>
    <row r="5" spans="1:7" ht="15.75">
      <c r="A5" s="293"/>
      <c r="B5" s="289"/>
      <c r="C5" s="294" t="s">
        <v>516</v>
      </c>
      <c r="D5" s="290"/>
      <c r="E5" s="290"/>
      <c r="F5" s="290"/>
    </row>
    <row r="6" spans="1:7" ht="12.75" customHeight="1">
      <c r="A6" s="292"/>
      <c r="B6" s="289"/>
      <c r="C6" s="599" t="s">
        <v>578</v>
      </c>
      <c r="D6" s="599"/>
      <c r="E6" s="599"/>
      <c r="F6" s="599"/>
    </row>
    <row r="7" spans="1:7" ht="12.75" customHeight="1">
      <c r="A7" s="295"/>
      <c r="B7" s="289"/>
      <c r="C7" s="599"/>
      <c r="D7" s="599"/>
      <c r="E7" s="599"/>
      <c r="F7" s="599"/>
    </row>
    <row r="8" spans="1:7" ht="23.25">
      <c r="A8" s="295"/>
      <c r="B8" s="296"/>
      <c r="C8" s="296"/>
      <c r="D8" s="296"/>
      <c r="E8" s="296"/>
      <c r="F8" s="296"/>
    </row>
    <row r="9" spans="1:7" ht="13.5" thickBot="1">
      <c r="A9" s="296"/>
      <c r="B9" s="296"/>
      <c r="C9" s="296"/>
      <c r="D9" s="296"/>
      <c r="E9" s="296"/>
      <c r="F9" s="296"/>
    </row>
    <row r="10" spans="1:7" ht="48" thickBot="1">
      <c r="A10" s="296"/>
      <c r="B10" s="312" t="s">
        <v>579</v>
      </c>
      <c r="C10" s="313" t="s">
        <v>580</v>
      </c>
      <c r="D10" s="600" t="s">
        <v>581</v>
      </c>
      <c r="E10" s="601"/>
      <c r="F10" s="314" t="s">
        <v>582</v>
      </c>
    </row>
    <row r="11" spans="1:7" ht="60">
      <c r="A11" s="296"/>
      <c r="B11" s="297" t="s">
        <v>597</v>
      </c>
      <c r="C11" s="298">
        <f>'Cálculo Qtd'!E23</f>
        <v>12.998160030675193</v>
      </c>
      <c r="D11" s="602">
        <f>'Plan_Custos Completa'!I291</f>
        <v>65509.4</v>
      </c>
      <c r="E11" s="603"/>
      <c r="F11" s="299">
        <f>SUM(D11*12)</f>
        <v>786112.8</v>
      </c>
      <c r="G11" s="288" t="s">
        <v>583</v>
      </c>
    </row>
    <row r="12" spans="1:7" ht="18">
      <c r="A12" s="296"/>
      <c r="B12" s="300" t="s">
        <v>71</v>
      </c>
      <c r="C12" s="301">
        <f>SUM(C11:C11)</f>
        <v>12.998160030675193</v>
      </c>
      <c r="D12" s="604">
        <f>SUM(D11:E11)</f>
        <v>65509.4</v>
      </c>
      <c r="E12" s="605"/>
      <c r="F12" s="302">
        <f>SUM(F11:F11)</f>
        <v>786112.8</v>
      </c>
    </row>
    <row r="13" spans="1:7" ht="14.25">
      <c r="A13" s="296"/>
      <c r="B13" s="303"/>
      <c r="C13" s="304"/>
      <c r="D13" s="305"/>
      <c r="E13" s="304"/>
      <c r="F13" s="304"/>
    </row>
    <row r="14" spans="1:7" ht="14.25">
      <c r="A14" s="296"/>
      <c r="B14" s="303"/>
      <c r="C14" s="304"/>
      <c r="D14" s="305"/>
      <c r="E14" s="304"/>
      <c r="F14" s="304"/>
    </row>
    <row r="15" spans="1:7" ht="15.75">
      <c r="A15" s="296"/>
      <c r="B15" s="306" t="s">
        <v>584</v>
      </c>
      <c r="C15" s="307"/>
      <c r="D15" s="307"/>
      <c r="E15" s="307"/>
      <c r="F15" s="307"/>
    </row>
    <row r="16" spans="1:7" ht="15" customHeight="1">
      <c r="A16" s="296"/>
      <c r="B16" s="606" t="s">
        <v>585</v>
      </c>
      <c r="C16" s="606"/>
      <c r="D16" s="606"/>
      <c r="E16" s="606"/>
      <c r="F16" s="606"/>
    </row>
    <row r="17" spans="1:6" ht="30" customHeight="1">
      <c r="A17" s="296"/>
      <c r="B17" s="608" t="s">
        <v>586</v>
      </c>
      <c r="C17" s="608"/>
      <c r="D17" s="608"/>
      <c r="E17" s="608"/>
      <c r="F17" s="608"/>
    </row>
    <row r="18" spans="1:6" ht="28.5" customHeight="1">
      <c r="A18" s="296"/>
      <c r="B18" s="608" t="s">
        <v>587</v>
      </c>
      <c r="C18" s="608"/>
      <c r="D18" s="608"/>
      <c r="E18" s="608"/>
      <c r="F18" s="608"/>
    </row>
    <row r="19" spans="1:6" ht="28.5" customHeight="1">
      <c r="A19" s="296"/>
      <c r="B19" s="608" t="s">
        <v>588</v>
      </c>
      <c r="C19" s="608"/>
      <c r="D19" s="608"/>
      <c r="E19" s="608"/>
      <c r="F19" s="608"/>
    </row>
    <row r="20" spans="1:6" ht="28.5" customHeight="1">
      <c r="A20" s="296"/>
      <c r="B20" s="608" t="s">
        <v>589</v>
      </c>
      <c r="C20" s="608"/>
      <c r="D20" s="608"/>
      <c r="E20" s="608"/>
      <c r="F20" s="608"/>
    </row>
    <row r="21" spans="1:6" ht="15" customHeight="1">
      <c r="A21" s="296"/>
      <c r="B21" s="606" t="s">
        <v>590</v>
      </c>
      <c r="C21" s="606"/>
      <c r="D21" s="606"/>
      <c r="E21" s="606"/>
      <c r="F21" s="606"/>
    </row>
    <row r="22" spans="1:6" ht="15" customHeight="1">
      <c r="A22" s="296"/>
      <c r="B22" s="307"/>
      <c r="C22" s="307"/>
      <c r="D22" s="307"/>
      <c r="E22" s="307"/>
      <c r="F22" s="307"/>
    </row>
    <row r="23" spans="1:6" ht="15.75">
      <c r="A23" s="296"/>
      <c r="B23" s="308" t="s">
        <v>591</v>
      </c>
      <c r="C23" s="609">
        <f>[3]Preenchimento!B15</f>
        <v>0</v>
      </c>
      <c r="D23" s="609"/>
      <c r="E23" s="609"/>
      <c r="F23" s="609"/>
    </row>
    <row r="24" spans="1:6" ht="15.75">
      <c r="A24" s="296"/>
      <c r="B24" s="308" t="s">
        <v>592</v>
      </c>
      <c r="C24" s="609">
        <f>[3]Preenchimento!B16</f>
        <v>0</v>
      </c>
      <c r="D24" s="609"/>
      <c r="E24" s="307"/>
      <c r="F24" s="307"/>
    </row>
    <row r="25" spans="1:6" ht="15">
      <c r="A25" s="296"/>
      <c r="B25" s="307"/>
      <c r="C25" s="307"/>
      <c r="D25" s="307"/>
      <c r="E25" s="609" t="s">
        <v>593</v>
      </c>
      <c r="F25" s="609"/>
    </row>
    <row r="26" spans="1:6" ht="15">
      <c r="A26" s="296"/>
      <c r="B26" s="307"/>
      <c r="C26" s="307"/>
      <c r="D26" s="307"/>
      <c r="E26" s="307"/>
      <c r="F26" s="307"/>
    </row>
    <row r="27" spans="1:6" ht="15">
      <c r="A27" s="296"/>
      <c r="B27" s="307"/>
      <c r="C27" s="307"/>
      <c r="D27" s="307"/>
      <c r="E27" s="610"/>
      <c r="F27" s="610"/>
    </row>
    <row r="28" spans="1:6" ht="15">
      <c r="A28" s="296"/>
      <c r="B28" s="307"/>
      <c r="C28" s="307"/>
      <c r="D28" s="307"/>
      <c r="E28" s="307"/>
      <c r="F28" s="307"/>
    </row>
    <row r="29" spans="1:6" ht="15">
      <c r="A29" s="296"/>
      <c r="B29" s="296"/>
      <c r="C29" s="307"/>
      <c r="D29" s="307"/>
      <c r="E29" s="307"/>
      <c r="F29" s="307"/>
    </row>
    <row r="30" spans="1:6" ht="15">
      <c r="A30" s="296"/>
      <c r="B30" s="309" t="s">
        <v>594</v>
      </c>
      <c r="C30" s="309">
        <f>[3]Preenchimento!B17</f>
        <v>0</v>
      </c>
      <c r="D30" s="307"/>
      <c r="E30" s="307"/>
      <c r="F30" s="307"/>
    </row>
    <row r="31" spans="1:6" ht="15">
      <c r="A31" s="296"/>
      <c r="B31" s="307" t="s">
        <v>595</v>
      </c>
      <c r="C31" s="307">
        <f>[3]Preenchimento!B18</f>
        <v>0</v>
      </c>
      <c r="D31" s="310"/>
      <c r="E31" s="307"/>
      <c r="F31" s="307"/>
    </row>
    <row r="32" spans="1:6" ht="15">
      <c r="A32" s="296"/>
      <c r="B32" s="307" t="s">
        <v>596</v>
      </c>
      <c r="C32" s="307">
        <f>[3]Preenchimento!B19</f>
        <v>0</v>
      </c>
      <c r="D32" s="310"/>
      <c r="E32" s="307"/>
      <c r="F32" s="307"/>
    </row>
    <row r="33" spans="1:6" ht="15">
      <c r="A33" s="296"/>
      <c r="B33" s="310"/>
      <c r="C33" s="611"/>
      <c r="D33" s="611"/>
      <c r="E33" s="307"/>
      <c r="F33" s="307"/>
    </row>
    <row r="34" spans="1:6" ht="15">
      <c r="A34" s="296"/>
      <c r="B34" s="311"/>
      <c r="C34" s="612"/>
      <c r="D34" s="612"/>
      <c r="E34" s="307"/>
      <c r="F34" s="307"/>
    </row>
    <row r="35" spans="1:6" ht="15">
      <c r="A35" s="296"/>
      <c r="B35" s="310"/>
      <c r="C35" s="607"/>
      <c r="D35" s="607"/>
      <c r="E35" s="307"/>
      <c r="F35" s="307"/>
    </row>
    <row r="36" spans="1:6">
      <c r="A36" s="296"/>
      <c r="B36" s="296"/>
      <c r="C36" s="296"/>
      <c r="D36" s="296"/>
      <c r="E36" s="296"/>
      <c r="F36" s="296"/>
    </row>
    <row r="37" spans="1:6">
      <c r="A37" s="296"/>
    </row>
    <row r="38" spans="1:6">
      <c r="A38" s="296"/>
    </row>
  </sheetData>
  <sheetProtection selectLockedCells="1" selectUnlockedCells="1"/>
  <mergeCells count="17">
    <mergeCell ref="C35:D35"/>
    <mergeCell ref="B17:F17"/>
    <mergeCell ref="B18:F18"/>
    <mergeCell ref="B19:F19"/>
    <mergeCell ref="B20:F20"/>
    <mergeCell ref="B21:F21"/>
    <mergeCell ref="C23:F23"/>
    <mergeCell ref="C24:D24"/>
    <mergeCell ref="E25:F25"/>
    <mergeCell ref="E27:F27"/>
    <mergeCell ref="C33:D33"/>
    <mergeCell ref="C34:D34"/>
    <mergeCell ref="C6:F7"/>
    <mergeCell ref="D10:E10"/>
    <mergeCell ref="D11:E11"/>
    <mergeCell ref="D12:E12"/>
    <mergeCell ref="B16:F16"/>
  </mergeCells>
  <pageMargins left="0.70866141732283472" right="0.70866141732283472" top="0.74803149606299213" bottom="0.74803149606299213" header="0" footer="0"/>
  <pageSetup paperSize="9" scale="67" firstPageNumber="0" fitToHeight="0" orientation="portrait" r:id="rId1"/>
  <headerFooter alignWithMargins="0">
    <oddFooter>&amp;CANEXO IV - Planilha de Custos e Formação de Preços
Processo n.º 23370.000233/2021-32
Pregão Eletrônico 036/2021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Áreas Ajustadas</vt:lpstr>
      <vt:lpstr>Áreas Totais</vt:lpstr>
      <vt:lpstr>Cálculo Qtd</vt:lpstr>
      <vt:lpstr>Insumos</vt:lpstr>
      <vt:lpstr>Plan_Custos Completa</vt:lpstr>
      <vt:lpstr>Resumo</vt:lpstr>
      <vt:lpstr>'Áreas Ajustadas'!Area_de_impressao</vt:lpstr>
      <vt:lpstr>'Áreas Totais'!Area_de_impressao</vt:lpstr>
      <vt:lpstr>'Cálculo Qtd'!Area_de_impressao</vt:lpstr>
      <vt:lpstr>Insumos!Area_de_impressao</vt:lpstr>
      <vt:lpstr>'Plan_Custos Completa'!Area_de_impressao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SILVA</dc:creator>
  <cp:lastModifiedBy>JOSIANE SILVA</cp:lastModifiedBy>
  <cp:lastPrinted>2021-10-01T18:19:35Z</cp:lastPrinted>
  <dcterms:created xsi:type="dcterms:W3CDTF">2021-10-07T19:50:06Z</dcterms:created>
  <dcterms:modified xsi:type="dcterms:W3CDTF">2021-10-07T19:50:06Z</dcterms:modified>
</cp:coreProperties>
</file>