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10995" tabRatio="775" firstSheet="4" activeTab="4"/>
  </bookViews>
  <sheets>
    <sheet name="Not-Peri Fim-PFG" sheetId="1" state="hidden" r:id="rId1"/>
    <sheet name="Not-Peri Início-PFG" sheetId="2" state="hidden" r:id="rId2"/>
    <sheet name="Not-Peri Fim-PFG-Anexo IV" sheetId="3" state="hidden" r:id="rId3"/>
    <sheet name="Not-Peri Início-PFG-Rendição" sheetId="4" state="hidden" r:id="rId4"/>
    <sheet name="Diurno C. Vinc -  IN 05" sheetId="5" r:id="rId5"/>
    <sheet name="Noturno- C. Vinc - IN5 " sheetId="6" r:id="rId6"/>
    <sheet name="Not-Peri Início-CV-Rendição" sheetId="7" state="hidden" r:id="rId7"/>
    <sheet name="Not-Cad Téc 2018-sem RSR" sheetId="8" state="hidden" r:id="rId8"/>
  </sheets>
  <definedNames>
    <definedName name="_xlnm.Print_Area" localSheetId="4">'Diurno C. Vinc -  IN 05'!$A$2:$I$186</definedName>
    <definedName name="_xlnm.Print_Area" localSheetId="0">'Not-Peri Fim-PFG'!$A$2:$I$220</definedName>
    <definedName name="_xlnm.Print_Area" localSheetId="2">'Not-Peri Fim-PFG-Anexo IV'!$A$1:$I$220</definedName>
    <definedName name="_xlnm.Print_Area" localSheetId="6">'Not-Peri Início-CV-Rendição'!$A$1:$I$222</definedName>
    <definedName name="_xlnm.Print_Area" localSheetId="1">'Not-Peri Início-PFG'!$A$1:$I$224</definedName>
    <definedName name="_xlnm.Print_Area" localSheetId="3">'Not-Peri Início-PFG-Rendição'!$A$1:$I$222</definedName>
    <definedName name="_xlnm.Print_Area" localSheetId="5">'Noturno- C. Vinc - IN5 '!$A$1:$I$189</definedName>
    <definedName name="Excel_BuiltIn_Print_Area" localSheetId="4">#REF!</definedName>
    <definedName name="Excel_BuiltIn_Print_Area" localSheetId="0">#REF!</definedName>
    <definedName name="Excel_BuiltIn_Print_Area" localSheetId="5">#REF!</definedName>
  </definedNames>
  <calcPr fullCalcOnLoad="1"/>
</workbook>
</file>

<file path=xl/sharedStrings.xml><?xml version="1.0" encoding="utf-8"?>
<sst xmlns="http://schemas.openxmlformats.org/spreadsheetml/2006/main" count="2272" uniqueCount="353">
  <si>
    <t>5173-30</t>
  </si>
  <si>
    <t>Salário Normativo da Categoria Profissional</t>
  </si>
  <si>
    <t xml:space="preserve">Categoria Profissional (vinculada à execução contratual) </t>
  </si>
  <si>
    <t>vigilante</t>
  </si>
  <si>
    <t xml:space="preserve">Data-Base da Categoria (dia/mês/ano) </t>
  </si>
  <si>
    <r>
      <rPr>
        <b/>
        <sz val="10"/>
        <color indexed="10"/>
        <rFont val="Arial"/>
        <family val="2"/>
      </rP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</si>
  <si>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rPr>
        <b/>
        <sz val="10"/>
        <color indexed="10"/>
        <rFont val="Arial"/>
        <family val="2"/>
      </rP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</si>
  <si>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rPr>
        <b/>
        <sz val="10"/>
        <color indexed="10"/>
        <rFont val="Arial"/>
        <family val="2"/>
      </rP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</si>
  <si>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t>Quantidade de vigilantes por posto de serviço</t>
  </si>
  <si>
    <t>Nota 1:  Deverá ser elaborado um quadro para cada tipo de serviço.
Nota 2: A planilha será calculada considerando o valor mensal do empregado</t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</si>
  <si>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</si>
  <si>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</si>
  <si>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</si>
  <si>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</si>
  <si>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rPr>
        <b/>
        <sz val="10"/>
        <rFont val="Arial"/>
        <family val="2"/>
      </rPr>
      <t xml:space="preserve">Salário-Base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</si>
  <si>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r>
      <rPr>
        <b/>
        <sz val="10"/>
        <color indexed="8"/>
        <rFont val="Arial"/>
        <family val="2"/>
      </rPr>
      <t>Adicional de Hora Noturna Reduzida</t>
    </r>
    <r>
      <rPr>
        <b/>
        <sz val="10"/>
        <color indexed="10"/>
        <rFont val="Arial"/>
        <family val="2"/>
      </rPr>
      <t xml:space="preserve"> (Hora Reduzida Noturna como Extra) </t>
    </r>
    <r>
      <rPr>
        <b/>
        <sz val="10"/>
        <color indexed="12"/>
        <rFont val="Arial"/>
        <family val="2"/>
      </rPr>
      <t xml:space="preserve">(HRN que excedeu de 190,67h) </t>
    </r>
    <r>
      <rPr>
        <b/>
        <sz val="10"/>
        <color indexed="10"/>
        <rFont val="Arial"/>
        <family val="2"/>
      </rPr>
      <t xml:space="preserve">Cálculo do valor: HE (s/peri) x </t>
    </r>
    <r>
      <rPr>
        <b/>
        <sz val="10"/>
        <color indexed="12"/>
        <rFont val="Arial"/>
        <family val="2"/>
      </rPr>
      <t>4,33 h</t>
    </r>
    <r>
      <rPr>
        <b/>
        <sz val="10"/>
        <color indexed="10"/>
        <rFont val="Arial"/>
        <family val="2"/>
      </rPr>
      <t xml:space="preserve"> x 2 vig.)  ---   [195h (=180h + </t>
    </r>
    <r>
      <rPr>
        <b/>
        <sz val="10"/>
        <color indexed="12"/>
        <rFont val="Arial"/>
        <family val="2"/>
      </rPr>
      <t>15h</t>
    </r>
    <r>
      <rPr>
        <b/>
        <sz val="10"/>
        <color indexed="10"/>
        <rFont val="Arial"/>
        <family val="2"/>
      </rPr>
      <t xml:space="preserve">) - 190,67 = </t>
    </r>
    <r>
      <rPr>
        <b/>
        <sz val="10"/>
        <color indexed="12"/>
        <rFont val="Arial"/>
        <family val="2"/>
      </rPr>
      <t>4,33h</t>
    </r>
    <r>
      <rPr>
        <b/>
        <sz val="10"/>
        <color indexed="10"/>
        <rFont val="Arial"/>
        <family val="2"/>
      </rPr>
      <t xml:space="preserve"> como horas extras, sendo  </t>
    </r>
    <r>
      <rPr>
        <b/>
        <sz val="10"/>
        <color indexed="12"/>
        <rFont val="Arial"/>
        <family val="2"/>
      </rPr>
      <t>15</t>
    </r>
    <r>
      <rPr>
        <b/>
        <sz val="10"/>
        <color indexed="10"/>
        <rFont val="Arial"/>
        <family val="2"/>
      </rPr>
      <t xml:space="preserve"> = 15x(7hx1,1428571 – 7h) </t>
    </r>
    <r>
      <rPr>
        <b/>
        <sz val="9"/>
        <color indexed="12"/>
        <rFont val="Arial"/>
        <family val="2"/>
      </rPr>
      <t>Das 22h às 5h</t>
    </r>
  </si>
  <si>
    <t>E</t>
  </si>
  <si>
    <r>
      <rPr>
        <b/>
        <sz val="10"/>
        <rFont val="Arial"/>
        <family val="2"/>
      </rP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</si>
  <si>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t>F</t>
  </si>
  <si>
    <t xml:space="preserve">Outros (especificar)                      </t>
  </si>
  <si>
    <t>G</t>
  </si>
  <si>
    <r>
      <rPr>
        <b/>
        <sz val="10"/>
        <rFont val="Arial"/>
        <family val="2"/>
      </rP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>cláusula 69 da CCT 2018/2020</t>
    </r>
  </si>
  <si>
    <t>H</t>
  </si>
  <si>
    <t>Módulo 2 : Encargos e Benefícios Anuais, Mensais e Diários</t>
  </si>
  <si>
    <t>2.1</t>
  </si>
  <si>
    <t>Valor (R$)</t>
  </si>
  <si>
    <r>
      <rPr>
        <b/>
        <sz val="10"/>
        <color indexed="8"/>
        <rFont val="Arial"/>
        <family val="2"/>
      </rP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Rem1 / 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</si>
  <si>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t>Total</t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</si>
  <si>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</si>
  <si>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</si>
  <si>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</si>
  <si>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</si>
  <si>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</si>
  <si>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rPr>
        <b/>
        <sz val="10"/>
        <rFont val="Arial"/>
        <family val="2"/>
      </rPr>
      <t xml:space="preserve">RAT x FAP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</si>
  <si>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r>
      <t xml:space="preserve">Uniformes  </t>
    </r>
    <r>
      <rPr>
        <b/>
        <sz val="10"/>
        <color indexed="12"/>
        <rFont val="Arial"/>
        <family val="2"/>
      </rPr>
      <t xml:space="preserve">São 2 conjuntos de uniformes (para os 2 vigilantes titulares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valor: R$ 41,00 por vigilante  x 2 vigilantes</t>
    </r>
  </si>
  <si>
    <r>
      <t xml:space="preserve">Uniformes   </t>
    </r>
    <r>
      <rPr>
        <b/>
        <sz val="10"/>
        <color indexed="12"/>
        <rFont val="Arial"/>
        <family val="2"/>
      </rPr>
      <t xml:space="preserve">São 2 conjuntos de uniformes (para os 2 vigilantes titulares  - considerado uniforme com colete)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valor: R$ 41,00 por vigilante  x 2 vigilantes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</si>
  <si>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</si>
  <si>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</si>
  <si>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</si>
  <si>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</si>
  <si>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 xml:space="preserve">SEBRAE               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</si>
  <si>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</si>
  <si>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FGTS                                                                                                                 </t>
  </si>
  <si>
    <t>Submódulo 2.3 – Benefícios Mensais e Diários</t>
  </si>
  <si>
    <t>2.3</t>
  </si>
  <si>
    <t>Benefícios Mensais e Diários</t>
  </si>
  <si>
    <r>
      <rPr>
        <b/>
        <sz val="10"/>
        <rFont val="Arial"/>
        <family val="2"/>
      </rP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</si>
  <si>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</si>
  <si>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A.2) Quantidade de passagens por dia por empregado</t>
    </r>
  </si>
  <si>
    <t xml:space="preserve">     A.3) Quantidade de dias do mês de recebimento de passagens</t>
  </si>
  <si>
    <t xml:space="preserve">     A.4) Participação do empregado em percentual do salário-base (cláus. 35)</t>
  </si>
  <si>
    <r>
      <rPr>
        <b/>
        <sz val="10"/>
        <rFont val="Arial"/>
        <family val="2"/>
      </rPr>
      <t xml:space="preserve">Auxílio-Refeição/Alimentação  </t>
    </r>
    <r>
      <rPr>
        <b/>
        <sz val="10"/>
        <color indexed="10"/>
        <rFont val="Arial"/>
        <family val="2"/>
      </rPr>
      <t>Cálculo do valor = [(30xVA)x(1-0,20)]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</si>
  <si>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B.1) Valor do Auxílio-Alimentação  (cláusula 34 da CCT 2018/2020)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</si>
  <si>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</si>
  <si>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</si>
  <si>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</si>
  <si>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rPr>
        <b/>
        <sz val="10"/>
        <rFont val="Arial"/>
        <family val="2"/>
      </rP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Rem x 0,023%</t>
    </r>
  </si>
  <si>
    <r>
      <rPr>
        <b/>
        <sz val="10"/>
        <rFont val="Arial"/>
        <family val="2"/>
      </rPr>
      <t xml:space="preserve">Auxílio-Funeral   </t>
    </r>
    <r>
      <rPr>
        <b/>
        <sz val="10"/>
        <color indexed="10"/>
        <rFont val="Arial"/>
        <family val="2"/>
      </rPr>
      <t xml:space="preserve">(cláusula 38 da CCT 2018/2020) </t>
    </r>
    <r>
      <rPr>
        <b/>
        <sz val="9"/>
        <color indexed="10"/>
        <rFont val="Arial"/>
        <family val="2"/>
      </rPr>
      <t>Cálculo do valor: (SB x 0,52066%)/12</t>
    </r>
  </si>
  <si>
    <t>Outros (especificar)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</si>
  <si>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</si>
  <si>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</si>
  <si>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</si>
  <si>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</si>
  <si>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</si>
  <si>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</si>
  <si>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</si>
  <si>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rFont val="Arial"/>
        <family val="2"/>
      </rP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[(Rem1/30)x7]/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contratox100% dos empregados - ao final do contrato  </t>
    </r>
  </si>
  <si>
    <t>TOTAL</t>
  </si>
  <si>
    <t>Módulo 4 - Custo de Reposição do Profissional Ausente</t>
  </si>
  <si>
    <t>4.1</t>
  </si>
  <si>
    <t xml:space="preserve">4.2 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</si>
  <si>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</si>
  <si>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</si>
  <si>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</si>
  <si>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</si>
  <si>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</si>
  <si>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b/>
        <sz val="10"/>
        <rFont val="Arial"/>
        <family val="2"/>
      </rPr>
      <t xml:space="preserve">Materiais / Equipamentos </t>
    </r>
    <r>
      <rPr>
        <b/>
        <sz val="10"/>
        <color indexed="12"/>
        <rFont val="Arial"/>
        <family val="2"/>
      </rPr>
      <t>(Com 1 colete para o posto. É por posto e não por vigilante)</t>
    </r>
  </si>
  <si>
    <t>0.00</t>
  </si>
  <si>
    <t xml:space="preserve">Total </t>
  </si>
  <si>
    <t>Nota: Valores mensais por empregado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</si>
  <si>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</si>
  <si>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</si>
  <si>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</si>
  <si>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</si>
  <si>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</si>
  <si>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</si>
  <si>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</si>
  <si>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</si>
  <si>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</si>
  <si>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</si>
  <si>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</si>
  <si>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rPr>
        <b/>
        <sz val="10"/>
        <rFont val="Arial"/>
        <family val="2"/>
      </rP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</t>
    </r>
    <r>
      <rPr>
        <b/>
        <sz val="9"/>
        <color indexed="39"/>
        <rFont val="Arial"/>
        <family val="2"/>
      </rPr>
      <t xml:space="preserve"> Em face dos Acórdãos TCU nºs 950/2007-P e 205/2018-P, o licitante não pode cotar expressamente este tributo.</t>
    </r>
  </si>
  <si>
    <r>
      <rPr>
        <b/>
        <sz val="10"/>
        <rFont val="Arial"/>
        <family val="2"/>
      </rPr>
      <t xml:space="preserve"> d) CSLL </t>
    </r>
    <r>
      <rPr>
        <b/>
        <sz val="10"/>
        <color indexed="39"/>
        <rFont val="Arial"/>
        <family val="2"/>
      </rPr>
      <t xml:space="preserve">- </t>
    </r>
    <r>
      <rPr>
        <b/>
        <sz val="9"/>
        <color indexed="39"/>
        <rFont val="Arial"/>
        <family val="2"/>
      </rPr>
      <t>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</si>
  <si>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</si>
  <si>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</si>
  <si>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rPr>
        <b/>
        <sz val="10"/>
        <rFont val="Arial"/>
        <family val="2"/>
      </rPr>
      <t xml:space="preserve">  a) ISS    </t>
    </r>
    <r>
      <rPr>
        <b/>
        <sz val="10"/>
        <color indexed="10"/>
        <rFont val="Arial"/>
        <family val="2"/>
      </rPr>
      <t>(Decreto Municipal POA nº 15.416/2006 - art. 96, § 1º, inc. II)</t>
    </r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</si>
  <si>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</si>
  <si>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</si>
  <si>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</si>
  <si>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</si>
  <si>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</si>
  <si>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</si>
  <si>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t>2. QUADRO-RESUMO DO CUSTO POR POSTO DE TRABALHO</t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</si>
  <si>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</si>
  <si>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</si>
  <si>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</si>
  <si>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</si>
  <si>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</si>
  <si>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</si>
  <si>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</si>
  <si>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</si>
  <si>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 xml:space="preserve">O complemento abaixo é uma planilha auxiliar que consolida as várias planilhas com os diferentes tipos de postos 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</si>
  <si>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</si>
  <si>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</si>
  <si>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</si>
  <si>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</si>
  <si>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</si>
  <si>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</si>
  <si>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por 36 (trinta e seis) horas </t>
  </si>
  <si>
    <t xml:space="preserve">12 horas noturnas, de segunda-feira a domingo, envolvendo 2 (dois) vigilantes em turnos de  12 (doze) por 36 (trinta e seis) horas </t>
  </si>
  <si>
    <t xml:space="preserve">12 horas diurnas, de segunda-feira à sexta-feira, envolvendo 2 (dois) vigilantes em turnos de  12 (doze) por 36 (trinta e seis) horas </t>
  </si>
  <si>
    <t xml:space="preserve">12 horas noturnas, de segunda-feira à sexta-feira, envolvendo 2 (dois) vigilantes em turnos de  12 (doze) por 36 (trinta e seis) horas </t>
  </si>
  <si>
    <r>
      <rPr>
        <b/>
        <sz val="10"/>
        <rFont val="Arial"/>
        <family val="2"/>
      </rP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</si>
  <si>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</si>
  <si>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</si>
  <si>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</si>
  <si>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</si>
  <si>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</si>
  <si>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6.5.4.e do edital</t>
    </r>
    <r>
      <rPr>
        <b/>
        <sz val="10"/>
        <color indexed="8"/>
        <rFont val="Arial"/>
        <family val="2"/>
      </rPr>
      <t>)</t>
    </r>
  </si>
  <si>
    <t>Tipo de Mão de Obra</t>
  </si>
  <si>
    <t>Quantidade de Pessoal</t>
  </si>
  <si>
    <t>Vigilante</t>
  </si>
  <si>
    <r>
      <rPr>
        <b/>
        <sz val="10"/>
        <rFont val="Arial"/>
        <family val="2"/>
      </rPr>
      <t xml:space="preserve">MATERIAIS, MÁQUINAS E EQUIPAMENTOS ALOCADOS NA EXECUÇÃO CONTRATUAL  (item 6.2.f do Anexo VII da IN nº 5/2017  e </t>
    </r>
    <r>
      <rPr>
        <b/>
        <sz val="10"/>
        <color indexed="10"/>
        <rFont val="Arial"/>
        <family val="2"/>
      </rPr>
      <t>item 6.5.4.f do edital</t>
    </r>
    <r>
      <rPr>
        <b/>
        <sz val="10"/>
        <color indexed="8"/>
        <rFont val="Arial"/>
        <family val="2"/>
      </rPr>
      <t>)</t>
    </r>
  </si>
  <si>
    <t>Especificação dos Materiais/Máquinas/Equipamentos</t>
  </si>
  <si>
    <t xml:space="preserve">Quantidade </t>
  </si>
  <si>
    <r>
      <rPr>
        <b/>
        <sz val="10"/>
        <rFont val="Arial"/>
        <family val="2"/>
      </rPr>
      <t xml:space="preserve">  a) ISS             </t>
    </r>
    <r>
      <rPr>
        <b/>
        <sz val="10"/>
        <color indexed="10"/>
        <rFont val="Arial"/>
        <family val="2"/>
      </rPr>
      <t>(Decreto Municipal POA nº 15.416/2006 - art. 96, § 1º, inc. II)</t>
    </r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</si>
  <si>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2. QUADRO-RESUMO DO CUSTO POR POSTO DE TRABALHO
</t>
    </r>
  </si>
  <si>
    <r>
      <rPr>
        <b/>
        <sz val="10"/>
        <rFont val="Arial"/>
        <family val="2"/>
      </rPr>
      <t xml:space="preserve">MATERIAIS, MÁQUINAS E EQUIPAMENTOS ALOCADOS NA EXECUÇÃO CONTRATUAL (item 6.2.f do Anexo VII da IN nº 5/2017  e </t>
    </r>
    <r>
      <rPr>
        <b/>
        <sz val="10"/>
        <color indexed="10"/>
        <rFont val="Arial"/>
        <family val="2"/>
      </rPr>
      <t>item 6.5.4.f do edital</t>
    </r>
    <r>
      <rPr>
        <b/>
        <sz val="10"/>
        <color indexed="8"/>
        <rFont val="Arial"/>
        <family val="2"/>
      </rPr>
      <t>)</t>
    </r>
  </si>
  <si>
    <r>
      <rPr>
        <b/>
        <sz val="10"/>
        <rFont val="Arial"/>
        <family val="2"/>
      </rP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</t>
    </r>
    <r>
      <rPr>
        <b/>
        <sz val="9"/>
        <color indexed="39"/>
        <rFont val="Arial"/>
        <family val="2"/>
      </rPr>
      <t xml:space="preserve">  Em face dos Acórdãos TCU nºs 950/2007-P e 205/2018-P, o licitante não pode cotar expressamente este tributo.</t>
    </r>
  </si>
  <si>
    <r>
      <rPr>
        <b/>
        <sz val="10"/>
        <rFont val="Arial"/>
        <family val="2"/>
      </rPr>
      <t xml:space="preserve"> d) CSLL </t>
    </r>
    <r>
      <rPr>
        <b/>
        <sz val="10"/>
        <color indexed="39"/>
        <rFont val="Arial"/>
        <family val="2"/>
      </rPr>
      <t xml:space="preserve">- </t>
    </r>
    <r>
      <rPr>
        <b/>
        <sz val="9"/>
        <color indexed="39"/>
        <rFont val="Arial"/>
        <family val="2"/>
      </rPr>
      <t xml:space="preserve"> Em face dos Acórdãos TCU nºs 950/2007-P e 205/2018-P, o licitante não pode cotar expressamente este tributo.</t>
    </r>
  </si>
  <si>
    <r>
      <rPr>
        <b/>
        <sz val="15"/>
        <color indexed="20"/>
        <rFont val="Arial"/>
        <family val="2"/>
      </rPr>
      <t xml:space="preserve">VIGILÂNCIA 12 x 36 NOTURNA - </t>
    </r>
    <r>
      <rPr>
        <b/>
        <sz val="14"/>
        <color indexed="48"/>
        <rFont val="Arial"/>
        <family val="2"/>
      </rPr>
      <t xml:space="preserve">Lucro Real e Presumido </t>
    </r>
    <r>
      <rPr>
        <b/>
        <sz val="14"/>
        <color indexed="12"/>
        <rFont val="Arial"/>
        <family val="2"/>
      </rPr>
      <t xml:space="preserve">- </t>
    </r>
    <r>
      <rPr>
        <b/>
        <sz val="16"/>
        <color indexed="10"/>
        <rFont val="Arial"/>
        <family val="2"/>
      </rPr>
      <t>CONTA VINCULADA</t>
    </r>
  </si>
  <si>
    <r>
      <rPr>
        <b/>
        <sz val="10"/>
        <color indexed="8"/>
        <rFont val="Arial"/>
        <family val="2"/>
      </rP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Remuneração1, conforme Anexo XII da IN 5/17</t>
    </r>
  </si>
  <si>
    <r>
      <rPr>
        <b/>
        <sz val="11"/>
        <color indexed="8"/>
        <rFont val="Arial"/>
        <family val="2"/>
      </rPr>
      <t xml:space="preserve">Submódulo 2.2 - Encargos Previdenciários (GPS), Fundo de Garantia por Tempo de Serviço (FGTS) e outras contribuições  </t>
    </r>
    <r>
      <rPr>
        <b/>
        <sz val="11"/>
        <color indexed="12"/>
        <rFont val="Arial"/>
        <family val="2"/>
      </rPr>
      <t>(Base de Cálculo = Módulo 1 (Rem1) + Submódulo 2.1)</t>
    </r>
  </si>
  <si>
    <r>
      <rPr>
        <b/>
        <sz val="11"/>
        <color indexed="8"/>
        <rFont val="Arial"/>
        <family val="2"/>
      </rPr>
      <t xml:space="preserve">RAT x FAP 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</si>
  <si>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r>
      <rPr>
        <b/>
        <sz val="10"/>
        <rFont val="Arial"/>
        <family val="2"/>
      </rPr>
      <t>Multa do FGTS e contribuição social sobre o Aviso PrévioTrabalhado e Aviso Prévio Indenizado</t>
    </r>
    <r>
      <rPr>
        <b/>
        <sz val="8"/>
        <color indexed="10"/>
        <rFont val="Arial"/>
        <family val="2"/>
      </rPr>
      <t xml:space="preserve">Obrigatória a cotação de 5% sobre o valor do Módulo 1 – Composição da Remuneração1, conforme Anexo XII da IN Seges nº 5/2017 </t>
    </r>
  </si>
  <si>
    <r>
      <t xml:space="preserve">Dia: </t>
    </r>
    <r>
      <rPr>
        <b/>
        <sz val="10"/>
        <color indexed="10"/>
        <rFont val="Arial"/>
        <family val="2"/>
      </rPr>
      <t>31/12/2019 - Hora: 14h 30min</t>
    </r>
  </si>
  <si>
    <t>11080.003234/2019-29</t>
  </si>
  <si>
    <t>Pregão SRRF10 nº 20/2019</t>
  </si>
  <si>
    <t>1º de fevereiro de 2019</t>
  </si>
  <si>
    <r>
      <t>Base de cálculo para o Custo de Reposição do Profissional Ausente (substituto): BCCPA = MÓDULO 1 (= a Rem2) + MÓDULO 2 + MÓDULO 3</t>
    </r>
    <r>
      <rPr>
        <b/>
        <sz val="11"/>
        <color indexed="10"/>
        <rFont val="Arial"/>
        <family val="2"/>
      </rPr>
      <t xml:space="preserve">  - exceto o Afastamento Maternidade, pois que a Rem e o 13º são compensados pelo INSS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</si>
  <si>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</si>
  <si>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t>Adicional de Hora Noturna Reduzida (Hora Reduzida Noturna como Extra)</t>
    </r>
    <r>
      <rPr>
        <b/>
        <sz val="10"/>
        <color indexed="12"/>
        <rFont val="Arial"/>
        <family val="2"/>
      </rPr>
      <t xml:space="preserve"> (HRN que excedeu de 190,67h)</t>
    </r>
    <r>
      <rPr>
        <b/>
        <sz val="10"/>
        <rFont val="Arial"/>
        <family val="2"/>
      </rPr>
      <t xml:space="preserve"> Cálculo do valor: HE (c/peri) x </t>
    </r>
    <r>
      <rPr>
        <b/>
        <sz val="10"/>
        <color indexed="12"/>
        <rFont val="Arial"/>
        <family val="2"/>
      </rPr>
      <t>3,26h</t>
    </r>
    <r>
      <rPr>
        <b/>
        <sz val="10"/>
        <rFont val="Arial"/>
        <family val="2"/>
      </rPr>
      <t xml:space="preserve"> x 2 vig.)  ---   [193,93h (=180h + 13,93h) - 190,67 = 3,26h como horas extras, sendo  13,93 = 15x(6,5hx1,1428571 – 6,5h) </t>
    </r>
    <r>
      <rPr>
        <b/>
        <sz val="10"/>
        <color indexed="12"/>
        <rFont val="Arial"/>
        <family val="2"/>
      </rPr>
      <t>Das 22h às 5h - Cuidado: se for rendição de 1h então não tem HNR</t>
    </r>
  </si>
  <si>
    <r>
      <t>Substituto na cobertura de Ausência por doença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)/30)x3dias]/12 </t>
    </r>
  </si>
  <si>
    <r>
      <t>Base de cálculo para o Custo de Reposição do Profissional Ausente (substituto): BCCPA = MÓDULO 1 (= a Rem2) + MÓDULO 2 + MÓDULO 3</t>
    </r>
    <r>
      <rPr>
        <b/>
        <sz val="11"/>
        <color indexed="10"/>
        <rFont val="Arial"/>
        <family val="2"/>
      </rPr>
      <t xml:space="preserve"> - exceto o Afastamento Maternidade, pois que a Rem e o 13º são compensados pelo INSS</t>
    </r>
  </si>
  <si>
    <r>
      <t>Custo diário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= BCCPA/30 = </t>
    </r>
  </si>
  <si>
    <t>+</t>
  </si>
  <si>
    <r>
      <t>Substituto na cobertura de Ausência por doença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(incluído)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)/30)x3dias]/12 </t>
    </r>
  </si>
  <si>
    <t>MÓD 1                 (= a Rem1)=</t>
  </si>
  <si>
    <r>
      <t xml:space="preserve">Total da Remuneração de verbas de natureza indenizatória nas quais não incidem INSS, FGTS, Férias, 13º, etc.  - </t>
    </r>
    <r>
      <rPr>
        <b/>
        <sz val="11"/>
        <color indexed="10"/>
        <rFont val="Arial"/>
        <family val="2"/>
      </rPr>
      <t>Empregado só recebe se estiver trabalhando.</t>
    </r>
  </si>
  <si>
    <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{[(Rem1 + Rem1 / 3)/12 + (SUB2.2 + SUB2.3 -VA - VT + MÓD3)]  x (4/12)} x 2%</t>
    </r>
  </si>
  <si>
    <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{[(Rem1 + Rem1 / 3)/12 + (SUB2.2 + SUB2.3 + MÓD3)]  x (4/12)} x 2%</t>
    </r>
  </si>
  <si>
    <t xml:space="preserve">Remuneração 1 = Total da Remuneração de verbas de natureza salarial nas quais incidem INSS + FGTS + Férias + 13º, etc.   </t>
  </si>
  <si>
    <r>
      <t xml:space="preserve">Total da Remuneração de verbas de natureza indenizatória nas quais não incidem INSS, FGTS, Férias, 13º, etc.  </t>
    </r>
    <r>
      <rPr>
        <b/>
        <sz val="11"/>
        <color indexed="10"/>
        <rFont val="Arial"/>
        <family val="2"/>
      </rPr>
      <t>- Empregado só recebe se estiver trabalhando.</t>
    </r>
  </si>
  <si>
    <r>
      <t xml:space="preserve">Remuneração 2 = Total da Remuneração que o empregado irá receber
</t>
    </r>
    <r>
      <rPr>
        <b/>
        <sz val="11"/>
        <color indexed="12"/>
        <rFont val="Arial"/>
        <family val="2"/>
      </rPr>
      <t xml:space="preserve">Valor entra nos seguintes cálculos: Item 2, "A" - Quadro-Resumo do Custo por Posto de Trabalho, Custos Indiretos, Lucro e Tributos. 
</t>
    </r>
  </si>
  <si>
    <r>
      <t xml:space="preserve">Remuneração 1 = Total da Remuneração de verbas de natureza salarial nas quais incidem INSS + FGTS + Férias + 13º, etc.  
</t>
    </r>
    <r>
      <rPr>
        <b/>
        <sz val="11"/>
        <color indexed="10"/>
        <rFont val="Arial"/>
        <family val="2"/>
      </rPr>
      <t>OBSERVAÇÃO:  A REM1 DEVERÁ SER ZERADA NO MÊS EM QUE O TITULAR GOZAR FÉRIAS. PORÉM, DEVE SE MANTER NOS DIAS DE OUTRAS AUSÊNCIAS DO TITULAR.</t>
    </r>
  </si>
  <si>
    <r>
      <rPr>
        <b/>
        <sz val="10"/>
        <color indexed="10"/>
        <rFont val="Arial"/>
        <family val="2"/>
      </rPr>
      <t xml:space="preserve">Valor do salárioxhora sem periculosidade
</t>
    </r>
    <r>
      <rPr>
        <b/>
        <sz val="10"/>
        <color indexed="12"/>
        <rFont val="Arial"/>
        <family val="2"/>
      </rPr>
      <t>VSH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do salário normativo / 220 h)</t>
    </r>
  </si>
  <si>
    <r>
      <rPr>
        <b/>
        <sz val="10"/>
        <color indexed="10"/>
        <rFont val="Arial"/>
        <family val="2"/>
      </rPr>
      <t xml:space="preserve">Valor do salárioxhora com periculosidade
</t>
    </r>
    <r>
      <rPr>
        <b/>
        <sz val="10"/>
        <color indexed="12"/>
        <rFont val="Arial"/>
        <family val="2"/>
      </rPr>
      <t>VSH (c/peri)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da hora + 30% de peri)</t>
    </r>
  </si>
  <si>
    <r>
      <t>Substituto na cobertura de Intervalo para repouso ou alimentação</t>
    </r>
    <r>
      <rPr>
        <b/>
        <sz val="10"/>
        <color indexed="1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(Rendição para janta após 22 horas)-</t>
    </r>
    <r>
      <rPr>
        <b/>
        <sz val="10.5"/>
        <color indexed="12"/>
        <rFont val="Arial"/>
        <family val="2"/>
      </rPr>
      <t xml:space="preserve">Remuneração do Jantista </t>
    </r>
    <r>
      <rPr>
        <b/>
        <sz val="12"/>
        <color indexed="12"/>
        <rFont val="Arial"/>
        <family val="2"/>
      </rPr>
      <t xml:space="preserve">- </t>
    </r>
    <r>
      <rPr>
        <b/>
        <sz val="9"/>
        <color indexed="25"/>
        <rFont val="Arial"/>
        <family val="2"/>
      </rPr>
      <t xml:space="preserve">Cálculo do valor: </t>
    </r>
    <r>
      <rPr>
        <b/>
        <sz val="9"/>
        <color indexed="12"/>
        <rFont val="Arial"/>
        <family val="2"/>
      </rPr>
      <t>Salário-Base + AN + HNR:</t>
    </r>
    <r>
      <rPr>
        <b/>
        <sz val="9"/>
        <color indexed="25"/>
        <rFont val="Arial"/>
        <family val="2"/>
      </rPr>
      <t xml:space="preserve"> {[VSH (c/peri) x (</t>
    </r>
    <r>
      <rPr>
        <b/>
        <sz val="9"/>
        <color indexed="12"/>
        <rFont val="Arial"/>
        <family val="2"/>
      </rPr>
      <t>0,5</t>
    </r>
    <r>
      <rPr>
        <b/>
        <sz val="9"/>
        <color indexed="25"/>
        <rFont val="Arial"/>
        <family val="2"/>
      </rPr>
      <t xml:space="preserve">h/dia x 1,1428571) x 30 dias x 1,2 (hora + 20% AN)] x 1,2  RSR + Adicional de Troca de Uniforme c/ peri x 30 dias } </t>
    </r>
  </si>
  <si>
    <r>
      <t>13º (décimo terceiro) Salá</t>
    </r>
    <r>
      <rPr>
        <b/>
        <sz val="10"/>
        <rFont val="Arial"/>
        <family val="2"/>
      </rPr>
      <t>rio, Férias</t>
    </r>
    <r>
      <rPr>
        <b/>
        <sz val="10"/>
        <color indexed="8"/>
        <rFont val="Arial"/>
        <family val="2"/>
      </rPr>
      <t xml:space="preserve"> e Adicional de Férias</t>
    </r>
  </si>
  <si>
    <r>
      <t>Férias e</t>
    </r>
    <r>
      <rPr>
        <b/>
        <sz val="11"/>
        <color indexed="19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[Rem1 + (Rem1 / 3) / 12]</t>
    </r>
  </si>
  <si>
    <r>
      <rPr>
        <b/>
        <sz val="10"/>
        <color indexed="10"/>
        <rFont val="Arial"/>
        <family val="2"/>
      </rPr>
      <t xml:space="preserve">Valor da hora extra sem periculosidade com 50% 
</t>
    </r>
    <r>
      <rPr>
        <b/>
        <sz val="10"/>
        <color indexed="12"/>
        <rFont val="Arial"/>
        <family val="2"/>
      </rPr>
      <t>HE (c/peri) = (valor da hora + 50% de peri)</t>
    </r>
  </si>
  <si>
    <r>
      <rPr>
        <b/>
        <sz val="10"/>
        <color indexed="10"/>
        <rFont val="Arial"/>
        <family val="2"/>
      </rPr>
      <t xml:space="preserve">Valor da hora extra com periculosidade com 50% 
</t>
    </r>
    <r>
      <rPr>
        <b/>
        <sz val="10"/>
        <color indexed="12"/>
        <rFont val="Arial"/>
        <family val="2"/>
      </rPr>
      <t>HE (c/peri) = (valor da hora + 30% de peri) + 50%</t>
    </r>
  </si>
  <si>
    <r>
      <rPr>
        <b/>
        <sz val="10"/>
        <color indexed="10"/>
        <rFont val="Arial"/>
        <family val="2"/>
      </rPr>
      <t xml:space="preserve">Valor da hora do adicional noturno com periculosidade
</t>
    </r>
    <r>
      <rPr>
        <b/>
        <sz val="10"/>
        <color indexed="12"/>
        <rFont val="Arial"/>
        <family val="2"/>
      </rPr>
      <t>AN (c/peri)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da hora + 30% de peri) x 20%</t>
    </r>
  </si>
  <si>
    <r>
      <rPr>
        <b/>
        <sz val="10"/>
        <color indexed="10"/>
        <rFont val="Arial"/>
        <family val="2"/>
      </rPr>
      <t xml:space="preserve">Valor da hora de  periculosidade
</t>
    </r>
    <r>
      <rPr>
        <b/>
        <sz val="10"/>
        <color indexed="12"/>
        <rFont val="Arial"/>
        <family val="2"/>
      </rPr>
      <t>VHP =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valor da hora sem peri)</t>
    </r>
  </si>
  <si>
    <r>
      <rPr>
        <b/>
        <sz val="10"/>
        <color indexed="10"/>
        <rFont val="Arial"/>
        <family val="2"/>
      </rPr>
      <t xml:space="preserve">Valor do adicional de periculosidade              </t>
    </r>
    <r>
      <rPr>
        <b/>
        <sz val="9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salário normativo)</t>
    </r>
  </si>
  <si>
    <t>Adicional de troca de uniforme com periculosidade</t>
  </si>
  <si>
    <r>
      <rPr>
        <b/>
        <sz val="10"/>
        <rFont val="Arial"/>
        <family val="2"/>
      </rPr>
      <t>Adicional de Periculosidade</t>
    </r>
    <r>
      <rPr>
        <b/>
        <sz val="10"/>
        <color indexed="10"/>
        <rFont val="Arial"/>
        <family val="2"/>
      </rPr>
      <t xml:space="preserve"> (Lei nº 12.740/2012)    (30% do Salário-Base) </t>
    </r>
  </si>
  <si>
    <r>
      <rPr>
        <b/>
        <sz val="10"/>
        <rFont val="Arial"/>
        <family val="2"/>
      </rPr>
      <t xml:space="preserve">Adicional Noturno  sobre: 1) 7h de 60min p/dia + 2) 1 h reduzida noturna p/dia                  </t>
    </r>
    <r>
      <rPr>
        <b/>
        <sz val="10"/>
        <color indexed="10"/>
        <rFont val="Arial"/>
        <family val="2"/>
      </rPr>
      <t xml:space="preserve">Cálculo do valor: AN (c/peri) x 8h x 15 d x 2 vig. </t>
    </r>
    <r>
      <rPr>
        <b/>
        <sz val="10"/>
        <color indexed="12"/>
        <rFont val="Arial"/>
        <family val="2"/>
      </rPr>
      <t>Das 22h às 5h</t>
    </r>
  </si>
  <si>
    <r>
      <rPr>
        <b/>
        <sz val="10"/>
        <color indexed="8"/>
        <rFont val="Arial"/>
        <family val="2"/>
      </rPr>
      <t>Adicional de Hora Noturna Reduzida</t>
    </r>
    <r>
      <rPr>
        <b/>
        <sz val="10"/>
        <color indexed="10"/>
        <rFont val="Arial"/>
        <family val="2"/>
      </rPr>
      <t xml:space="preserve"> (Hora Reduzida Noturna como Extra) </t>
    </r>
    <r>
      <rPr>
        <b/>
        <sz val="10"/>
        <color indexed="12"/>
        <rFont val="Arial"/>
        <family val="2"/>
      </rPr>
      <t xml:space="preserve">(HRN que excedeu de 190,67h) </t>
    </r>
    <r>
      <rPr>
        <b/>
        <sz val="10"/>
        <color indexed="10"/>
        <rFont val="Arial"/>
        <family val="2"/>
      </rPr>
      <t xml:space="preserve">Cálculo do valor: HE (c/peri) x 4,33 h x 2 vig.)   [195h (=180h + 15h) - 190,67 = 4,33h como horas extras, sendo  15 = 15 x (7hx1,1428571 – 7h) </t>
    </r>
    <r>
      <rPr>
        <b/>
        <sz val="10"/>
        <color indexed="12"/>
        <rFont val="Arial"/>
        <family val="2"/>
      </rPr>
      <t>Das 22h às 5h</t>
    </r>
  </si>
  <si>
    <r>
      <t xml:space="preserve">Adicional para Troca de Uniforme -  Cálculo do valor: 1/6 do salário-hora por dia = </t>
    </r>
    <r>
      <rPr>
        <b/>
        <sz val="10"/>
        <color indexed="10"/>
        <rFont val="Arial"/>
        <family val="2"/>
      </rPr>
      <t>(VSH/6=1,10)x1,3x 2x15 = R$ 1,43x2x15</t>
    </r>
    <r>
      <rPr>
        <b/>
        <sz val="10"/>
        <color indexed="8"/>
        <rFont val="Arial"/>
        <family val="2"/>
      </rPr>
      <t xml:space="preserve">  cláusula 33 da CCT 2018/2020</t>
    </r>
  </si>
  <si>
    <r>
      <t xml:space="preserve">Remuneração 2 = Total da Remuneração que o empregado irá receber
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</si>
  <si>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r>
      <rPr>
        <b/>
        <sz val="11"/>
        <color indexed="8"/>
        <rFont val="Arial"/>
        <family val="2"/>
      </rPr>
      <t xml:space="preserve">Submódulo 2.1 – 13º (décimo terceiro) Salário </t>
    </r>
    <r>
      <rPr>
        <b/>
        <sz val="11"/>
        <color indexed="25"/>
        <rFont val="Arial"/>
        <family val="2"/>
      </rPr>
      <t>(Férias???)</t>
    </r>
    <r>
      <rPr>
        <b/>
        <sz val="11"/>
        <color indexed="19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</si>
  <si>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r>
      <rPr>
        <b/>
        <sz val="11"/>
        <color indexed="8"/>
        <rFont val="Arial"/>
        <family val="2"/>
      </rPr>
      <t xml:space="preserve">13º (décimo terceiro) Salário </t>
    </r>
    <r>
      <rPr>
        <b/>
        <sz val="10"/>
        <color indexed="25"/>
        <rFont val="Arial"/>
        <family val="2"/>
      </rPr>
      <t>(Férias???)</t>
    </r>
    <r>
      <rPr>
        <b/>
        <sz val="11"/>
        <color indexed="8"/>
        <rFont val="Arial"/>
        <family val="2"/>
      </rPr>
      <t xml:space="preserve"> e Adicional de Férias</t>
    </r>
  </si>
  <si>
    <r>
      <rPr>
        <b/>
        <sz val="11"/>
        <color indexed="8"/>
        <rFont val="Arial"/>
        <family val="2"/>
      </rP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 xml:space="preserve"> (Base de Cálculo = Módulo 1 (Rem1) + Submódulo 2.1)</t>
    </r>
  </si>
  <si>
    <r>
      <rPr>
        <b/>
        <sz val="10"/>
        <rFont val="Arial"/>
        <family val="2"/>
      </rPr>
      <t xml:space="preserve">RAT x FAP  </t>
    </r>
    <r>
      <rPr>
        <b/>
        <sz val="11"/>
        <color indexed="12"/>
        <rFont val="Arial"/>
        <family val="2"/>
      </rPr>
      <t xml:space="preserve"> 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</si>
  <si>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r>
      <rPr>
        <b/>
        <sz val="10"/>
        <color indexed="8"/>
        <rFont val="Arial"/>
        <family val="2"/>
      </rPr>
      <t xml:space="preserve">13º (décimo terceiro) Salário </t>
    </r>
    <r>
      <rPr>
        <b/>
        <sz val="10"/>
        <color indexed="25"/>
        <rFont val="Arial"/>
        <family val="2"/>
      </rPr>
      <t>(Férias???)</t>
    </r>
    <r>
      <rPr>
        <b/>
        <sz val="10"/>
        <color indexed="3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 Adicional de Férias</t>
    </r>
  </si>
  <si>
    <r>
      <t>Substituto na cobertura de Intervalo para repouso ou alimentação</t>
    </r>
    <r>
      <rPr>
        <b/>
        <sz val="10"/>
        <color indexed="1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(Rendição para janta após 22 horas)-</t>
    </r>
    <r>
      <rPr>
        <b/>
        <sz val="10.5"/>
        <color indexed="12"/>
        <rFont val="Arial"/>
        <family val="2"/>
      </rPr>
      <t xml:space="preserve">Remuneração do Jantista </t>
    </r>
    <r>
      <rPr>
        <b/>
        <sz val="12"/>
        <color indexed="12"/>
        <rFont val="Arial"/>
        <family val="2"/>
      </rPr>
      <t xml:space="preserve">- </t>
    </r>
    <r>
      <rPr>
        <b/>
        <sz val="9"/>
        <color indexed="25"/>
        <rFont val="Arial"/>
        <family val="2"/>
      </rPr>
      <t xml:space="preserve">Cálculo do valor: </t>
    </r>
    <r>
      <rPr>
        <b/>
        <sz val="9"/>
        <color indexed="12"/>
        <rFont val="Arial"/>
        <family val="2"/>
      </rPr>
      <t>Salário-Base + AN + HNR:</t>
    </r>
    <r>
      <rPr>
        <b/>
        <sz val="9"/>
        <color indexed="25"/>
        <rFont val="Arial"/>
        <family val="2"/>
      </rPr>
      <t xml:space="preserve"> {[VSH (c/peri) x (</t>
    </r>
    <r>
      <rPr>
        <b/>
        <sz val="9"/>
        <color indexed="12"/>
        <rFont val="Arial"/>
        <family val="2"/>
      </rPr>
      <t>0,5</t>
    </r>
    <r>
      <rPr>
        <b/>
        <sz val="9"/>
        <color indexed="25"/>
        <rFont val="Arial"/>
        <family val="2"/>
      </rPr>
      <t xml:space="preserve">h/dia x 1,1428571) x 30 dias x 1,2 (hora + 20% AN)] x 1,2  RSR + Adicional de Troca de Uniforme c/ peri x 30 } </t>
    </r>
  </si>
  <si>
    <r>
      <rPr>
        <b/>
        <sz val="10"/>
        <rFont val="Arial"/>
        <family val="2"/>
      </rPr>
      <t xml:space="preserve">Multa do FGTS e contribuições sociais sobre o  Aviso Prévio Indenizado 
</t>
    </r>
    <r>
      <rPr>
        <b/>
        <sz val="9"/>
        <color indexed="10"/>
        <rFont val="Arial"/>
        <family val="2"/>
      </rPr>
      <t>Cálculo do valor = [50%x8%x(Rem1+13º+Férias+1/3xFérias)]x5% de rotatividade</t>
    </r>
  </si>
  <si>
    <r>
      <rPr>
        <b/>
        <sz val="10"/>
        <rFont val="Arial"/>
        <family val="2"/>
      </rPr>
      <t xml:space="preserve">Multa do FGTS e contribuições sociais sobre o Aviso Prévio Trabalhado
</t>
    </r>
    <r>
      <rPr>
        <b/>
        <sz val="9"/>
        <color indexed="10"/>
        <rFont val="Arial"/>
        <family val="2"/>
      </rPr>
      <t>Cálculo do valor = [50%x8%x(Rem1+13º+Férias+1/3xFérias)]x100% dos empregados</t>
    </r>
  </si>
  <si>
    <r>
      <t>Substituto na cobertura de Outras ausências (especificar)
Substituto na cobertura de Ausência por doença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(incluído)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)/30)x3dias]/12 
Incluído por permissão da IN Seges nº 5/2017, Anexo VII-B, item 1.7, alíneas "b" e "c".5.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</si>
  <si>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20/2019-</t>
    </r>
    <r>
      <rPr>
        <b/>
        <sz val="18"/>
        <color indexed="12"/>
        <rFont val="Arial"/>
        <family val="2"/>
      </rPr>
      <t xml:space="preserve">COM PERI NO FIM
</t>
    </r>
    <r>
      <rPr>
        <b/>
        <sz val="16"/>
        <color indexed="12"/>
        <rFont val="Arial"/>
        <family val="2"/>
      </rPr>
      <t xml:space="preserve">Pagamento pelo Fato Gerador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</si>
  <si>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Nota 1:  Como a planilha de custos e formação de preços é calculada mensalmente, provisiona-se proporcionalmente 1/12 (um doze avos) dos valores referentes à gratificação natalina, </t>
    </r>
    <r>
      <rPr>
        <b/>
        <sz val="9"/>
        <color indexed="10"/>
        <rFont val="Arial"/>
        <family val="2"/>
      </rPr>
      <t>férias</t>
    </r>
    <r>
      <rPr>
        <sz val="9"/>
        <color indexed="8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</si>
  <si>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t>Base de cálculo para o Custo de Reposição do Profissional Ausente (substituto): BCCPA = MÓDULO 1 (= a Rem2) + MÓDULO 2 + MÓDULO 3 -</t>
    </r>
    <r>
      <rPr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exceto o Afastamento Maternidade, pois que a Rem e o 13º são compensados pelo INSS</t>
    </r>
  </si>
  <si>
    <r>
      <t xml:space="preserve">Total da Remuneração de verbas de natureza indenizatória nas quais não incidem INSS, FGTS, Férias, 13º, etc. -  </t>
    </r>
    <r>
      <rPr>
        <b/>
        <sz val="11"/>
        <color indexed="10"/>
        <rFont val="Arial"/>
        <family val="2"/>
      </rPr>
      <t>Empregado só recebe se estiver trabalhando.</t>
    </r>
  </si>
  <si>
    <t>MÓD 2 (-VA -  VT) =</t>
  </si>
  <si>
    <t>Incidência dos encargos do Submódulo 2.2 sobre as verbas de natureza remuneratória</t>
  </si>
  <si>
    <r>
      <t xml:space="preserve">13º (décimo terceiro) Salário, Férias e Adicional de Férias </t>
    </r>
    <r>
      <rPr>
        <b/>
        <sz val="10"/>
        <color indexed="12"/>
        <rFont val="Arial"/>
        <family val="2"/>
      </rPr>
      <t>do Jantista</t>
    </r>
    <r>
      <rPr>
        <b/>
        <sz val="10"/>
        <color indexed="8"/>
        <rFont val="Arial"/>
        <family val="2"/>
      </rPr>
      <t xml:space="preserve"> –</t>
    </r>
    <r>
      <rPr>
        <b/>
        <sz val="10"/>
        <color indexed="10"/>
        <rFont val="Arial"/>
        <family val="2"/>
      </rPr>
      <t xml:space="preserve"> Cálculo do valor: Rem/12 + Rem/12 + (Rem/3)/12</t>
    </r>
  </si>
  <si>
    <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 xml:space="preserve">cláusula 69 da CCT 2018/2020 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</si>
  <si>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20/2019-</t>
    </r>
    <r>
      <rPr>
        <b/>
        <sz val="18"/>
        <color indexed="12"/>
        <rFont val="Arial"/>
        <family val="2"/>
      </rPr>
      <t xml:space="preserve">COM PERI NO INÍCIO
</t>
    </r>
    <r>
      <rPr>
        <b/>
        <sz val="16"/>
        <color indexed="12"/>
        <rFont val="Arial"/>
        <family val="2"/>
      </rPr>
      <t xml:space="preserve">Pagamento pelo Fato Gerador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</si>
  <si>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VIGILÂNCIA 12 x 36 NOTURNA - </t>
    </r>
    <r>
      <rPr>
        <b/>
        <sz val="16"/>
        <color indexed="20"/>
        <rFont val="Arial"/>
        <family val="2"/>
      </rPr>
      <t>Simples Nacional - Anexo IV</t>
    </r>
  </si>
  <si>
    <r>
      <t xml:space="preserve">VIGILÂNCIA 12 x 36 NOTURNA - </t>
    </r>
    <r>
      <rPr>
        <b/>
        <sz val="16"/>
        <color indexed="20"/>
        <rFont val="Arial"/>
        <family val="2"/>
      </rPr>
      <t>Lucro Real e Presumid</t>
    </r>
    <r>
      <rPr>
        <b/>
        <sz val="14"/>
        <color indexed="20"/>
        <rFont val="Arial"/>
        <family val="2"/>
      </rPr>
      <t xml:space="preserve">o </t>
    </r>
  </si>
  <si>
    <r>
      <t xml:space="preserve">VIGILÂNCIA 12 x 36 NOTURNA - </t>
    </r>
    <r>
      <rPr>
        <b/>
        <sz val="16"/>
        <color indexed="20"/>
        <rFont val="Arial"/>
        <family val="2"/>
      </rPr>
      <t xml:space="preserve">Lucro Real e Presumido </t>
    </r>
  </si>
  <si>
    <r>
      <t xml:space="preserve">Adicional Noturno  sobre: 1) 6,5h de 60min p/dia + 2) 0,92857115 h reduzida noturna p/dia                  </t>
    </r>
    <r>
      <rPr>
        <b/>
        <sz val="10"/>
        <color indexed="10"/>
        <rFont val="Arial"/>
        <family val="2"/>
      </rPr>
      <t xml:space="preserve">Cálculo do valor: AN (c/peri) x 7,42857115 (igual a 6,5h x 1,1428571) x 15 d x 2 vig.  </t>
    </r>
    <r>
      <rPr>
        <b/>
        <sz val="10"/>
        <color indexed="12"/>
        <rFont val="Arial"/>
        <family val="2"/>
      </rPr>
      <t>Das 22h às 5h menos 30 miniutos do intervalo intrajornada efetivamente gozado.</t>
    </r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</si>
  <si>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</si>
  <si>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r>
      <t>A</t>
    </r>
    <r>
      <rPr>
        <b/>
        <sz val="10"/>
        <color indexed="8"/>
        <rFont val="Arial"/>
        <family val="2"/>
      </rPr>
      <t>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[(Rem1 / 3) / 12]</t>
    </r>
  </si>
  <si>
    <r>
      <rPr>
        <b/>
        <sz val="11"/>
        <color indexed="8"/>
        <rFont val="Arial"/>
        <family val="2"/>
      </rPr>
      <t>GPS, FGTS e outras contribuições</t>
    </r>
  </si>
  <si>
    <r>
      <t xml:space="preserve">Transporte para a rendição -   </t>
    </r>
    <r>
      <rPr>
        <b/>
        <sz val="10"/>
        <color indexed="10"/>
        <rFont val="Arial"/>
        <family val="2"/>
      </rPr>
      <t xml:space="preserve"> Cálculo do valor: [(2xVTx30) – (6%x SB da Rendição=R$ Sal.Norm./220h s/ peri</t>
    </r>
    <r>
      <rPr>
        <b/>
        <sz val="10"/>
        <color indexed="12"/>
        <rFont val="Arial"/>
        <family val="2"/>
      </rPr>
      <t xml:space="preserve"> x 0,5 h x</t>
    </r>
    <r>
      <rPr>
        <b/>
        <sz val="10"/>
        <color indexed="10"/>
        <rFont val="Arial"/>
        <family val="2"/>
      </rPr>
      <t xml:space="preserve"> 30 dias x 1,2 de RSR)]</t>
    </r>
    <r>
      <rPr>
        <b/>
        <sz val="10"/>
        <rFont val="Arial"/>
        <family val="2"/>
      </rPr>
      <t xml:space="preserve">  </t>
    </r>
    <r>
      <rPr>
        <b/>
        <sz val="9"/>
        <color indexed="12"/>
        <rFont val="Arial"/>
        <family val="2"/>
      </rPr>
      <t xml:space="preserve"> (sendo 2 passagens para a rendição) - Dividir o valor pelo nº de postos em que haverá rendição com o mesmo vigilante sem necessidade de mais transporte, no caso considerou-se somente a rendição de 1 posto.</t>
    </r>
  </si>
  <si>
    <r>
      <t xml:space="preserve">MÓD 2 </t>
    </r>
    <r>
      <rPr>
        <b/>
        <sz val="10"/>
        <color indexed="10"/>
        <rFont val="Arial"/>
        <family val="2"/>
      </rPr>
      <t>(sem VA e os VT)</t>
    </r>
    <r>
      <rPr>
        <b/>
        <sz val="11"/>
        <color indexed="12"/>
        <rFont val="Arial"/>
        <family val="2"/>
      </rPr>
      <t xml:space="preserve"> =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</si>
  <si>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/30)x1dias]/12</t>
    </r>
  </si>
  <si>
    <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{[(Rem1 + Rem1 / 3)/12 + (SUB2.2 + SUB2.3 - VA - os VTs + MÓD3)]  x (4/12)} x 2%</t>
    </r>
  </si>
  <si>
    <r>
      <t xml:space="preserve">Adicional para Troca de Uniforme -  </t>
    </r>
    <r>
      <rPr>
        <b/>
        <sz val="10"/>
        <color indexed="10"/>
        <rFont val="Arial"/>
        <family val="2"/>
      </rPr>
      <t xml:space="preserve">Cálculo do valor: 1/6 do salário-hora por dia = (VSH/6=1,10)x1,3x2x15 = R$ 1,47x2x15 </t>
    </r>
    <r>
      <rPr>
        <b/>
        <sz val="10"/>
        <rFont val="Arial"/>
        <family val="2"/>
      </rPr>
      <t xml:space="preserve"> cláusula 33 da CCT 2018/2020</t>
    </r>
  </si>
  <si>
    <r>
      <rPr>
        <b/>
        <sz val="11"/>
        <color indexed="8"/>
        <rFont val="Arial"/>
        <family val="2"/>
      </rP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>(Base de Cálculo = Módulo 1 (Rem1) + Submódulo 2.1)</t>
    </r>
  </si>
  <si>
    <r>
      <rPr>
        <b/>
        <sz val="11"/>
        <color indexed="8"/>
        <rFont val="Arial"/>
        <family val="2"/>
      </rPr>
      <t>GPS, FGTS e outras contribuições</t>
    </r>
    <r>
      <rPr>
        <b/>
        <sz val="11"/>
        <color indexed="25"/>
        <rFont val="Arial"/>
        <family val="2"/>
      </rPr>
      <t xml:space="preserve"> (só dos titulares)</t>
    </r>
  </si>
  <si>
    <t>A1</t>
  </si>
  <si>
    <r>
      <rPr>
        <b/>
        <sz val="15"/>
        <color indexed="20"/>
        <rFont val="Arial"/>
        <family val="2"/>
      </rPr>
      <t xml:space="preserve">VIGILÂNCIA 12 x 36 NOTURNA - </t>
    </r>
    <r>
      <rPr>
        <b/>
        <sz val="14"/>
        <color indexed="20"/>
        <rFont val="Arial"/>
        <family val="2"/>
      </rPr>
      <t>Lucro Real e Presumido - SLIDES - PREENCHIDO</t>
    </r>
  </si>
  <si>
    <t>Dados complementares para composição dos custos referente à mão de obra</t>
  </si>
  <si>
    <t>Salário Normativo da Categoria Profissional + Peri</t>
  </si>
  <si>
    <r>
      <t xml:space="preserve">Valor do salárioxhora com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</si>
  <si>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t xml:space="preserve">Valor da hora extra com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</si>
  <si>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t xml:space="preserve">Valor da hora do adicional noturno com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1,3 x 20%</t>
    </r>
  </si>
  <si>
    <t>Adicional de troca de uniforme</t>
  </si>
  <si>
    <r>
      <t xml:space="preserve">Módulo 1: Composição da Remuneração </t>
    </r>
    <r>
      <rPr>
        <b/>
        <sz val="14"/>
        <color indexed="10"/>
        <rFont val="Arial"/>
        <family val="2"/>
      </rPr>
      <t>(por Vigilante)</t>
    </r>
  </si>
  <si>
    <r>
      <t xml:space="preserve">Composição da Remuneração </t>
    </r>
    <r>
      <rPr>
        <b/>
        <sz val="14"/>
        <color indexed="10"/>
        <rFont val="Arial"/>
        <family val="2"/>
      </rPr>
      <t>(por Vigilante)</t>
    </r>
  </si>
  <si>
    <r>
      <rPr>
        <b/>
        <sz val="14"/>
        <rFont val="Arial"/>
        <family val="2"/>
      </rPr>
      <t xml:space="preserve">Salário-Base  </t>
    </r>
    <r>
      <rPr>
        <b/>
        <sz val="10"/>
        <rFont val="Arial"/>
        <family val="2"/>
      </rPr>
      <t xml:space="preserve">(R$ 1.447,60) +  (R$ 434,28 de periculosidade) </t>
    </r>
    <r>
      <rPr>
        <b/>
        <sz val="10"/>
        <color indexed="10"/>
        <rFont val="Arial"/>
        <family val="2"/>
      </rPr>
      <t xml:space="preserve">(valor para 1 vigilante) </t>
    </r>
  </si>
  <si>
    <r>
      <t>Adicional Noturno  sobre</t>
    </r>
    <r>
      <rPr>
        <b/>
        <sz val="14"/>
        <color indexed="12"/>
        <rFont val="Arial"/>
        <family val="2"/>
      </rPr>
      <t xml:space="preserve"> 7 </t>
    </r>
    <r>
      <rPr>
        <b/>
        <sz val="14"/>
        <rFont val="Arial"/>
        <family val="2"/>
      </rPr>
      <t>horas de 60min p/dia</t>
    </r>
    <r>
      <rPr>
        <b/>
        <sz val="10"/>
        <rFont val="Arial"/>
        <family val="2"/>
      </rPr>
      <t xml:space="preserve"> 
</t>
    </r>
    <r>
      <rPr>
        <b/>
        <sz val="11"/>
        <color indexed="10"/>
        <rFont val="Arial"/>
        <family val="2"/>
      </rPr>
      <t xml:space="preserve">Cálculo do valor: SB x 1,3 x </t>
    </r>
    <r>
      <rPr>
        <b/>
        <sz val="11"/>
        <color indexed="12"/>
        <rFont val="Arial"/>
        <family val="2"/>
      </rPr>
      <t>7</t>
    </r>
    <r>
      <rPr>
        <b/>
        <sz val="11"/>
        <color indexed="10"/>
        <rFont val="Arial"/>
        <family val="2"/>
      </rPr>
      <t xml:space="preserve">/12 x 0,2 </t>
    </r>
    <r>
      <rPr>
        <b/>
        <sz val="11"/>
        <color indexed="12"/>
        <rFont val="Arial"/>
        <family val="2"/>
      </rPr>
      <t>Das 22h às 5h</t>
    </r>
  </si>
  <si>
    <r>
      <t>Adicional de Hora Noturna Reduzida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 sobre </t>
    </r>
    <r>
      <rPr>
        <b/>
        <sz val="14"/>
        <color indexed="12"/>
        <rFont val="Arial"/>
        <family val="2"/>
      </rPr>
      <t>1</t>
    </r>
    <r>
      <rPr>
        <b/>
        <sz val="14"/>
        <rFont val="Arial"/>
        <family val="2"/>
      </rPr>
      <t xml:space="preserve"> hora por noite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(7hx1,1428571 - 7h) com adicional noturno</t>
    </r>
    <r>
      <rPr>
        <b/>
        <sz val="11"/>
        <color indexed="10"/>
        <rFont val="Arial"/>
        <family val="2"/>
      </rPr>
      <t xml:space="preserve"> - Cálculo do valor: Cálculo do valor: SB x </t>
    </r>
    <r>
      <rPr>
        <b/>
        <sz val="11"/>
        <color indexed="12"/>
        <rFont val="Arial"/>
        <family val="2"/>
      </rPr>
      <t>1</t>
    </r>
    <r>
      <rPr>
        <b/>
        <sz val="11"/>
        <color indexed="10"/>
        <rFont val="Arial"/>
        <family val="2"/>
      </rPr>
      <t xml:space="preserve">/12 x 1,2  </t>
    </r>
    <r>
      <rPr>
        <b/>
        <sz val="9"/>
        <color indexed="18"/>
        <rFont val="Arial"/>
        <family val="2"/>
      </rPr>
      <t>D</t>
    </r>
    <r>
      <rPr>
        <b/>
        <sz val="11"/>
        <color indexed="12"/>
        <rFont val="Arial"/>
        <family val="2"/>
      </rPr>
      <t>as 22h às 5h</t>
    </r>
  </si>
  <si>
    <t>Soma do AN e da HNR</t>
  </si>
  <si>
    <r>
      <t xml:space="preserve">Valor da hora extra com periculosidade com 50% 
</t>
    </r>
    <r>
      <rPr>
        <b/>
        <sz val="10"/>
        <color indexed="12"/>
        <rFont val="Arial"/>
        <family val="2"/>
      </rPr>
      <t>HE (c/peri) = valor da hora + 50%</t>
    </r>
  </si>
  <si>
    <r>
      <t xml:space="preserve">Valor da hora do adicional noturno com periculosidade
</t>
    </r>
    <r>
      <rPr>
        <b/>
        <sz val="10"/>
        <color indexed="12"/>
        <rFont val="Arial"/>
        <family val="2"/>
      </rPr>
      <t>AN (c/peri)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</si>
  <si>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r>
      <t>Módulo 1: Composição da Remuneração</t>
    </r>
    <r>
      <rPr>
        <b/>
        <sz val="14"/>
        <color indexed="10"/>
        <rFont val="Arial"/>
        <family val="2"/>
      </rPr>
      <t xml:space="preserve"> (por Vigilante)</t>
    </r>
  </si>
  <si>
    <r>
      <rPr>
        <b/>
        <sz val="14"/>
        <rFont val="Arial"/>
        <family val="2"/>
      </rPr>
      <t>Salário-Base</t>
    </r>
    <r>
      <rPr>
        <b/>
        <sz val="10"/>
        <rFont val="Arial"/>
        <family val="2"/>
      </rPr>
      <t xml:space="preserve">  (R$ 1.447,60) +  (R$ 434,28) de periculosidade)</t>
    </r>
    <r>
      <rPr>
        <b/>
        <sz val="10"/>
        <color indexed="10"/>
        <rFont val="Arial"/>
        <family val="2"/>
      </rPr>
      <t xml:space="preserve">(valor para 1 vigilante) </t>
    </r>
  </si>
  <si>
    <r>
      <t xml:space="preserve">Adicional Noturno  sobre </t>
    </r>
    <r>
      <rPr>
        <b/>
        <sz val="14"/>
        <color indexed="12"/>
        <rFont val="Arial"/>
        <family val="2"/>
      </rPr>
      <t xml:space="preserve">7 </t>
    </r>
    <r>
      <rPr>
        <b/>
        <sz val="14"/>
        <rFont val="Arial"/>
        <family val="2"/>
      </rPr>
      <t>horas de 60min p/dia</t>
    </r>
    <r>
      <rPr>
        <b/>
        <sz val="10"/>
        <rFont val="Arial"/>
        <family val="2"/>
      </rPr>
      <t xml:space="preserve"> 
</t>
    </r>
    <r>
      <rPr>
        <b/>
        <sz val="10"/>
        <color indexed="10"/>
        <rFont val="Arial"/>
        <family val="2"/>
      </rPr>
      <t xml:space="preserve">Cálculo do valor: AN (c/peri)  x </t>
    </r>
    <r>
      <rPr>
        <b/>
        <sz val="12"/>
        <color indexed="12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h x 15d x 1vig x 1,2 (RSR)  </t>
    </r>
    <r>
      <rPr>
        <b/>
        <sz val="10"/>
        <color indexed="12"/>
        <rFont val="Arial"/>
        <family val="2"/>
      </rPr>
      <t>Das 22h às 5h</t>
    </r>
  </si>
  <si>
    <r>
      <rPr>
        <b/>
        <sz val="14"/>
        <color indexed="8"/>
        <rFont val="Arial"/>
        <family val="2"/>
      </rPr>
      <t>Adicional de Hora Noturna Reduzida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 sobre </t>
    </r>
    <r>
      <rPr>
        <b/>
        <sz val="14"/>
        <color indexed="12"/>
        <rFont val="Arial"/>
        <family val="2"/>
      </rPr>
      <t>1</t>
    </r>
    <r>
      <rPr>
        <b/>
        <sz val="14"/>
        <rFont val="Arial"/>
        <family val="2"/>
      </rPr>
      <t xml:space="preserve"> hora por noite (7hx1,1428571 - 7h) com adicional noturno</t>
    </r>
    <r>
      <rPr>
        <b/>
        <sz val="10"/>
        <color indexed="10"/>
        <rFont val="Arial"/>
        <family val="2"/>
      </rPr>
      <t xml:space="preserve"> 
Cálculo do valor: SH (c/peri) x </t>
    </r>
    <r>
      <rPr>
        <b/>
        <sz val="12"/>
        <color indexed="12"/>
        <rFont val="Arial"/>
        <family val="2"/>
      </rPr>
      <t xml:space="preserve">1 </t>
    </r>
    <r>
      <rPr>
        <b/>
        <sz val="10"/>
        <color indexed="10"/>
        <rFont val="Arial"/>
        <family val="2"/>
      </rPr>
      <t xml:space="preserve">x 1,2 x 15 x 1,2 (RSR)  </t>
    </r>
    <r>
      <rPr>
        <b/>
        <sz val="10"/>
        <color indexed="18"/>
        <rFont val="Arial"/>
        <family val="2"/>
      </rPr>
      <t>D</t>
    </r>
    <r>
      <rPr>
        <b/>
        <sz val="9"/>
        <color indexed="12"/>
        <rFont val="Arial"/>
        <family val="2"/>
      </rPr>
      <t>as 22h às 5h</t>
    </r>
  </si>
  <si>
    <r>
      <t xml:space="preserve">Dia: </t>
    </r>
    <r>
      <rPr>
        <b/>
        <sz val="10"/>
        <color indexed="10"/>
        <rFont val="Arial"/>
        <family val="2"/>
      </rPr>
      <t>32/12/2019 - Hora: 14h 30min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</si>
  <si>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20/2019-</t>
    </r>
    <r>
      <rPr>
        <b/>
        <sz val="18"/>
        <color indexed="12"/>
        <rFont val="Arial"/>
        <family val="2"/>
      </rPr>
      <t xml:space="preserve">COM PERI NO FIM
</t>
    </r>
    <r>
      <rPr>
        <b/>
        <sz val="16"/>
        <color indexed="12"/>
        <rFont val="Arial"/>
        <family val="2"/>
      </rPr>
      <t xml:space="preserve">Pagamento pelo Fato Gerador - SEM RSR EXPLÍCITO
</t>
    </r>
    <r>
      <rPr>
        <b/>
        <sz val="17"/>
        <rFont val="Arial"/>
        <family val="2"/>
      </rPr>
      <t>MODELO DE PLANILHA DE CUSTOS E FORMAÇÃO DE PREÇOS</t>
    </r>
    <r>
      <rPr>
        <b/>
        <sz val="18"/>
        <rFont val="Arial"/>
        <family val="2"/>
      </rPr>
      <t xml:space="preserve"> </t>
    </r>
    <r>
      <rPr>
        <b/>
        <sz val="18"/>
        <color indexed="20"/>
        <rFont val="Arial"/>
        <family val="2"/>
      </rPr>
      <t xml:space="preserve"> 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</si>
  <si>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20/2019-</t>
    </r>
    <r>
      <rPr>
        <b/>
        <sz val="18"/>
        <color indexed="12"/>
        <rFont val="Arial"/>
        <family val="2"/>
      </rPr>
      <t xml:space="preserve">COM PERI NO FIM
</t>
    </r>
    <r>
      <rPr>
        <b/>
        <sz val="16"/>
        <color indexed="12"/>
        <rFont val="Arial"/>
        <family val="2"/>
      </rPr>
      <t xml:space="preserve">Pagamento pelo Fato Gerador - SEM RSR
</t>
    </r>
    <r>
      <rPr>
        <b/>
        <sz val="17"/>
        <rFont val="Arial"/>
        <family val="2"/>
      </rPr>
      <t xml:space="preserve">MODELO DE PLANILHA DE CUSTOS E FORMAÇÃO DE PREÇOS </t>
    </r>
    <r>
      <rPr>
        <b/>
        <sz val="17"/>
        <color indexed="20"/>
        <rFont val="Arial"/>
        <family val="2"/>
      </rPr>
      <t xml:space="preserve"> </t>
    </r>
  </si>
  <si>
    <r>
      <t xml:space="preserve">Composição da Remuneração </t>
    </r>
    <r>
      <rPr>
        <b/>
        <sz val="14"/>
        <color indexed="10"/>
        <rFont val="Arial"/>
        <family val="2"/>
      </rPr>
      <t xml:space="preserve">(por Vigilante) - </t>
    </r>
    <r>
      <rPr>
        <b/>
        <sz val="18"/>
        <color indexed="10"/>
        <rFont val="Arial"/>
        <family val="2"/>
      </rPr>
      <t>CADERNO TÉCNICO</t>
    </r>
  </si>
  <si>
    <t>O Caderno Técnico não considera os 190,67h da CCT/RS</t>
  </si>
  <si>
    <r>
      <t>Submódulo 2.1 – 13º (décimo terceiro) Salá</t>
    </r>
    <r>
      <rPr>
        <b/>
        <sz val="11"/>
        <rFont val="Arial"/>
        <family val="2"/>
      </rPr>
      <t>rio, Férias</t>
    </r>
    <r>
      <rPr>
        <b/>
        <sz val="11"/>
        <color indexed="19"/>
        <rFont val="Arial"/>
        <family val="2"/>
      </rPr>
      <t xml:space="preserve"> </t>
    </r>
    <r>
      <rPr>
        <b/>
        <sz val="11"/>
        <rFont val="Arial"/>
        <family val="2"/>
      </rPr>
      <t>e A</t>
    </r>
    <r>
      <rPr>
        <b/>
        <sz val="11"/>
        <color indexed="8"/>
        <rFont val="Arial"/>
        <family val="2"/>
      </rPr>
      <t>dicional de Férias</t>
    </r>
  </si>
  <si>
    <r>
      <t xml:space="preserve">13º (décimo terceiro) </t>
    </r>
    <r>
      <rPr>
        <b/>
        <sz val="11"/>
        <rFont val="Arial"/>
        <family val="2"/>
      </rPr>
      <t>Salário, Férias e Adicional de Férias</t>
    </r>
  </si>
  <si>
    <r>
      <t>Férias e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A</t>
    </r>
    <r>
      <rPr>
        <b/>
        <sz val="10"/>
        <color indexed="8"/>
        <rFont val="Arial"/>
        <family val="2"/>
      </rPr>
      <t>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 + Rem1 / 3) / 12]</t>
    </r>
  </si>
  <si>
    <r>
      <t>Nota 1:  Como a planilha de custos e formação de preços é calculada mensalmente, provisiona-se proporcionalmente 1/12 (um doze avos) dos valores referentes à gratificação natalina,</t>
    </r>
    <r>
      <rPr>
        <sz val="9"/>
        <color indexed="10"/>
        <rFont val="Arial"/>
        <family val="2"/>
      </rPr>
      <t xml:space="preserve"> férias</t>
    </r>
    <r>
      <rPr>
        <sz val="9"/>
        <color indexed="8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</si>
  <si>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t xml:space="preserve">                                                                                     Total da Remuneração
</t>
    </r>
    <r>
      <rPr>
        <b/>
        <sz val="10"/>
        <color indexed="10"/>
        <rFont val="Arial"/>
        <family val="2"/>
      </rPr>
      <t>OBSERVAÇÃO:  A REMUNERAÇÃO DEVERÁ SER ZERADA NO MÊS EM QUE O TITULAR GOZAR FÉRIAS. PORÉM, DEVE SE MANTER NOS DIAS DE OUTRAS AUSÊNCIAS DO TITULAR</t>
    </r>
    <r>
      <rPr>
        <b/>
        <sz val="11"/>
        <color indexed="10"/>
        <rFont val="Arial"/>
        <family val="2"/>
      </rPr>
      <t>.</t>
    </r>
    <r>
      <rPr>
        <b/>
        <sz val="14"/>
        <rFont val="Arial"/>
        <family val="2"/>
      </rPr>
      <t xml:space="preserve"> </t>
    </r>
  </si>
  <si>
    <r>
      <t xml:space="preserve">Base de cálculo para o Custo de Reposição do Profissional Ausente (substituto): BCCPA = MÓDULO 1 (= a Rem2) + MÓDULO 2 + MÓDULO 3 - </t>
    </r>
    <r>
      <rPr>
        <b/>
        <sz val="11"/>
        <color indexed="25"/>
        <rFont val="Arial"/>
        <family val="2"/>
      </rPr>
      <t>exceto o Afastamento Maternidade, pois que a Rem e o 13º são compensados pelo INSS</t>
    </r>
  </si>
  <si>
    <r>
      <rPr>
        <b/>
        <sz val="10"/>
        <rFont val="Arial"/>
        <family val="2"/>
      </rP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Remx 0,023%</t>
    </r>
  </si>
  <si>
    <r>
      <rPr>
        <b/>
        <sz val="10"/>
        <rFont val="Arial"/>
        <family val="2"/>
      </rPr>
      <t xml:space="preserve">Auxílio-Funeral   </t>
    </r>
    <r>
      <rPr>
        <b/>
        <sz val="10"/>
        <color indexed="10"/>
        <rFont val="Arial"/>
        <family val="2"/>
      </rPr>
      <t>(cláusula 38 da CCT 2018/2020) Cálculo do valor: [(SB x 0,52066%)/12]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</si>
  <si>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20/2019-</t>
    </r>
    <r>
      <rPr>
        <b/>
        <sz val="18"/>
        <color indexed="12"/>
        <rFont val="Arial"/>
        <family val="2"/>
      </rPr>
      <t xml:space="preserve">COM PERI NO INÍCIO
</t>
    </r>
    <r>
      <rPr>
        <b/>
        <sz val="16"/>
        <color indexed="12"/>
        <rFont val="Arial"/>
        <family val="2"/>
      </rPr>
      <t xml:space="preserve">Conta vinculada – </t>
    </r>
    <r>
      <rPr>
        <b/>
        <sz val="18"/>
        <color indexed="12"/>
        <rFont val="Arial"/>
        <family val="2"/>
      </rPr>
      <t>Com Rendição</t>
    </r>
    <r>
      <rPr>
        <b/>
        <sz val="16"/>
        <color indexed="12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</si>
  <si>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13º (décimo terceiro) Salário </t>
    </r>
    <r>
      <rPr>
        <b/>
        <sz val="10"/>
        <color indexed="25"/>
        <rFont val="Arial"/>
        <family val="2"/>
      </rPr>
      <t>(Férias???)</t>
    </r>
    <r>
      <rPr>
        <b/>
        <sz val="10"/>
        <color indexed="8"/>
        <rFont val="Arial"/>
        <family val="2"/>
      </rPr>
      <t xml:space="preserve"> e Adicional de Férias</t>
    </r>
  </si>
  <si>
    <t xml:space="preserve">Provisão para Rescisão </t>
  </si>
  <si>
    <r>
      <rPr>
        <b/>
        <sz val="10"/>
        <rFont val="Arial"/>
        <family val="2"/>
      </rP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[(Rem1/30)x7]/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contratox100% dos empregados </t>
    </r>
    <r>
      <rPr>
        <b/>
        <sz val="10"/>
        <color indexed="12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ao final do contrato  </t>
    </r>
  </si>
  <si>
    <r>
      <rPr>
        <b/>
        <sz val="10"/>
        <rFont val="Arial"/>
        <family val="2"/>
      </rPr>
      <t xml:space="preserve">Multa do FGTS e contribuições sociais sobre o Aviso Prévio Trabalhado
</t>
    </r>
    <r>
      <rPr>
        <b/>
        <sz val="9"/>
        <color indexed="10"/>
        <rFont val="Arial"/>
        <family val="2"/>
      </rPr>
      <t xml:space="preserve">Cálculo do valor = [50%x8%x(Rem1+13º+Férias+1/3xFérias)]x100% dos empregados + </t>
    </r>
  </si>
  <si>
    <t xml:space="preserve">Substituto nas Ausências Legais </t>
  </si>
  <si>
    <r>
      <rPr>
        <b/>
        <sz val="10"/>
        <rFont val="Arial"/>
        <family val="2"/>
      </rPr>
      <t>Uniforme da rendição -</t>
    </r>
    <r>
      <rPr>
        <b/>
        <sz val="10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É 1 conjunto de uniforme sem colete -</t>
    </r>
    <r>
      <rPr>
        <b/>
        <sz val="9"/>
        <color indexed="10"/>
        <rFont val="Arial"/>
        <family val="2"/>
      </rPr>
      <t xml:space="preserve"> Cálculo do valor: R$ 38,00  </t>
    </r>
    <r>
      <rPr>
        <b/>
        <sz val="9"/>
        <color indexed="12"/>
        <rFont val="Arial"/>
        <family val="2"/>
      </rPr>
      <t>Deve-se dividir o valor do uniforme pelo nº de postos em que haverá rendição com o mesmo vigilante no mesmo prédio, no caso considerou-se somente a rendição de 1 posto.</t>
    </r>
  </si>
  <si>
    <r>
      <rPr>
        <b/>
        <sz val="10"/>
        <rFont val="Arial"/>
        <family val="2"/>
      </rPr>
      <t xml:space="preserve">Materiais / Equipamentos   </t>
    </r>
    <r>
      <rPr>
        <b/>
        <sz val="10"/>
        <color indexed="12"/>
        <rFont val="Arial"/>
        <family val="2"/>
      </rPr>
      <t xml:space="preserve"> Com 1 colete para o posto. É por posto e não por vigilante</t>
    </r>
  </si>
  <si>
    <r>
      <rPr>
        <b/>
        <sz val="10"/>
        <rFont val="Arial"/>
        <family val="2"/>
      </rPr>
      <t xml:space="preserve">QUANTIDADE DE PESSOAL ALOCADO NA EXECUÇÃO CONTRATUAL (item 6.2.e do Anexo VII da IN nº 5/2017 e </t>
    </r>
    <r>
      <rPr>
        <b/>
        <sz val="10"/>
        <color indexed="10"/>
        <rFont val="Arial"/>
        <family val="2"/>
      </rPr>
      <t>item 6.5.4.e do edital</t>
    </r>
    <r>
      <rPr>
        <b/>
        <sz val="10"/>
        <color indexed="8"/>
        <rFont val="Arial"/>
        <family val="2"/>
      </rPr>
      <t>)</t>
    </r>
  </si>
  <si>
    <r>
      <t>VIGILÂNCIA 12 x 36 NOTURNA -</t>
    </r>
    <r>
      <rPr>
        <b/>
        <sz val="18"/>
        <color indexed="20"/>
        <rFont val="Arial"/>
        <family val="2"/>
      </rPr>
      <t xml:space="preserve"> Lucro Real e Presumido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</si>
  <si>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20/2019-</t>
    </r>
    <r>
      <rPr>
        <b/>
        <sz val="18"/>
        <color indexed="12"/>
        <rFont val="Arial"/>
        <family val="2"/>
      </rPr>
      <t xml:space="preserve">COM PERI NO INÍCIO
</t>
    </r>
    <r>
      <rPr>
        <b/>
        <sz val="16"/>
        <color indexed="12"/>
        <rFont val="Arial"/>
        <family val="2"/>
      </rPr>
      <t xml:space="preserve">Pagamento pelo Fato Gerador – </t>
    </r>
    <r>
      <rPr>
        <b/>
        <sz val="18"/>
        <color indexed="12"/>
        <rFont val="Arial"/>
        <family val="2"/>
      </rPr>
      <t>Com Rendição</t>
    </r>
    <r>
      <rPr>
        <b/>
        <sz val="16"/>
        <color indexed="12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</si>
  <si>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</si>
  <si>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Incidência de GPS, FGTS e outras contribuições sobre o Aviso Prévio Trabalhado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</si>
  <si>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</si>
  <si>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t>Submódulo 4.1 – Substituto nas Ausências Legais</t>
  </si>
  <si>
    <t>Substituto nas Ausências Legais</t>
  </si>
  <si>
    <r>
      <t xml:space="preserve">Substituto na cobertura de Férias        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</si>
  <si>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</si>
  <si>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</si>
  <si>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Adicional Noturno  sobre: 1) 7h de 60min p/dia + 2) 1,0 h reduzida noturna p/dia para o RS  </t>
    </r>
    <r>
      <rPr>
        <b/>
        <sz val="10"/>
        <color indexed="10"/>
        <rFont val="Arial"/>
        <family val="2"/>
      </rPr>
      <t xml:space="preserve">Cálculo do valor: AN (s/peri) x </t>
    </r>
    <r>
      <rPr>
        <b/>
        <sz val="10"/>
        <color indexed="18"/>
        <rFont val="Arial"/>
        <family val="2"/>
      </rPr>
      <t>8h x 1,1428571)</t>
    </r>
    <r>
      <rPr>
        <b/>
        <sz val="10"/>
        <color indexed="10"/>
        <rFont val="Arial"/>
        <family val="2"/>
      </rPr>
      <t xml:space="preserve">x15dx2vig. </t>
    </r>
    <r>
      <rPr>
        <b/>
        <sz val="10"/>
        <color indexed="12"/>
        <rFont val="Arial"/>
        <family val="2"/>
      </rPr>
      <t>Das 22h às 5h.</t>
    </r>
  </si>
  <si>
    <r>
      <t xml:space="preserve">Adicional Noturno  sobre: 1) 7h de 60min p/dia + 2) 1,0 h reduzida noturna p/dia para o RS  </t>
    </r>
    <r>
      <rPr>
        <b/>
        <sz val="10"/>
        <color indexed="10"/>
        <rFont val="Arial"/>
        <family val="2"/>
      </rPr>
      <t xml:space="preserve">Cálculo do valor: AN (s/peri) x </t>
    </r>
    <r>
      <rPr>
        <b/>
        <sz val="10"/>
        <color indexed="18"/>
        <rFont val="Arial"/>
        <family val="2"/>
      </rPr>
      <t xml:space="preserve">8h </t>
    </r>
    <r>
      <rPr>
        <b/>
        <sz val="10"/>
        <color indexed="10"/>
        <rFont val="Arial"/>
        <family val="2"/>
      </rPr>
      <t xml:space="preserve">x15dx2vig. </t>
    </r>
    <r>
      <rPr>
        <b/>
        <sz val="10"/>
        <color indexed="12"/>
        <rFont val="Arial"/>
        <family val="2"/>
      </rPr>
      <t>Das 22h às 5h</t>
    </r>
  </si>
  <si>
    <r>
      <t>Substituto na cobertura de Férias</t>
    </r>
    <r>
      <rPr>
        <b/>
        <sz val="10"/>
        <color indexed="19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BCCPA/</t>
    </r>
    <r>
      <rPr>
        <b/>
        <sz val="10"/>
        <color indexed="10"/>
        <rFont val="Arial"/>
        <family val="2"/>
      </rPr>
      <t>12</t>
    </r>
  </si>
  <si>
    <t>Nota1:  O Módulo 1 refere-se ao valor mensal devido ao empregado pela prestação do serviço no período de 12 meses.</t>
  </si>
  <si>
    <r>
      <t xml:space="preserve">Submódulo 2.1 – 13º (décimo terceiro) Salário, </t>
    </r>
    <r>
      <rPr>
        <b/>
        <sz val="11"/>
        <rFont val="Arial"/>
        <family val="2"/>
      </rPr>
      <t xml:space="preserve">Férias </t>
    </r>
    <r>
      <rPr>
        <b/>
        <sz val="11"/>
        <color indexed="8"/>
        <rFont val="Arial"/>
        <family val="2"/>
      </rPr>
      <t>e Adicional de Férias</t>
    </r>
  </si>
  <si>
    <r>
      <t xml:space="preserve">13º (décimo terceiro) Salário, </t>
    </r>
    <r>
      <rPr>
        <b/>
        <sz val="11"/>
        <rFont val="Arial"/>
        <family val="2"/>
      </rPr>
      <t xml:space="preserve">Férias </t>
    </r>
    <r>
      <rPr>
        <b/>
        <sz val="11"/>
        <color indexed="8"/>
        <rFont val="Arial"/>
        <family val="2"/>
      </rPr>
      <t>e Adicional de Férias</t>
    </r>
  </si>
  <si>
    <r>
      <t>Férias e</t>
    </r>
    <r>
      <rPr>
        <b/>
        <sz val="11"/>
        <color indexed="19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 Rem1 + (Rem1 / 3) / 12]</t>
    </r>
  </si>
  <si>
    <r>
      <t>Nota 1:  Como a planilha de custos e formação de preços é calculada mensalmente, provisiona-se proporcionalmente 1/12 (um doze avos) dos valores referentes à gratificação natalina,</t>
    </r>
    <r>
      <rPr>
        <b/>
        <sz val="9"/>
        <color indexed="10"/>
        <rFont val="Arial"/>
        <family val="2"/>
      </rPr>
      <t xml:space="preserve"> férias</t>
    </r>
    <r>
      <rPr>
        <sz val="9"/>
        <color indexed="8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</si>
  <si>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t>13º (décimo terceiro) Salár</t>
    </r>
    <r>
      <rPr>
        <b/>
        <sz val="10"/>
        <rFont val="Arial"/>
        <family val="2"/>
      </rPr>
      <t>io, Férias</t>
    </r>
    <r>
      <rPr>
        <b/>
        <sz val="10"/>
        <color indexed="38"/>
        <rFont val="Arial"/>
        <family val="2"/>
      </rPr>
      <t xml:space="preserve"> </t>
    </r>
    <r>
      <rPr>
        <b/>
        <sz val="10"/>
        <rFont val="Arial"/>
        <family val="2"/>
      </rPr>
      <t xml:space="preserve">e Adicional de </t>
    </r>
    <r>
      <rPr>
        <b/>
        <sz val="10"/>
        <color indexed="8"/>
        <rFont val="Arial"/>
        <family val="2"/>
      </rPr>
      <t>Férias</t>
    </r>
  </si>
  <si>
    <r>
      <t xml:space="preserve">Multa do FGTS e contribuições sociais sobre o  Aviso Prévio Indenizado 
</t>
    </r>
    <r>
      <rPr>
        <b/>
        <sz val="9"/>
        <color indexed="10"/>
        <rFont val="Arial"/>
        <family val="2"/>
      </rPr>
      <t>Cálculo do valor = [50%x8%x(Rem1+13º+Férias+1/3xFérias)]x5% de rotatividade</t>
    </r>
  </si>
  <si>
    <r>
      <t xml:space="preserve">Multa do FGTS e contribuições sociais sobre o Aviso Prévio Trabalhado
</t>
    </r>
    <r>
      <rPr>
        <b/>
        <sz val="9"/>
        <color indexed="10"/>
        <rFont val="Arial"/>
        <family val="2"/>
      </rPr>
      <t>Cálculo do valor = [50%x8%x(Rem1+13º+Férias+1/3xFérias)]x100% dos empregados</t>
    </r>
  </si>
  <si>
    <t xml:space="preserve">Submódulo 4.1 – Substituto nas Ausências Legais </t>
  </si>
  <si>
    <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 xml:space="preserve"> (Base de Cálculo = Módulo 1 (= a Rem1) + Submódulo 2.1)</t>
    </r>
  </si>
  <si>
    <t>MÓD 2 =</t>
  </si>
  <si>
    <t>MÓD 3 =</t>
  </si>
  <si>
    <r>
      <t xml:space="preserve">Adicional para Troca de Uniforme -  Cálculo do valor: 1/6 do salário-hora por dia = </t>
    </r>
    <r>
      <rPr>
        <b/>
        <sz val="10"/>
        <color indexed="10"/>
        <rFont val="Arial"/>
        <family val="2"/>
      </rPr>
      <t xml:space="preserve">(VSH/6=1,10)x2x15 = R$ 1,10x2x15  </t>
    </r>
    <r>
      <rPr>
        <b/>
        <sz val="10"/>
        <color indexed="8"/>
        <rFont val="Arial"/>
        <family val="2"/>
      </rPr>
      <t>cláusula 33 da CCT 2018/2020</t>
    </r>
  </si>
  <si>
    <t>Dados para composição dos custos referente à mão de obra</t>
  </si>
  <si>
    <r>
      <t xml:space="preserve">RSR (Repouso Semanal Remunerado) - Cláusula 32 - </t>
    </r>
    <r>
      <rPr>
        <b/>
        <sz val="10"/>
        <color indexed="10"/>
        <rFont val="Arial"/>
        <family val="2"/>
      </rPr>
      <t xml:space="preserve">Cálculo do valor: 20% sobre os adicionais pertinentes) </t>
    </r>
    <r>
      <rPr>
        <b/>
        <sz val="10"/>
        <color indexed="12"/>
        <rFont val="Arial"/>
        <family val="2"/>
      </rPr>
      <t>(???? Item controverso - consulte sua CCT ou assessoria jurídica)</t>
    </r>
  </si>
  <si>
    <t>Adicional de troca de uniforme sem periculosidade</t>
  </si>
  <si>
    <r>
      <t xml:space="preserve">Remuneração 2 = Total da Remuneração que o empregado irá receber- 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</si>
  <si>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t>Submódulo 4.2 – Substituto na Intrajornada</t>
  </si>
  <si>
    <t>Substituto na Intrajornada</t>
  </si>
  <si>
    <t>Substituto na cobertura de Intervalo para repouso ou alimentação</t>
  </si>
  <si>
    <t>Nº do processo:</t>
  </si>
  <si>
    <t>11080.003234/2018-29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</si>
  <si>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</si>
  <si>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</si>
  <si>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</si>
  <si>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</si>
  <si>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</si>
  <si>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</si>
  <si>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Porto Alegre/RS</t>
  </si>
  <si>
    <t>C</t>
  </si>
  <si>
    <t>Ano do Acordo, Convenção ou Dissídio coletivo</t>
  </si>
  <si>
    <t>1º de fevereiro de 2018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</si>
  <si>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</si>
  <si>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</si>
  <si>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</si>
  <si>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</si>
  <si>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</si>
  <si>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</si>
  <si>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12 x 36 horas diurnas - de segunda-feira à sexta-feira</t>
  </si>
  <si>
    <t>posto</t>
  </si>
  <si>
    <t>-</t>
  </si>
  <si>
    <t>12  x 36 horas diurnas - de segunda-feira a domingo</t>
  </si>
  <si>
    <t>12 x 36 horas noturnas - de segunda-feira à sexta-feira</t>
  </si>
  <si>
    <t>12 x 36 horas noturnas - de segunda-feira a domingo</t>
  </si>
  <si>
    <t>44 horas semanais diurnas -  de segunda à sexta-feira</t>
  </si>
  <si>
    <r>
      <rPr>
        <b/>
        <sz val="10"/>
        <rFont val="Arial"/>
        <family val="2"/>
      </rPr>
      <t xml:space="preserve">Outros (especificar) </t>
    </r>
    <r>
      <rPr>
        <b/>
        <sz val="12"/>
        <color indexed="10"/>
        <rFont val="Arial"/>
        <family val="2"/>
      </rPr>
      <t>(excluir as linhas não utilizadas)</t>
    </r>
  </si>
  <si>
    <t>TOTAL DE POSTOS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</si>
  <si>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</si>
  <si>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  <family val="2"/>
      </rP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</si>
  <si>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t>Tipo de serviço (mesmo serviço com características distintas)</t>
  </si>
  <si>
    <t xml:space="preserve">Vigilância e Segurança Armada </t>
  </si>
  <si>
    <t>Classificação Brasileira de Ocupações (CBO)</t>
  </si>
  <si>
    <r>
      <t xml:space="preserve">Submódulo 2.1 – 13º (décimo terceiro) Salário </t>
    </r>
    <r>
      <rPr>
        <b/>
        <sz val="11"/>
        <color indexed="19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</si>
  <si>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r>
      <t xml:space="preserve">13º (décimo terceiro) Salário </t>
    </r>
    <r>
      <rPr>
        <b/>
        <sz val="11"/>
        <color indexed="8"/>
        <rFont val="Arial"/>
        <family val="2"/>
      </rPr>
      <t>e Adicional de Férias</t>
    </r>
  </si>
  <si>
    <r>
      <t>Nota 1:  Como a planilha de custos e formação de preços é calculada mensalmente, provisiona-se proporcionalmente 1/12 (um doze avos) dos valores referentes à gratificação natalina,</t>
    </r>
    <r>
      <rPr>
        <sz val="9"/>
        <color indexed="8"/>
        <rFont val="Arial"/>
        <family val="2"/>
      </rPr>
      <t>e adicional de férias.
Nota 2:  O adicional de férias contido no Submódulo 2.1 corresponde a 1/3 (um terço) da remuneração que por sua vez é dividido por 12 (doze) conforme Nota 1 acima.</t>
    </r>
  </si>
  <si>
    <r>
      <rPr>
        <b/>
        <sz val="10"/>
        <color indexed="8"/>
        <rFont val="Arial"/>
        <family val="2"/>
      </rPr>
      <t>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2,78% sobre o valor do Módulo 1 – Composição da Remuneração1.</t>
    </r>
  </si>
  <si>
    <r>
      <t xml:space="preserve">13º (décimo terceiro) Salário </t>
    </r>
    <r>
      <rPr>
        <b/>
        <sz val="10"/>
        <color indexed="8"/>
        <rFont val="Arial"/>
        <family val="2"/>
      </rPr>
      <t>e Adicional de Férias</t>
    </r>
  </si>
  <si>
    <r>
      <t xml:space="preserve">RSR (Repouso Semanal Remunerado) - Cláusula 32 - </t>
    </r>
    <r>
      <rPr>
        <b/>
        <sz val="10"/>
        <color indexed="10"/>
        <rFont val="Arial"/>
        <family val="2"/>
      </rPr>
      <t xml:space="preserve">Cálculo do valor: 20% sobre os adicionais pertinentes) </t>
    </r>
  </si>
  <si>
    <t>Rio Grande/RS</t>
  </si>
  <si>
    <t>Dia:</t>
  </si>
  <si>
    <r>
      <t xml:space="preserve">ANEXO ----  </t>
    </r>
    <r>
      <rPr>
        <b/>
        <sz val="18"/>
        <color indexed="10"/>
        <rFont val="Arial"/>
        <family val="2"/>
      </rPr>
      <t>-</t>
    </r>
    <r>
      <rPr>
        <b/>
        <sz val="18"/>
        <color indexed="12"/>
        <rFont val="Arial"/>
        <family val="2"/>
      </rPr>
      <t xml:space="preserve">COM PERI NO FIM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</si>
  <si>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MÓD 2 </t>
    </r>
    <r>
      <rPr>
        <b/>
        <sz val="10"/>
        <color indexed="10"/>
        <rFont val="Arial"/>
        <family val="2"/>
      </rPr>
      <t>(s/ VA e VT)</t>
    </r>
    <r>
      <rPr>
        <b/>
        <sz val="11"/>
        <color indexed="12"/>
        <rFont val="Arial"/>
        <family val="2"/>
      </rPr>
      <t xml:space="preserve"> =</t>
    </r>
  </si>
  <si>
    <t>MÓD 1 ( a Rem1)=</t>
  </si>
  <si>
    <r>
      <t xml:space="preserve">RSR (Repouso Semanal Remunerado) </t>
    </r>
    <r>
      <rPr>
        <b/>
        <sz val="10"/>
        <color indexed="10"/>
        <rFont val="Arial"/>
        <family val="2"/>
      </rPr>
      <t xml:space="preserve"> APLICÁVEL SOMENTE NO POSTO NOTURNO</t>
    </r>
  </si>
  <si>
    <t>Adicional Noturno</t>
  </si>
  <si>
    <r>
      <t>Adicional de Hora Noturna Reduzida</t>
    </r>
    <r>
      <rPr>
        <b/>
        <sz val="10"/>
        <color indexed="10"/>
        <rFont val="Arial"/>
        <family val="2"/>
      </rPr>
      <t xml:space="preserve"> </t>
    </r>
  </si>
  <si>
    <r>
      <t xml:space="preserve">Aviso Prévio Indenizado     </t>
    </r>
    <r>
      <rPr>
        <b/>
        <sz val="8"/>
        <color indexed="10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</si>
  <si>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Adicional para Troca de Uniforme -  Cálculo do valor: 1/6 do salário-hora por dia = </t>
    </r>
    <r>
      <rPr>
        <b/>
        <sz val="10"/>
        <color indexed="10"/>
        <rFont val="Arial"/>
        <family val="2"/>
      </rPr>
      <t>(VSH/6=1,14)x2x15 = R$ 1,14x2x15</t>
    </r>
    <r>
      <rPr>
        <b/>
        <sz val="10"/>
        <color indexed="8"/>
        <rFont val="Arial"/>
        <family val="2"/>
      </rPr>
      <t xml:space="preserve">  cláusula 13ª da CCT 2019/2020</t>
    </r>
  </si>
  <si>
    <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>cláusula 71ª da CCT 2018/2020</t>
    </r>
  </si>
  <si>
    <r>
      <t xml:space="preserve">     </t>
    </r>
    <r>
      <rPr>
        <b/>
        <sz val="10"/>
        <color indexed="10"/>
        <rFont val="Arial"/>
        <family val="2"/>
      </rPr>
      <t>B.1) Valor do Auxílio-Alimentação  (cláusula 14 da CCT 2019/2020)</t>
    </r>
  </si>
  <si>
    <t xml:space="preserve">     A.4) Participação do empregado em percentual do salário-base </t>
  </si>
  <si>
    <t xml:space="preserve">2. QUADRO-RESUMO DO CUSTO POR POSTO DE TRABALHO
</t>
  </si>
  <si>
    <t xml:space="preserve">CCT 2018/2020 - MTE- RS001419/2019                                         CCT 2019/2020 - MTE- RS001576/2019  </t>
  </si>
  <si>
    <t xml:space="preserve">CCT 2018/2020 - MTE- RS001419/2019                                                        CCT 2019/2020 - MTE- RS001576/2019  </t>
  </si>
  <si>
    <r>
      <t xml:space="preserve">VIGILÂNCIA 12 x 36 DIURNO - </t>
    </r>
    <r>
      <rPr>
        <b/>
        <sz val="14"/>
        <color indexed="48"/>
        <rFont val="Arial"/>
        <family val="2"/>
      </rPr>
      <t xml:space="preserve">Lucro Real e Presumido </t>
    </r>
    <r>
      <rPr>
        <b/>
        <sz val="14"/>
        <color indexed="12"/>
        <rFont val="Arial"/>
        <family val="2"/>
      </rPr>
      <t xml:space="preserve">- </t>
    </r>
    <r>
      <rPr>
        <b/>
        <sz val="16"/>
        <color indexed="10"/>
        <rFont val="Arial"/>
        <family val="2"/>
      </rPr>
      <t>CONTA VINCULADA</t>
    </r>
  </si>
  <si>
    <r>
      <t xml:space="preserve">     </t>
    </r>
    <r>
      <rPr>
        <b/>
        <sz val="10"/>
        <color indexed="10"/>
        <rFont val="Arial"/>
        <family val="2"/>
      </rPr>
      <t>A.1)  Valor da passagem do transporte coletivo no município de  prestação dos serviços</t>
    </r>
  </si>
  <si>
    <t xml:space="preserve">Valor (R$) </t>
  </si>
  <si>
    <r>
      <t xml:space="preserve">     </t>
    </r>
    <r>
      <rPr>
        <b/>
        <sz val="10"/>
        <color indexed="10"/>
        <rFont val="Arial"/>
        <family val="2"/>
      </rPr>
      <t>A.1)  Valor da passagem do transporte coletivo no município de prestação dos serviços</t>
    </r>
  </si>
  <si>
    <t>PREÇO MENSAL DO POSTO  (R$)</t>
  </si>
  <si>
    <t>QUANTIDADE DE PESSOAL ALOCADO NA EXECUÇÃO CONTRATUAL (item 6.2.e do Anexo VII da IN nº 5/2017</t>
  </si>
  <si>
    <r>
      <t>QUANTIDADE DE PESSOAL ALOCADO NA EXECUÇÃO CONTRATUAL (item 6.2.e do Anexo VII da IN nº 5/2017</t>
    </r>
    <r>
      <rPr>
        <b/>
        <sz val="10"/>
        <color indexed="8"/>
        <rFont val="Arial"/>
        <family val="2"/>
      </rPr>
      <t>)</t>
    </r>
  </si>
  <si>
    <t>Nº do processo: 23370.000325/2019-06</t>
  </si>
  <si>
    <t>Licitação nº: Pregão 48/2019</t>
  </si>
  <si>
    <r>
      <t xml:space="preserve">  a) ISS </t>
    </r>
    <r>
      <rPr>
        <b/>
        <sz val="10"/>
        <color indexed="10"/>
        <rFont val="Arial"/>
        <family val="2"/>
      </rPr>
      <t>(Lei Municipal RG - 6822/2009 -</t>
    </r>
    <r>
      <rPr>
        <b/>
        <sz val="10"/>
        <rFont val="Arial"/>
        <family val="2"/>
      </rPr>
      <t xml:space="preserve"> Anexo II - Item  11.02 - Vigilância, segurança ou monitoramento de bens, pessoas e semoventes).  </t>
    </r>
  </si>
  <si>
    <t>Uniformes/ Materiais / Equipamentos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</si>
</sst>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_(&quot;R$ &quot;* #,##0.00_);_(&quot;R$ &quot;* \(#,##0.00\);_(&quot;R$ &quot;* \-??_);_(@_)"/>
    <numFmt numFmtId="172" formatCode="&quot;R$ &quot;#,##0.00"/>
    <numFmt numFmtId="173" formatCode="0.0000"/>
    <numFmt numFmtId="174" formatCode="0.0000%"/>
    <numFmt numFmtId="175" formatCode="0.000%"/>
    <numFmt numFmtId="176" formatCode="_(* #,##0.00_);_(* \(#,##0.00\);_(* &quot;-&quot;??_);_(@_)"/>
    <numFmt numFmtId="177" formatCode="0.0%"/>
    <numFmt numFmtId="178" formatCode="0.00000%"/>
    <numFmt numFmtId="179" formatCode="0.000000%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5"/>
      <color indexed="20"/>
      <name val="Arial"/>
      <family val="2"/>
    </font>
    <font>
      <b/>
      <sz val="14"/>
      <color indexed="2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25"/>
      <name val="Arial"/>
      <family val="2"/>
    </font>
    <font>
      <b/>
      <sz val="11"/>
      <color indexed="19"/>
      <name val="Arial"/>
      <family val="2"/>
    </font>
    <font>
      <sz val="9"/>
      <color indexed="1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8"/>
      <name val="Arial"/>
      <family val="2"/>
    </font>
    <font>
      <b/>
      <sz val="10"/>
      <color indexed="19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b/>
      <sz val="9"/>
      <color indexed="39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21"/>
      <name val="Arial"/>
      <family val="2"/>
    </font>
    <font>
      <b/>
      <sz val="16"/>
      <color indexed="10"/>
      <name val="Arial"/>
      <family val="2"/>
    </font>
    <font>
      <b/>
      <sz val="8.5"/>
      <color indexed="10"/>
      <name val="Arial"/>
      <family val="2"/>
    </font>
    <font>
      <b/>
      <sz val="10"/>
      <color indexed="25"/>
      <name val="Arial"/>
      <family val="2"/>
    </font>
    <font>
      <sz val="11"/>
      <color indexed="8"/>
      <name val="Arial"/>
      <family val="2"/>
    </font>
    <font>
      <b/>
      <sz val="16"/>
      <color indexed="20"/>
      <name val="Arial"/>
      <family val="2"/>
    </font>
    <font>
      <strike/>
      <sz val="9"/>
      <name val="Arial"/>
      <family val="2"/>
    </font>
    <font>
      <b/>
      <sz val="10.5"/>
      <color indexed="12"/>
      <name val="Arial"/>
      <family val="2"/>
    </font>
    <font>
      <b/>
      <sz val="14"/>
      <color indexed="8"/>
      <name val="Arial"/>
      <family val="2"/>
    </font>
    <font>
      <b/>
      <sz val="9"/>
      <color indexed="18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sz val="17"/>
      <name val="Arial"/>
      <family val="2"/>
    </font>
    <font>
      <b/>
      <sz val="17"/>
      <color indexed="20"/>
      <name val="Arial"/>
      <family val="2"/>
    </font>
    <font>
      <b/>
      <sz val="9"/>
      <color indexed="25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0" fontId="0" fillId="0" borderId="0" applyFill="0" applyBorder="0" applyAlignment="0" applyProtection="0"/>
  </cellStyleXfs>
  <cellXfs count="49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6" fillId="22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10" fontId="18" fillId="0" borderId="0" xfId="61" applyNumberFormat="1" applyFont="1" applyFill="1" applyBorder="1" applyAlignment="1" applyProtection="1">
      <alignment horizontal="center" vertical="center"/>
      <protection/>
    </xf>
    <xf numFmtId="171" fontId="18" fillId="0" borderId="0" xfId="45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22" borderId="11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26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8" fillId="22" borderId="10" xfId="0" applyNumberFormat="1" applyFont="1" applyFill="1" applyBorder="1" applyAlignment="1">
      <alignment vertical="center"/>
    </xf>
    <xf numFmtId="4" fontId="42" fillId="22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right" vertical="center"/>
    </xf>
    <xf numFmtId="4" fontId="33" fillId="22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32" fillId="22" borderId="12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10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left" vertical="center" wrapText="1"/>
    </xf>
    <xf numFmtId="173" fontId="26" fillId="0" borderId="10" xfId="0" applyNumberFormat="1" applyFont="1" applyBorder="1" applyAlignment="1">
      <alignment horizontal="left" vertical="center" wrapText="1"/>
    </xf>
    <xf numFmtId="174" fontId="26" fillId="0" borderId="10" xfId="0" applyNumberFormat="1" applyFont="1" applyBorder="1" applyAlignment="1">
      <alignment horizontal="right" vertical="center"/>
    </xf>
    <xf numFmtId="174" fontId="26" fillId="22" borderId="10" xfId="0" applyNumberFormat="1" applyFont="1" applyFill="1" applyBorder="1" applyAlignment="1">
      <alignment horizontal="right" vertical="center"/>
    </xf>
    <xf numFmtId="4" fontId="26" fillId="22" borderId="10" xfId="0" applyNumberFormat="1" applyFont="1" applyFill="1" applyBorder="1" applyAlignment="1">
      <alignment horizontal="right" vertical="center"/>
    </xf>
    <xf numFmtId="0" fontId="26" fillId="25" borderId="12" xfId="0" applyFont="1" applyFill="1" applyBorder="1" applyAlignment="1">
      <alignment horizontal="right" vertical="center"/>
    </xf>
    <xf numFmtId="0" fontId="0" fillId="25" borderId="13" xfId="0" applyFill="1" applyBorder="1" applyAlignment="1">
      <alignment horizontal="right" vertical="center"/>
    </xf>
    <xf numFmtId="10" fontId="26" fillId="25" borderId="13" xfId="0" applyNumberFormat="1" applyFont="1" applyFill="1" applyBorder="1" applyAlignment="1">
      <alignment horizontal="right" vertical="center"/>
    </xf>
    <xf numFmtId="4" fontId="26" fillId="25" borderId="14" xfId="0" applyNumberFormat="1" applyFont="1" applyFill="1" applyBorder="1" applyAlignment="1">
      <alignment horizontal="right" vertical="center"/>
    </xf>
    <xf numFmtId="0" fontId="28" fillId="22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right" vertical="center"/>
    </xf>
    <xf numFmtId="172" fontId="27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10" fontId="27" fillId="0" borderId="12" xfId="0" applyNumberFormat="1" applyFont="1" applyBorder="1" applyAlignment="1">
      <alignment vertical="center"/>
    </xf>
    <xf numFmtId="4" fontId="26" fillId="0" borderId="10" xfId="0" applyNumberFormat="1" applyFont="1" applyBorder="1" applyAlignment="1" applyProtection="1">
      <alignment horizontal="right" vertical="center"/>
      <protection locked="0"/>
    </xf>
    <xf numFmtId="4" fontId="26" fillId="0" borderId="10" xfId="0" applyNumberFormat="1" applyFont="1" applyBorder="1" applyAlignment="1">
      <alignment horizontal="right" vertical="center" wrapText="1"/>
    </xf>
    <xf numFmtId="0" fontId="26" fillId="22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right" vertical="center" wrapText="1"/>
    </xf>
    <xf numFmtId="4" fontId="33" fillId="22" borderId="10" xfId="0" applyNumberFormat="1" applyFont="1" applyFill="1" applyBorder="1" applyAlignment="1">
      <alignment horizontal="right" vertical="center" wrapText="1"/>
    </xf>
    <xf numFmtId="0" fontId="28" fillId="22" borderId="10" xfId="0" applyFont="1" applyFill="1" applyBorder="1" applyAlignment="1">
      <alignment horizontal="center"/>
    </xf>
    <xf numFmtId="0" fontId="32" fillId="22" borderId="10" xfId="0" applyFont="1" applyFill="1" applyBorder="1" applyAlignment="1">
      <alignment horizontal="center" vertical="center"/>
    </xf>
    <xf numFmtId="4" fontId="32" fillId="22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4" fontId="26" fillId="22" borderId="10" xfId="0" applyNumberFormat="1" applyFont="1" applyFill="1" applyBorder="1" applyAlignment="1">
      <alignment horizontal="right" vertical="center" wrapText="1"/>
    </xf>
    <xf numFmtId="0" fontId="42" fillId="25" borderId="12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4" fontId="28" fillId="2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right" vertical="center"/>
    </xf>
    <xf numFmtId="10" fontId="27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0" fontId="26" fillId="0" borderId="10" xfId="0" applyNumberFormat="1" applyFont="1" applyBorder="1" applyAlignment="1">
      <alignment horizontal="center" vertical="center"/>
    </xf>
    <xf numFmtId="10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/>
    </xf>
    <xf numFmtId="10" fontId="26" fillId="0" borderId="10" xfId="0" applyNumberFormat="1" applyFont="1" applyBorder="1" applyAlignment="1">
      <alignment horizontal="center" vertical="center" wrapText="1"/>
    </xf>
    <xf numFmtId="10" fontId="26" fillId="0" borderId="10" xfId="0" applyNumberFormat="1" applyFont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/>
    </xf>
    <xf numFmtId="10" fontId="27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0" fontId="18" fillId="22" borderId="0" xfId="0" applyFont="1" applyFill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70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70" fontId="18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22" borderId="10" xfId="0" applyNumberFormat="1" applyFont="1" applyFill="1" applyBorder="1" applyAlignment="1">
      <alignment horizontal="center" vertical="center" wrapText="1"/>
    </xf>
    <xf numFmtId="3" fontId="29" fillId="22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70" fontId="27" fillId="0" borderId="0" xfId="0" applyNumberFormat="1" applyFont="1" applyBorder="1" applyAlignment="1">
      <alignment horizontal="left"/>
    </xf>
    <xf numFmtId="170" fontId="27" fillId="24" borderId="0" xfId="0" applyNumberFormat="1" applyFont="1" applyFill="1" applyBorder="1" applyAlignment="1">
      <alignment horizontal="left"/>
    </xf>
    <xf numFmtId="10" fontId="3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" fontId="28" fillId="22" borderId="15" xfId="0" applyNumberFormat="1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0" fontId="28" fillId="26" borderId="10" xfId="0" applyFont="1" applyFill="1" applyBorder="1" applyAlignment="1">
      <alignment horizontal="left" vertical="center" wrapText="1"/>
    </xf>
    <xf numFmtId="0" fontId="56" fillId="26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/>
    </xf>
    <xf numFmtId="4" fontId="28" fillId="25" borderId="10" xfId="0" applyNumberFormat="1" applyFont="1" applyFill="1" applyBorder="1" applyAlignment="1">
      <alignment vertical="center"/>
    </xf>
    <xf numFmtId="0" fontId="33" fillId="22" borderId="10" xfId="0" applyFont="1" applyFill="1" applyBorder="1" applyAlignment="1">
      <alignment horizontal="center" vertical="center" wrapText="1"/>
    </xf>
    <xf numFmtId="0" fontId="38" fillId="22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4" fontId="26" fillId="22" borderId="10" xfId="0" applyNumberFormat="1" applyFont="1" applyFill="1" applyBorder="1" applyAlignment="1">
      <alignment vertical="center"/>
    </xf>
    <xf numFmtId="0" fontId="42" fillId="22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26" fillId="26" borderId="10" xfId="0" applyFont="1" applyFill="1" applyBorder="1" applyAlignment="1">
      <alignment horizontal="center" vertical="center" wrapText="1"/>
    </xf>
    <xf numFmtId="4" fontId="42" fillId="26" borderId="1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horizontal="right" vertical="center"/>
    </xf>
    <xf numFmtId="0" fontId="69" fillId="0" borderId="10" xfId="0" applyFont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0" fontId="33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26" fillId="27" borderId="10" xfId="0" applyFont="1" applyFill="1" applyBorder="1" applyAlignment="1">
      <alignment horizontal="center" vertical="center" wrapText="1"/>
    </xf>
    <xf numFmtId="3" fontId="26" fillId="28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4" fontId="26" fillId="0" borderId="0" xfId="0" applyNumberFormat="1" applyFont="1" applyBorder="1" applyAlignment="1" applyProtection="1">
      <alignment horizontal="left" vertical="center"/>
      <protection locked="0"/>
    </xf>
    <xf numFmtId="10" fontId="34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9" fontId="26" fillId="0" borderId="10" xfId="0" applyNumberFormat="1" applyFont="1" applyBorder="1" applyAlignment="1">
      <alignment horizontal="center" vertical="center" wrapText="1"/>
    </xf>
    <xf numFmtId="0" fontId="18" fillId="27" borderId="0" xfId="0" applyFont="1" applyFill="1" applyAlignment="1">
      <alignment/>
    </xf>
    <xf numFmtId="0" fontId="18" fillId="28" borderId="0" xfId="0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32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11" xfId="0" applyFont="1" applyFill="1" applyBorder="1" applyAlignment="1">
      <alignment horizontal="center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22" borderId="10" xfId="0" applyNumberFormat="1" applyFont="1" applyFill="1" applyBorder="1" applyAlignment="1">
      <alignment horizontal="center" vertical="center" wrapText="1"/>
    </xf>
    <xf numFmtId="4" fontId="26" fillId="28" borderId="10" xfId="0" applyNumberFormat="1" applyFont="1" applyFill="1" applyBorder="1" applyAlignment="1">
      <alignment horizontal="center" vertical="center" wrapText="1"/>
    </xf>
    <xf numFmtId="10" fontId="26" fillId="0" borderId="11" xfId="0" applyNumberFormat="1" applyFont="1" applyFill="1" applyBorder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174" fontId="26" fillId="22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10" fontId="27" fillId="0" borderId="12" xfId="0" applyNumberFormat="1" applyFont="1" applyBorder="1" applyAlignment="1">
      <alignment horizontal="center" vertical="center"/>
    </xf>
    <xf numFmtId="10" fontId="27" fillId="0" borderId="15" xfId="0" applyNumberFormat="1" applyFont="1" applyBorder="1" applyAlignment="1">
      <alignment horizontal="center" vertical="center"/>
    </xf>
    <xf numFmtId="4" fontId="26" fillId="27" borderId="10" xfId="0" applyNumberFormat="1" applyFont="1" applyFill="1" applyBorder="1" applyAlignment="1">
      <alignment horizontal="center" vertical="center"/>
    </xf>
    <xf numFmtId="4" fontId="28" fillId="22" borderId="10" xfId="0" applyNumberFormat="1" applyFont="1" applyFill="1" applyBorder="1" applyAlignment="1">
      <alignment horizontal="center" vertical="center"/>
    </xf>
    <xf numFmtId="4" fontId="42" fillId="22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4" fontId="26" fillId="22" borderId="10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 applyProtection="1">
      <alignment horizontal="center" vertical="center"/>
      <protection locked="0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22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" fontId="33" fillId="22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18" fillId="24" borderId="0" xfId="0" applyFont="1" applyFill="1" applyAlignment="1">
      <alignment horizontal="center"/>
    </xf>
    <xf numFmtId="4" fontId="27" fillId="0" borderId="18" xfId="0" applyNumberFormat="1" applyFont="1" applyBorder="1" applyAlignment="1">
      <alignment horizontal="center" vertical="center"/>
    </xf>
    <xf numFmtId="4" fontId="26" fillId="22" borderId="17" xfId="0" applyNumberFormat="1" applyFont="1" applyFill="1" applyBorder="1" applyAlignment="1">
      <alignment horizontal="center" vertical="center" wrapText="1"/>
    </xf>
    <xf numFmtId="4" fontId="26" fillId="28" borderId="17" xfId="0" applyNumberFormat="1" applyFont="1" applyFill="1" applyBorder="1" applyAlignment="1">
      <alignment horizontal="center" vertical="center" wrapText="1"/>
    </xf>
    <xf numFmtId="10" fontId="27" fillId="0" borderId="18" xfId="0" applyNumberFormat="1" applyFont="1" applyBorder="1" applyAlignment="1">
      <alignment horizontal="center" vertical="center"/>
    </xf>
    <xf numFmtId="0" fontId="41" fillId="29" borderId="10" xfId="0" applyFont="1" applyFill="1" applyBorder="1" applyAlignment="1">
      <alignment horizontal="center" vertical="center" wrapText="1"/>
    </xf>
    <xf numFmtId="0" fontId="42" fillId="30" borderId="12" xfId="0" applyFont="1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41" fillId="30" borderId="10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 applyProtection="1">
      <alignment horizontal="center" vertical="center"/>
      <protection/>
    </xf>
    <xf numFmtId="4" fontId="77" fillId="0" borderId="15" xfId="0" applyNumberFormat="1" applyFont="1" applyBorder="1" applyAlignment="1">
      <alignment horizontal="center" vertical="center" wrapText="1"/>
    </xf>
    <xf numFmtId="173" fontId="26" fillId="31" borderId="10" xfId="0" applyNumberFormat="1" applyFont="1" applyFill="1" applyBorder="1" applyAlignment="1">
      <alignment horizontal="center" vertical="center" wrapText="1"/>
    </xf>
    <xf numFmtId="10" fontId="26" fillId="31" borderId="10" xfId="0" applyNumberFormat="1" applyFont="1" applyFill="1" applyBorder="1" applyAlignment="1">
      <alignment horizontal="center" vertical="center"/>
    </xf>
    <xf numFmtId="4" fontId="26" fillId="31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left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26" fillId="22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left" vertical="center" wrapText="1"/>
    </xf>
    <xf numFmtId="1" fontId="26" fillId="22" borderId="10" xfId="0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right" vertical="center" wrapText="1"/>
    </xf>
    <xf numFmtId="1" fontId="27" fillId="22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6" fillId="25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72" fontId="33" fillId="0" borderId="10" xfId="0" applyNumberFormat="1" applyFont="1" applyFill="1" applyBorder="1" applyAlignment="1">
      <alignment horizontal="right" vertical="center" wrapText="1"/>
    </xf>
    <xf numFmtId="172" fontId="34" fillId="0" borderId="10" xfId="0" applyNumberFormat="1" applyFont="1" applyFill="1" applyBorder="1" applyAlignment="1" applyProtection="1">
      <alignment horizontal="right" vertical="center"/>
      <protection locked="0"/>
    </xf>
    <xf numFmtId="14" fontId="35" fillId="0" borderId="10" xfId="0" applyNumberFormat="1" applyFont="1" applyFill="1" applyBorder="1" applyAlignment="1">
      <alignment horizontal="right" vertical="center" wrapText="1"/>
    </xf>
    <xf numFmtId="14" fontId="36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right" vertical="center" wrapText="1"/>
    </xf>
    <xf numFmtId="4" fontId="34" fillId="0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28" fillId="22" borderId="19" xfId="0" applyFont="1" applyFill="1" applyBorder="1" applyAlignment="1">
      <alignment horizontal="left" vertical="center" wrapText="1"/>
    </xf>
    <xf numFmtId="0" fontId="28" fillId="22" borderId="20" xfId="0" applyFont="1" applyFill="1" applyBorder="1" applyAlignment="1">
      <alignment horizontal="left" vertical="center" wrapText="1"/>
    </xf>
    <xf numFmtId="0" fontId="28" fillId="22" borderId="21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left" vertical="center" wrapText="1"/>
    </xf>
    <xf numFmtId="0" fontId="28" fillId="22" borderId="10" xfId="0" applyFont="1" applyFill="1" applyBorder="1" applyAlignment="1">
      <alignment horizontal="justify" vertical="center" wrapText="1"/>
    </xf>
    <xf numFmtId="0" fontId="42" fillId="22" borderId="12" xfId="0" applyFont="1" applyFill="1" applyBorder="1" applyAlignment="1">
      <alignment horizontal="left" vertical="center" wrapText="1"/>
    </xf>
    <xf numFmtId="0" fontId="42" fillId="22" borderId="13" xfId="0" applyFont="1" applyFill="1" applyBorder="1" applyAlignment="1">
      <alignment horizontal="left" vertical="center" wrapText="1"/>
    </xf>
    <xf numFmtId="0" fontId="42" fillId="22" borderId="14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left" vertical="center"/>
    </xf>
    <xf numFmtId="0" fontId="32" fillId="22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3" fillId="22" borderId="10" xfId="0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justify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46" fillId="25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justify" vertical="center" wrapText="1"/>
    </xf>
    <xf numFmtId="0" fontId="32" fillId="2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2" borderId="10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26" fillId="22" borderId="12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22" borderId="10" xfId="0" applyFont="1" applyFill="1" applyBorder="1" applyAlignment="1">
      <alignment horizontal="right" vertical="center" wrapText="1"/>
    </xf>
    <xf numFmtId="0" fontId="50" fillId="25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/>
    </xf>
    <xf numFmtId="0" fontId="28" fillId="22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 wrapText="1"/>
    </xf>
    <xf numFmtId="0" fontId="26" fillId="25" borderId="10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justify" vertical="center" wrapText="1"/>
    </xf>
    <xf numFmtId="0" fontId="46" fillId="25" borderId="10" xfId="0" applyFont="1" applyFill="1" applyBorder="1" applyAlignment="1">
      <alignment horizontal="justify" vertical="center" wrapText="1"/>
    </xf>
    <xf numFmtId="0" fontId="28" fillId="0" borderId="12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26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right" vertical="center"/>
    </xf>
    <xf numFmtId="0" fontId="33" fillId="25" borderId="10" xfId="0" applyFont="1" applyFill="1" applyBorder="1" applyAlignment="1">
      <alignment horizontal="right" vertical="center"/>
    </xf>
    <xf numFmtId="0" fontId="32" fillId="22" borderId="10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right" vertical="center" wrapText="1"/>
    </xf>
    <xf numFmtId="0" fontId="42" fillId="2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left" vertical="center"/>
    </xf>
    <xf numFmtId="0" fontId="55" fillId="25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49" fontId="26" fillId="22" borderId="12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justify" vertical="center" wrapText="1"/>
    </xf>
    <xf numFmtId="49" fontId="26" fillId="25" borderId="1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justify" vertical="center" wrapText="1"/>
    </xf>
    <xf numFmtId="4" fontId="26" fillId="22" borderId="14" xfId="0" applyNumberFormat="1" applyFont="1" applyFill="1" applyBorder="1" applyAlignment="1">
      <alignment horizontal="center" vertical="center" wrapText="1"/>
    </xf>
    <xf numFmtId="4" fontId="26" fillId="22" borderId="10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38" fillId="22" borderId="10" xfId="0" applyFont="1" applyFill="1" applyBorder="1" applyAlignment="1">
      <alignment horizontal="right" vertical="center"/>
    </xf>
    <xf numFmtId="4" fontId="29" fillId="22" borderId="10" xfId="0" applyNumberFormat="1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justify" vertical="center" wrapText="1"/>
    </xf>
    <xf numFmtId="0" fontId="26" fillId="25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justify" vertical="center" wrapText="1"/>
    </xf>
    <xf numFmtId="172" fontId="57" fillId="0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top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 wrapText="1"/>
    </xf>
    <xf numFmtId="0" fontId="26" fillId="25" borderId="10" xfId="0" applyFont="1" applyFill="1" applyBorder="1" applyAlignment="1">
      <alignment horizontal="center"/>
    </xf>
    <xf numFmtId="0" fontId="26" fillId="0" borderId="12" xfId="0" applyFont="1" applyBorder="1" applyAlignment="1">
      <alignment horizontal="justify" vertical="top"/>
    </xf>
    <xf numFmtId="0" fontId="35" fillId="0" borderId="10" xfId="0" applyFont="1" applyBorder="1" applyAlignment="1">
      <alignment horizontal="center"/>
    </xf>
    <xf numFmtId="0" fontId="32" fillId="0" borderId="12" xfId="0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left" vertical="center" wrapText="1"/>
    </xf>
    <xf numFmtId="0" fontId="28" fillId="22" borderId="12" xfId="0" applyFont="1" applyFill="1" applyBorder="1" applyAlignment="1">
      <alignment horizontal="left" vertical="center" wrapText="1"/>
    </xf>
    <xf numFmtId="0" fontId="28" fillId="22" borderId="13" xfId="0" applyFont="1" applyFill="1" applyBorder="1" applyAlignment="1">
      <alignment horizontal="left" vertical="center" wrapText="1"/>
    </xf>
    <xf numFmtId="0" fontId="28" fillId="22" borderId="14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3" fillId="22" borderId="12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3" fillId="26" borderId="12" xfId="0" applyFont="1" applyFill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44" fillId="0" borderId="13" xfId="0" applyFont="1" applyFill="1" applyBorder="1" applyAlignment="1">
      <alignment horizontal="justify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59" fillId="25" borderId="10" xfId="0" applyFont="1" applyFill="1" applyBorder="1" applyAlignment="1">
      <alignment horizontal="right" vertical="center"/>
    </xf>
    <xf numFmtId="0" fontId="33" fillId="25" borderId="10" xfId="0" applyFont="1" applyFill="1" applyBorder="1" applyAlignment="1">
      <alignment horizontal="right" vertical="center" wrapText="1"/>
    </xf>
    <xf numFmtId="0" fontId="42" fillId="22" borderId="12" xfId="0" applyFont="1" applyFill="1" applyBorder="1" applyAlignment="1">
      <alignment horizontal="justify" vertical="justify" wrapText="1"/>
    </xf>
    <xf numFmtId="0" fontId="42" fillId="22" borderId="13" xfId="0" applyFont="1" applyFill="1" applyBorder="1" applyAlignment="1">
      <alignment horizontal="justify" vertical="justify" wrapText="1"/>
    </xf>
    <xf numFmtId="0" fontId="42" fillId="22" borderId="14" xfId="0" applyFont="1" applyFill="1" applyBorder="1" applyAlignment="1">
      <alignment horizontal="justify" vertical="justify" wrapText="1"/>
    </xf>
    <xf numFmtId="0" fontId="38" fillId="22" borderId="1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30" borderId="12" xfId="0" applyFont="1" applyFill="1" applyBorder="1" applyAlignment="1">
      <alignment horizontal="center" vertical="center" wrapText="1"/>
    </xf>
    <xf numFmtId="0" fontId="26" fillId="30" borderId="13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left" vertical="center" wrapText="1"/>
    </xf>
    <xf numFmtId="0" fontId="26" fillId="28" borderId="10" xfId="0" applyFont="1" applyFill="1" applyBorder="1" applyAlignment="1">
      <alignment horizontal="center" vertical="center" wrapText="1"/>
    </xf>
    <xf numFmtId="1" fontId="26" fillId="28" borderId="10" xfId="0" applyNumberFormat="1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1" fontId="27" fillId="22" borderId="15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26" fillId="3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wrapText="1"/>
    </xf>
    <xf numFmtId="0" fontId="28" fillId="30" borderId="11" xfId="0" applyFont="1" applyFill="1" applyBorder="1" applyAlignment="1">
      <alignment horizontal="left" wrapText="1"/>
    </xf>
    <xf numFmtId="0" fontId="28" fillId="30" borderId="10" xfId="0" applyFont="1" applyFill="1" applyBorder="1" applyAlignment="1">
      <alignment horizontal="left" vertical="center" wrapText="1"/>
    </xf>
    <xf numFmtId="172" fontId="34" fillId="27" borderId="10" xfId="0" applyNumberFormat="1" applyFont="1" applyFill="1" applyBorder="1" applyAlignment="1" applyProtection="1">
      <alignment horizontal="right" vertical="center"/>
      <protection locked="0"/>
    </xf>
    <xf numFmtId="0" fontId="26" fillId="30" borderId="10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horizontal="justify" vertical="center" wrapText="1"/>
    </xf>
    <xf numFmtId="0" fontId="28" fillId="22" borderId="13" xfId="0" applyFont="1" applyFill="1" applyBorder="1" applyAlignment="1">
      <alignment horizontal="justify" vertical="center" wrapText="1"/>
    </xf>
    <xf numFmtId="0" fontId="28" fillId="22" borderId="14" xfId="0" applyFont="1" applyFill="1" applyBorder="1" applyAlignment="1">
      <alignment horizontal="justify" vertical="center" wrapText="1"/>
    </xf>
    <xf numFmtId="0" fontId="26" fillId="30" borderId="10" xfId="0" applyFont="1" applyFill="1" applyBorder="1" applyAlignment="1">
      <alignment horizontal="left" wrapText="1"/>
    </xf>
    <xf numFmtId="0" fontId="26" fillId="27" borderId="12" xfId="0" applyFont="1" applyFill="1" applyBorder="1" applyAlignment="1">
      <alignment horizontal="left" vertical="center" wrapText="1"/>
    </xf>
    <xf numFmtId="0" fontId="26" fillId="27" borderId="13" xfId="0" applyFont="1" applyFill="1" applyBorder="1" applyAlignment="1">
      <alignment horizontal="left" vertical="center" wrapText="1"/>
    </xf>
    <xf numFmtId="0" fontId="26" fillId="27" borderId="14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left" vertical="center" wrapText="1"/>
    </xf>
    <xf numFmtId="0" fontId="26" fillId="30" borderId="10" xfId="0" applyFont="1" applyFill="1" applyBorder="1" applyAlignment="1">
      <alignment horizontal="center" vertical="center" wrapText="1"/>
    </xf>
    <xf numFmtId="0" fontId="42" fillId="30" borderId="12" xfId="0" applyFont="1" applyFill="1" applyBorder="1" applyAlignment="1">
      <alignment horizontal="justify" vertical="center" wrapText="1"/>
    </xf>
    <xf numFmtId="0" fontId="42" fillId="30" borderId="13" xfId="0" applyFont="1" applyFill="1" applyBorder="1" applyAlignment="1">
      <alignment horizontal="justify" vertical="center" wrapText="1"/>
    </xf>
    <xf numFmtId="0" fontId="42" fillId="30" borderId="14" xfId="0" applyFont="1" applyFill="1" applyBorder="1" applyAlignment="1">
      <alignment horizontal="justify" vertical="center" wrapText="1"/>
    </xf>
    <xf numFmtId="0" fontId="33" fillId="30" borderId="10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justify" vertical="center" wrapText="1"/>
    </xf>
    <xf numFmtId="10" fontId="27" fillId="0" borderId="10" xfId="0" applyNumberFormat="1" applyFont="1" applyFill="1" applyBorder="1" applyAlignment="1">
      <alignment horizontal="justify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37" fillId="30" borderId="10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justify" vertical="center" wrapText="1"/>
    </xf>
    <xf numFmtId="0" fontId="32" fillId="22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28" fillId="30" borderId="12" xfId="0" applyFont="1" applyFill="1" applyBorder="1" applyAlignment="1">
      <alignment horizontal="justify" vertical="center" wrapText="1"/>
    </xf>
    <xf numFmtId="0" fontId="0" fillId="30" borderId="13" xfId="0" applyFill="1" applyBorder="1" applyAlignment="1">
      <alignment vertical="center" wrapText="1"/>
    </xf>
    <xf numFmtId="0" fontId="0" fillId="30" borderId="14" xfId="0" applyFill="1" applyBorder="1" applyAlignment="1">
      <alignment vertical="center" wrapText="1"/>
    </xf>
    <xf numFmtId="0" fontId="46" fillId="30" borderId="15" xfId="0" applyFont="1" applyFill="1" applyBorder="1" applyAlignment="1">
      <alignment horizontal="justify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22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justify" vertical="center" wrapText="1"/>
    </xf>
    <xf numFmtId="0" fontId="33" fillId="0" borderId="13" xfId="0" applyFont="1" applyFill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50" fillId="30" borderId="10" xfId="0" applyFont="1" applyFill="1" applyBorder="1" applyAlignment="1">
      <alignment horizontal="right" vertical="center"/>
    </xf>
    <xf numFmtId="0" fontId="26" fillId="22" borderId="10" xfId="0" applyFont="1" applyFill="1" applyBorder="1" applyAlignment="1">
      <alignment horizontal="center" vertical="center"/>
    </xf>
    <xf numFmtId="0" fontId="42" fillId="30" borderId="12" xfId="0" applyFont="1" applyFill="1" applyBorder="1" applyAlignment="1">
      <alignment horizontal="center" vertical="center"/>
    </xf>
    <xf numFmtId="0" fontId="42" fillId="30" borderId="13" xfId="0" applyFont="1" applyFill="1" applyBorder="1" applyAlignment="1">
      <alignment horizontal="center" vertical="center"/>
    </xf>
    <xf numFmtId="0" fontId="42" fillId="3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left" vertical="center"/>
    </xf>
    <xf numFmtId="0" fontId="48" fillId="0" borderId="36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left" vertical="center"/>
    </xf>
    <xf numFmtId="0" fontId="48" fillId="0" borderId="40" xfId="0" applyFont="1" applyFill="1" applyBorder="1" applyAlignment="1">
      <alignment horizontal="left" vertical="center"/>
    </xf>
    <xf numFmtId="0" fontId="48" fillId="0" borderId="41" xfId="0" applyFont="1" applyFill="1" applyBorder="1" applyAlignment="1">
      <alignment horizontal="left" vertical="center"/>
    </xf>
    <xf numFmtId="0" fontId="55" fillId="30" borderId="16" xfId="0" applyFont="1" applyFill="1" applyBorder="1" applyAlignment="1">
      <alignment vertical="center"/>
    </xf>
    <xf numFmtId="0" fontId="26" fillId="30" borderId="10" xfId="0" applyFont="1" applyFill="1" applyBorder="1" applyAlignment="1">
      <alignment horizontal="right" vertical="center"/>
    </xf>
    <xf numFmtId="0" fontId="2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49" fontId="26" fillId="22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justify" vertical="center" wrapText="1"/>
    </xf>
    <xf numFmtId="0" fontId="26" fillId="28" borderId="13" xfId="0" applyFont="1" applyFill="1" applyBorder="1" applyAlignment="1">
      <alignment horizontal="justify" vertical="center" wrapText="1"/>
    </xf>
    <xf numFmtId="0" fontId="26" fillId="28" borderId="14" xfId="0" applyFont="1" applyFill="1" applyBorder="1" applyAlignment="1">
      <alignment horizontal="justify" vertical="center" wrapText="1"/>
    </xf>
    <xf numFmtId="4" fontId="26" fillId="28" borderId="12" xfId="0" applyNumberFormat="1" applyFont="1" applyFill="1" applyBorder="1" applyAlignment="1">
      <alignment horizontal="center" vertical="center" wrapText="1"/>
    </xf>
    <xf numFmtId="4" fontId="26" fillId="28" borderId="14" xfId="0" applyNumberFormat="1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left"/>
    </xf>
    <xf numFmtId="0" fontId="42" fillId="30" borderId="20" xfId="0" applyFont="1" applyFill="1" applyBorder="1" applyAlignment="1">
      <alignment horizontal="center"/>
    </xf>
    <xf numFmtId="0" fontId="42" fillId="30" borderId="13" xfId="0" applyFont="1" applyFill="1" applyBorder="1" applyAlignment="1">
      <alignment horizontal="left" vertical="center" wrapText="1"/>
    </xf>
    <xf numFmtId="0" fontId="26" fillId="30" borderId="17" xfId="0" applyFont="1" applyFill="1" applyBorder="1" applyAlignment="1">
      <alignment horizontal="center"/>
    </xf>
    <xf numFmtId="0" fontId="26" fillId="3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left" wrapText="1"/>
    </xf>
    <xf numFmtId="0" fontId="27" fillId="22" borderId="10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right" vertical="center" wrapText="1"/>
    </xf>
    <xf numFmtId="0" fontId="42" fillId="22" borderId="12" xfId="0" applyFont="1" applyFill="1" applyBorder="1" applyAlignment="1">
      <alignment horizontal="justify" vertical="center" wrapText="1"/>
    </xf>
    <xf numFmtId="0" fontId="42" fillId="22" borderId="13" xfId="0" applyFont="1" applyFill="1" applyBorder="1" applyAlignment="1">
      <alignment horizontal="justify" vertical="center" wrapText="1"/>
    </xf>
    <xf numFmtId="0" fontId="42" fillId="22" borderId="14" xfId="0" applyFont="1" applyFill="1" applyBorder="1" applyAlignment="1">
      <alignment horizontal="justify" vertical="center" wrapText="1"/>
    </xf>
    <xf numFmtId="0" fontId="43" fillId="30" borderId="10" xfId="0" applyFont="1" applyFill="1" applyBorder="1" applyAlignment="1">
      <alignment horizontal="justify" vertical="center" wrapText="1"/>
    </xf>
    <xf numFmtId="0" fontId="26" fillId="22" borderId="13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0" fontId="46" fillId="30" borderId="10" xfId="0" applyFont="1" applyFill="1" applyBorder="1" applyAlignment="1">
      <alignment horizontal="justify" vertical="center" wrapText="1"/>
    </xf>
    <xf numFmtId="0" fontId="28" fillId="29" borderId="12" xfId="0" applyFont="1" applyFill="1" applyBorder="1" applyAlignment="1">
      <alignment horizontal="justify" vertical="center" wrapText="1"/>
    </xf>
    <xf numFmtId="0" fontId="0" fillId="29" borderId="13" xfId="0" applyFill="1" applyBorder="1" applyAlignment="1">
      <alignment vertical="center" wrapText="1"/>
    </xf>
    <xf numFmtId="0" fontId="0" fillId="29" borderId="14" xfId="0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49" fontId="26" fillId="22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28" borderId="10" xfId="0" applyFont="1" applyFill="1" applyBorder="1" applyAlignment="1">
      <alignment horizontal="justify" vertical="center" wrapText="1"/>
    </xf>
    <xf numFmtId="4" fontId="26" fillId="28" borderId="10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justify" vertical="center" wrapText="1"/>
    </xf>
    <xf numFmtId="49" fontId="26" fillId="30" borderId="11" xfId="0" applyNumberFormat="1" applyFont="1" applyFill="1" applyBorder="1" applyAlignment="1">
      <alignment horizontal="left" vertical="center" wrapText="1"/>
    </xf>
    <xf numFmtId="0" fontId="38" fillId="22" borderId="10" xfId="0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42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left" vertical="center" wrapText="1"/>
    </xf>
    <xf numFmtId="0" fontId="26" fillId="26" borderId="12" xfId="0" applyFont="1" applyFill="1" applyBorder="1" applyAlignment="1">
      <alignment horizontal="justify" vertical="center" wrapText="1"/>
    </xf>
    <xf numFmtId="0" fontId="26" fillId="26" borderId="13" xfId="0" applyFont="1" applyFill="1" applyBorder="1" applyAlignment="1">
      <alignment horizontal="justify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300DC"/>
      <rgbColor rgb="00009900"/>
      <rgbColor rgb="00800080"/>
      <rgbColor rgb="00006B6B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6600FF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0"/>
  <sheetViews>
    <sheetView view="pageBreakPreview" zoomScaleSheetLayoutView="100" zoomScalePageLayoutView="0" workbookViewId="0" topLeftCell="A1">
      <selection activeCell="I148" sqref="I148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1.2812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28.5" customHeight="1">
      <c r="A2" s="185" t="s">
        <v>200</v>
      </c>
      <c r="B2" s="185"/>
      <c r="C2" s="185"/>
      <c r="D2" s="185"/>
      <c r="E2" s="185"/>
      <c r="F2" s="185"/>
      <c r="G2" s="185"/>
      <c r="H2" s="185"/>
      <c r="I2" s="185"/>
    </row>
    <row r="3" spans="1:9" ht="59.25" customHeight="1">
      <c r="A3" s="186" t="s">
        <v>190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288</v>
      </c>
      <c r="B4" s="187"/>
      <c r="C4" s="187"/>
      <c r="D4" s="187"/>
      <c r="E4" s="187"/>
      <c r="F4" s="188" t="s">
        <v>146</v>
      </c>
      <c r="G4" s="188"/>
      <c r="H4" s="188"/>
      <c r="I4" s="188"/>
    </row>
    <row r="5" spans="1:9" ht="15.75" customHeight="1">
      <c r="A5" s="187" t="s">
        <v>290</v>
      </c>
      <c r="B5" s="187"/>
      <c r="C5" s="187"/>
      <c r="D5" s="187"/>
      <c r="E5" s="187"/>
      <c r="F5" s="188" t="s">
        <v>147</v>
      </c>
      <c r="G5" s="188"/>
      <c r="H5" s="188"/>
      <c r="I5" s="188"/>
    </row>
    <row r="6" spans="1:9" ht="14.25" customHeight="1">
      <c r="A6" s="187" t="s">
        <v>145</v>
      </c>
      <c r="B6" s="187"/>
      <c r="C6" s="187"/>
      <c r="D6" s="187"/>
      <c r="E6" s="187"/>
      <c r="F6" s="187"/>
      <c r="G6" s="187"/>
      <c r="H6" s="187"/>
      <c r="I6" s="187"/>
    </row>
    <row r="7" spans="1:9" ht="20.25" customHeight="1">
      <c r="A7" s="189" t="s">
        <v>291</v>
      </c>
      <c r="B7" s="189"/>
      <c r="C7" s="189"/>
      <c r="D7" s="189"/>
      <c r="E7" s="189"/>
      <c r="F7" s="189"/>
      <c r="G7" s="189"/>
      <c r="H7" s="189"/>
      <c r="I7" s="189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>
        <v>43830</v>
      </c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296</v>
      </c>
      <c r="I9" s="188"/>
    </row>
    <row r="10" spans="1:9" ht="19.5" customHeight="1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11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  <c r="K11" s="4"/>
    </row>
    <row r="12" spans="1:9" ht="21" customHeight="1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2.75" customHeight="1">
      <c r="A14" s="187" t="s">
        <v>306</v>
      </c>
      <c r="B14" s="187"/>
      <c r="C14" s="187"/>
      <c r="D14" s="187"/>
      <c r="E14" s="187"/>
      <c r="F14" s="195" t="s">
        <v>307</v>
      </c>
      <c r="G14" s="195"/>
      <c r="H14" s="196" t="s">
        <v>308</v>
      </c>
      <c r="I14" s="196"/>
    </row>
    <row r="15" spans="1:9" ht="12.75" customHeight="1">
      <c r="A15" s="187" t="s">
        <v>309</v>
      </c>
      <c r="B15" s="187"/>
      <c r="C15" s="187"/>
      <c r="D15" s="187"/>
      <c r="E15" s="187"/>
      <c r="F15" s="195" t="s">
        <v>307</v>
      </c>
      <c r="G15" s="195"/>
      <c r="H15" s="196" t="s">
        <v>308</v>
      </c>
      <c r="I15" s="196"/>
    </row>
    <row r="16" spans="1:9" ht="12.75" customHeight="1">
      <c r="A16" s="187" t="s">
        <v>310</v>
      </c>
      <c r="B16" s="187"/>
      <c r="C16" s="187"/>
      <c r="D16" s="187"/>
      <c r="E16" s="187"/>
      <c r="F16" s="195" t="s">
        <v>307</v>
      </c>
      <c r="G16" s="195"/>
      <c r="H16" s="196" t="s">
        <v>308</v>
      </c>
      <c r="I16" s="196"/>
    </row>
    <row r="17" spans="1:9" ht="12.75" customHeight="1">
      <c r="A17" s="197" t="s">
        <v>311</v>
      </c>
      <c r="B17" s="197"/>
      <c r="C17" s="197"/>
      <c r="D17" s="197"/>
      <c r="E17" s="197"/>
      <c r="F17" s="193" t="s">
        <v>307</v>
      </c>
      <c r="G17" s="193"/>
      <c r="H17" s="198">
        <v>3</v>
      </c>
      <c r="I17" s="198"/>
    </row>
    <row r="18" spans="1:9" ht="12.75" customHeight="1">
      <c r="A18" s="187" t="s">
        <v>312</v>
      </c>
      <c r="B18" s="187"/>
      <c r="C18" s="187"/>
      <c r="D18" s="187"/>
      <c r="E18" s="187"/>
      <c r="F18" s="195" t="s">
        <v>307</v>
      </c>
      <c r="G18" s="195"/>
      <c r="H18" s="196" t="s">
        <v>308</v>
      </c>
      <c r="I18" s="196"/>
    </row>
    <row r="19" spans="1:9" ht="12.75" customHeight="1">
      <c r="A19" s="187" t="s">
        <v>313</v>
      </c>
      <c r="B19" s="187"/>
      <c r="C19" s="187"/>
      <c r="D19" s="187"/>
      <c r="E19" s="187"/>
      <c r="F19" s="195" t="s">
        <v>307</v>
      </c>
      <c r="G19" s="195"/>
      <c r="H19" s="196" t="s">
        <v>308</v>
      </c>
      <c r="I19" s="196"/>
    </row>
    <row r="20" spans="1:9" ht="12.75" customHeight="1">
      <c r="A20" s="199" t="s">
        <v>314</v>
      </c>
      <c r="B20" s="199"/>
      <c r="C20" s="199"/>
      <c r="D20" s="199"/>
      <c r="E20" s="199"/>
      <c r="F20" s="199"/>
      <c r="G20" s="199"/>
      <c r="H20" s="200">
        <f>SUM(H14:H19)</f>
        <v>3</v>
      </c>
      <c r="I20" s="200"/>
    </row>
    <row r="21" spans="1:9" ht="8.25" customHeight="1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12" ht="47.25" customHeight="1">
      <c r="A22" s="202" t="s">
        <v>315</v>
      </c>
      <c r="B22" s="202"/>
      <c r="C22" s="202"/>
      <c r="D22" s="202"/>
      <c r="E22" s="202"/>
      <c r="F22" s="202"/>
      <c r="G22" s="202"/>
      <c r="H22" s="202"/>
      <c r="I22" s="202"/>
      <c r="J22" s="6"/>
      <c r="K22" s="7"/>
      <c r="L22" s="8"/>
    </row>
    <row r="23" spans="1:12" ht="7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L23" s="8"/>
    </row>
    <row r="24" spans="1:12" ht="50.25" customHeight="1">
      <c r="A24" s="204" t="s">
        <v>316</v>
      </c>
      <c r="B24" s="204"/>
      <c r="C24" s="204"/>
      <c r="D24" s="204"/>
      <c r="E24" s="204"/>
      <c r="F24" s="204"/>
      <c r="G24" s="204"/>
      <c r="H24" s="204"/>
      <c r="I24" s="204"/>
      <c r="J24" s="6"/>
      <c r="K24" s="7"/>
      <c r="L24" s="8"/>
    </row>
    <row r="25" spans="1:12" ht="7.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6"/>
      <c r="K25" s="7"/>
      <c r="L25" s="8"/>
    </row>
    <row r="26" spans="1:256" s="9" customFormat="1" ht="21.75" customHeight="1">
      <c r="A26" s="189" t="s">
        <v>281</v>
      </c>
      <c r="B26" s="189"/>
      <c r="C26" s="189"/>
      <c r="D26" s="189"/>
      <c r="E26" s="189"/>
      <c r="F26" s="189"/>
      <c r="G26" s="189"/>
      <c r="H26" s="189"/>
      <c r="I26" s="18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9" ht="27" customHeight="1">
      <c r="A27" s="3">
        <v>1</v>
      </c>
      <c r="B27" s="187" t="s">
        <v>317</v>
      </c>
      <c r="C27" s="187"/>
      <c r="D27" s="187"/>
      <c r="E27" s="187"/>
      <c r="F27" s="187"/>
      <c r="G27" s="187"/>
      <c r="H27" s="207" t="s">
        <v>318</v>
      </c>
      <c r="I27" s="207"/>
    </row>
    <row r="28" spans="1:9" ht="19.5" customHeight="1">
      <c r="A28" s="10">
        <v>2</v>
      </c>
      <c r="B28" s="208" t="s">
        <v>319</v>
      </c>
      <c r="C28" s="208"/>
      <c r="D28" s="208"/>
      <c r="E28" s="208"/>
      <c r="F28" s="208"/>
      <c r="G28" s="208"/>
      <c r="H28" s="209" t="s">
        <v>0</v>
      </c>
      <c r="I28" s="209"/>
    </row>
    <row r="29" spans="1:9" ht="15.75" customHeight="1">
      <c r="A29" s="3">
        <v>3</v>
      </c>
      <c r="B29" s="187" t="s">
        <v>1</v>
      </c>
      <c r="C29" s="187"/>
      <c r="D29" s="187"/>
      <c r="E29" s="187"/>
      <c r="F29" s="187"/>
      <c r="G29" s="187"/>
      <c r="H29" s="210">
        <v>1447.6</v>
      </c>
      <c r="I29" s="210"/>
    </row>
    <row r="30" spans="1:9" ht="15.75" customHeight="1">
      <c r="A30" s="3">
        <v>4</v>
      </c>
      <c r="B30" s="187" t="s">
        <v>2</v>
      </c>
      <c r="C30" s="187"/>
      <c r="D30" s="187"/>
      <c r="E30" s="187"/>
      <c r="F30" s="187"/>
      <c r="G30" s="187"/>
      <c r="H30" s="211" t="s">
        <v>3</v>
      </c>
      <c r="I30" s="211"/>
    </row>
    <row r="31" spans="1:9" ht="15.75" customHeight="1">
      <c r="A31" s="3">
        <v>5</v>
      </c>
      <c r="B31" s="187" t="s">
        <v>4</v>
      </c>
      <c r="C31" s="187"/>
      <c r="D31" s="187"/>
      <c r="E31" s="187"/>
      <c r="F31" s="187"/>
      <c r="G31" s="187"/>
      <c r="H31" s="212" t="s">
        <v>148</v>
      </c>
      <c r="I31" s="212"/>
    </row>
    <row r="32" spans="1:256" ht="27" customHeight="1">
      <c r="A32" s="11">
        <v>6</v>
      </c>
      <c r="B32" s="213" t="s">
        <v>5</v>
      </c>
      <c r="C32" s="213"/>
      <c r="D32" s="213"/>
      <c r="E32" s="213"/>
      <c r="F32" s="213"/>
      <c r="G32" s="213"/>
      <c r="H32" s="214">
        <f>ROUND((H29/220),2)</f>
        <v>6.58</v>
      </c>
      <c r="I32" s="21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11">
        <v>7</v>
      </c>
      <c r="B33" s="213" t="s">
        <v>6</v>
      </c>
      <c r="C33" s="213"/>
      <c r="D33" s="213"/>
      <c r="E33" s="213"/>
      <c r="F33" s="213"/>
      <c r="G33" s="213"/>
      <c r="H33" s="215">
        <f>ROUND(H32*1.5,2)</f>
        <v>9.87</v>
      </c>
      <c r="I33" s="215"/>
      <c r="J33"/>
      <c r="K33">
        <f>H32+H32*0.5</f>
        <v>9.870000000000001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11">
        <v>8</v>
      </c>
      <c r="B34" s="213" t="s">
        <v>7</v>
      </c>
      <c r="C34" s="213"/>
      <c r="D34" s="213"/>
      <c r="E34" s="213"/>
      <c r="F34" s="213"/>
      <c r="G34" s="213"/>
      <c r="H34" s="214">
        <f>ROUND(H32*0.2,2)</f>
        <v>1.32</v>
      </c>
      <c r="I34" s="21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 customHeight="1">
      <c r="A35" s="11">
        <v>9</v>
      </c>
      <c r="B35" s="213" t="s">
        <v>283</v>
      </c>
      <c r="C35" s="213"/>
      <c r="D35" s="213"/>
      <c r="E35" s="213"/>
      <c r="F35" s="213"/>
      <c r="G35" s="213"/>
      <c r="H35" s="214">
        <f>ROUND(H32/6,2)</f>
        <v>1.1</v>
      </c>
      <c r="I35" s="21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1">
        <v>10</v>
      </c>
      <c r="B36" s="216" t="s">
        <v>8</v>
      </c>
      <c r="C36" s="216"/>
      <c r="D36" s="216"/>
      <c r="E36" s="216"/>
      <c r="F36" s="216"/>
      <c r="G36" s="216"/>
      <c r="H36" s="217">
        <v>2</v>
      </c>
      <c r="I36" s="21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ht="9" customHeight="1">
      <c r="A37" s="203"/>
      <c r="B37" s="203"/>
      <c r="C37" s="203"/>
      <c r="D37" s="203"/>
      <c r="E37" s="203"/>
      <c r="F37" s="203"/>
      <c r="G37" s="203"/>
      <c r="H37" s="203"/>
      <c r="I37" s="203"/>
    </row>
    <row r="38" spans="1:9" ht="21.75" customHeight="1">
      <c r="A38" s="218" t="s">
        <v>9</v>
      </c>
      <c r="B38" s="218"/>
      <c r="C38" s="218"/>
      <c r="D38" s="218"/>
      <c r="E38" s="218"/>
      <c r="F38" s="218"/>
      <c r="G38" s="218"/>
      <c r="H38" s="218"/>
      <c r="I38" s="218"/>
    </row>
    <row r="39" spans="1:9" ht="9" customHeight="1">
      <c r="A39" s="219"/>
      <c r="B39" s="219"/>
      <c r="C39" s="219"/>
      <c r="D39" s="219"/>
      <c r="E39" s="219"/>
      <c r="F39" s="219"/>
      <c r="G39" s="219"/>
      <c r="H39" s="219"/>
      <c r="I39" s="219"/>
    </row>
    <row r="40" spans="1:9" ht="20.25" customHeight="1">
      <c r="A40" s="220" t="s">
        <v>10</v>
      </c>
      <c r="B40" s="220"/>
      <c r="C40" s="220"/>
      <c r="D40" s="220"/>
      <c r="E40" s="220"/>
      <c r="F40" s="220"/>
      <c r="G40" s="220"/>
      <c r="H40" s="220"/>
      <c r="I40" s="220"/>
    </row>
    <row r="41" spans="1:9" s="15" customFormat="1" ht="30" customHeight="1">
      <c r="A41" s="12">
        <v>1</v>
      </c>
      <c r="B41" s="221" t="s">
        <v>11</v>
      </c>
      <c r="C41" s="221"/>
      <c r="D41" s="221"/>
      <c r="E41" s="221"/>
      <c r="F41" s="221"/>
      <c r="G41" s="221"/>
      <c r="H41" s="14" t="s">
        <v>12</v>
      </c>
      <c r="I41" s="12" t="s">
        <v>13</v>
      </c>
    </row>
    <row r="42" spans="1:9" ht="15.75" customHeight="1">
      <c r="A42" s="3" t="s">
        <v>292</v>
      </c>
      <c r="B42" s="187" t="s">
        <v>14</v>
      </c>
      <c r="C42" s="187"/>
      <c r="D42" s="187"/>
      <c r="E42" s="187"/>
      <c r="F42" s="187"/>
      <c r="G42" s="187"/>
      <c r="H42" s="187"/>
      <c r="I42" s="16">
        <f>H29*2</f>
        <v>2895.2</v>
      </c>
    </row>
    <row r="43" spans="1:9" ht="27.75" customHeight="1">
      <c r="A43" s="3" t="s">
        <v>294</v>
      </c>
      <c r="B43" s="187" t="s">
        <v>265</v>
      </c>
      <c r="C43" s="187"/>
      <c r="D43" s="187"/>
      <c r="E43" s="187"/>
      <c r="F43" s="187"/>
      <c r="G43" s="187"/>
      <c r="H43" s="187"/>
      <c r="I43" s="16">
        <f>ROUND(2*8*15*H34,2)</f>
        <v>316.8</v>
      </c>
    </row>
    <row r="44" spans="1:9" ht="37.5" customHeight="1">
      <c r="A44" s="3" t="s">
        <v>297</v>
      </c>
      <c r="B44" s="208" t="s">
        <v>15</v>
      </c>
      <c r="C44" s="208"/>
      <c r="D44" s="208"/>
      <c r="E44" s="208"/>
      <c r="F44" s="208"/>
      <c r="G44" s="208"/>
      <c r="H44" s="208"/>
      <c r="I44" s="16">
        <f>ROUND(H36*(((12*15)+15)-((44/6)*26))*H33,2)*0+ROUND(2*4.33*H33,2)</f>
        <v>85.47</v>
      </c>
    </row>
    <row r="45" spans="1:9" ht="29.25" customHeight="1">
      <c r="A45" s="3" t="s">
        <v>300</v>
      </c>
      <c r="B45" s="223" t="s">
        <v>280</v>
      </c>
      <c r="C45" s="224"/>
      <c r="D45" s="224"/>
      <c r="E45" s="224"/>
      <c r="F45" s="224"/>
      <c r="G45" s="224"/>
      <c r="H45" s="225"/>
      <c r="I45" s="16">
        <f>ROUND($H$35*H36*15,2)</f>
        <v>33</v>
      </c>
    </row>
    <row r="46" spans="1:9" ht="27" customHeight="1">
      <c r="A46" s="3" t="s">
        <v>16</v>
      </c>
      <c r="B46" s="187" t="s">
        <v>282</v>
      </c>
      <c r="C46" s="187"/>
      <c r="D46" s="187"/>
      <c r="E46" s="187"/>
      <c r="F46" s="187"/>
      <c r="G46" s="187"/>
      <c r="H46" s="187"/>
      <c r="I46" s="16">
        <f>ROUND(SUM(I43:I45)*0.2,2)</f>
        <v>87.05</v>
      </c>
    </row>
    <row r="47" spans="1:9" ht="26.25" customHeight="1">
      <c r="A47" s="3" t="s">
        <v>18</v>
      </c>
      <c r="B47" s="222" t="s">
        <v>17</v>
      </c>
      <c r="C47" s="222"/>
      <c r="D47" s="222"/>
      <c r="E47" s="222"/>
      <c r="F47" s="222"/>
      <c r="G47" s="222"/>
      <c r="H47" s="17">
        <v>0.3</v>
      </c>
      <c r="I47" s="16">
        <f>ROUND(H47*SUM(I42:I46),2)</f>
        <v>1025.26</v>
      </c>
    </row>
    <row r="48" spans="1:12" ht="15.75" customHeight="1">
      <c r="A48" s="3" t="s">
        <v>20</v>
      </c>
      <c r="B48" s="187" t="s">
        <v>19</v>
      </c>
      <c r="C48" s="187"/>
      <c r="D48" s="187"/>
      <c r="E48" s="187"/>
      <c r="F48" s="187"/>
      <c r="G48" s="187"/>
      <c r="H48" s="187"/>
      <c r="I48" s="18" t="s">
        <v>308</v>
      </c>
      <c r="L48" s="19"/>
    </row>
    <row r="49" spans="1:9" ht="58.5" customHeight="1">
      <c r="A49" s="226" t="s">
        <v>164</v>
      </c>
      <c r="B49" s="227"/>
      <c r="C49" s="227"/>
      <c r="D49" s="227"/>
      <c r="E49" s="227"/>
      <c r="F49" s="227"/>
      <c r="G49" s="227"/>
      <c r="H49" s="228"/>
      <c r="I49" s="95">
        <f>SUM(I42:I48)</f>
        <v>4442.78</v>
      </c>
    </row>
    <row r="50" spans="1:9" ht="11.25" customHeight="1">
      <c r="A50" s="229"/>
      <c r="B50" s="229"/>
      <c r="C50" s="229"/>
      <c r="D50" s="229"/>
      <c r="E50" s="229"/>
      <c r="F50" s="229"/>
      <c r="G50" s="229"/>
      <c r="H50" s="229"/>
      <c r="I50" s="229"/>
    </row>
    <row r="51" spans="1:9" ht="28.5" customHeight="1">
      <c r="A51" s="96" t="s">
        <v>22</v>
      </c>
      <c r="B51" s="230" t="s">
        <v>197</v>
      </c>
      <c r="C51" s="230"/>
      <c r="D51" s="230"/>
      <c r="E51" s="230"/>
      <c r="F51" s="230"/>
      <c r="G51" s="230"/>
      <c r="H51" s="230"/>
      <c r="I51" s="97">
        <f>ROUND(H33*15*H36*0.5,2)</f>
        <v>148.05</v>
      </c>
    </row>
    <row r="52" spans="1:9" ht="31.5" customHeight="1">
      <c r="A52" s="231" t="s">
        <v>158</v>
      </c>
      <c r="B52" s="231"/>
      <c r="C52" s="231"/>
      <c r="D52" s="231"/>
      <c r="E52" s="231"/>
      <c r="F52" s="231"/>
      <c r="G52" s="231"/>
      <c r="H52" s="231"/>
      <c r="I52" s="20">
        <f>I51</f>
        <v>148.05</v>
      </c>
    </row>
    <row r="53" spans="1:9" ht="11.25" customHeight="1">
      <c r="A53" s="201"/>
      <c r="B53" s="201"/>
      <c r="C53" s="201"/>
      <c r="D53" s="201"/>
      <c r="E53" s="201"/>
      <c r="F53" s="201"/>
      <c r="G53" s="201"/>
      <c r="H53" s="201"/>
      <c r="I53" s="201"/>
    </row>
    <row r="54" spans="1:9" ht="46.5" customHeight="1">
      <c r="A54" s="232" t="s">
        <v>163</v>
      </c>
      <c r="B54" s="233"/>
      <c r="C54" s="233"/>
      <c r="D54" s="233"/>
      <c r="E54" s="233"/>
      <c r="F54" s="233"/>
      <c r="G54" s="233"/>
      <c r="H54" s="234"/>
      <c r="I54" s="21">
        <f>I49+I52</f>
        <v>4590.83</v>
      </c>
    </row>
    <row r="55" spans="1:9" ht="6.75" customHeight="1">
      <c r="A55" s="235"/>
      <c r="B55" s="235"/>
      <c r="C55" s="235"/>
      <c r="D55" s="235"/>
      <c r="E55" s="235"/>
      <c r="F55" s="235"/>
      <c r="G55" s="235"/>
      <c r="H55" s="235"/>
      <c r="I55" s="235"/>
    </row>
    <row r="56" spans="1:9" ht="17.25" customHeight="1">
      <c r="A56" s="236" t="s">
        <v>268</v>
      </c>
      <c r="B56" s="236"/>
      <c r="C56" s="236"/>
      <c r="D56" s="236"/>
      <c r="E56" s="236"/>
      <c r="F56" s="236"/>
      <c r="G56" s="236"/>
      <c r="H56" s="236"/>
      <c r="I56" s="236"/>
    </row>
    <row r="57" spans="1:9" ht="6.75" customHeight="1">
      <c r="A57" s="235"/>
      <c r="B57" s="235"/>
      <c r="C57" s="235"/>
      <c r="D57" s="235"/>
      <c r="E57" s="235"/>
      <c r="F57" s="235"/>
      <c r="G57" s="235"/>
      <c r="H57" s="235"/>
      <c r="I57" s="235"/>
    </row>
    <row r="58" spans="1:9" ht="22.5" customHeight="1">
      <c r="A58" s="237" t="s">
        <v>23</v>
      </c>
      <c r="B58" s="237"/>
      <c r="C58" s="237"/>
      <c r="D58" s="237"/>
      <c r="E58" s="237"/>
      <c r="F58" s="237"/>
      <c r="G58" s="237"/>
      <c r="H58" s="237"/>
      <c r="I58" s="237"/>
    </row>
    <row r="59" spans="1:9" ht="19.5" customHeight="1">
      <c r="A59" s="238" t="s">
        <v>269</v>
      </c>
      <c r="B59" s="238"/>
      <c r="C59" s="238"/>
      <c r="D59" s="238"/>
      <c r="E59" s="238"/>
      <c r="F59" s="238"/>
      <c r="G59" s="238"/>
      <c r="H59" s="238"/>
      <c r="I59" s="238"/>
    </row>
    <row r="60" spans="1:9" ht="18.75" customHeight="1">
      <c r="A60" s="22" t="s">
        <v>24</v>
      </c>
      <c r="B60" s="239" t="s">
        <v>270</v>
      </c>
      <c r="C60" s="239"/>
      <c r="D60" s="239"/>
      <c r="E60" s="239"/>
      <c r="F60" s="239"/>
      <c r="G60" s="239"/>
      <c r="H60" s="239"/>
      <c r="I60" s="23" t="s">
        <v>25</v>
      </c>
    </row>
    <row r="61" spans="1:9" ht="15.75" customHeight="1">
      <c r="A61" s="24" t="s">
        <v>292</v>
      </c>
      <c r="B61" s="240" t="s">
        <v>26</v>
      </c>
      <c r="C61" s="240"/>
      <c r="D61" s="240"/>
      <c r="E61" s="240"/>
      <c r="F61" s="240"/>
      <c r="G61" s="240"/>
      <c r="H61" s="240"/>
      <c r="I61" s="25">
        <f>ROUND($I$49/12,2)</f>
        <v>370.23</v>
      </c>
    </row>
    <row r="62" spans="1:9" ht="15" customHeight="1">
      <c r="A62" s="24" t="s">
        <v>294</v>
      </c>
      <c r="B62" s="241" t="s">
        <v>169</v>
      </c>
      <c r="C62" s="242"/>
      <c r="D62" s="242"/>
      <c r="E62" s="242"/>
      <c r="F62" s="242"/>
      <c r="G62" s="242"/>
      <c r="H62" s="242"/>
      <c r="I62" s="25">
        <f>ROUND(($I$49+$I$49/3)/12,2)</f>
        <v>493.64</v>
      </c>
    </row>
    <row r="63" spans="1:9" ht="16.5" customHeight="1">
      <c r="A63" s="243" t="s">
        <v>27</v>
      </c>
      <c r="B63" s="243"/>
      <c r="C63" s="243"/>
      <c r="D63" s="243"/>
      <c r="E63" s="243"/>
      <c r="F63" s="243"/>
      <c r="G63" s="243"/>
      <c r="H63" s="243"/>
      <c r="I63" s="26">
        <f>SUM(I61+I62)</f>
        <v>863.87</v>
      </c>
    </row>
    <row r="64" spans="1:9" ht="7.5" customHeight="1">
      <c r="A64" s="244"/>
      <c r="B64" s="244"/>
      <c r="C64" s="244"/>
      <c r="D64" s="244"/>
      <c r="E64" s="244"/>
      <c r="F64" s="244"/>
      <c r="G64" s="244"/>
      <c r="H64" s="244"/>
      <c r="I64" s="244"/>
    </row>
    <row r="65" spans="1:9" s="27" customFormat="1" ht="83.25" customHeight="1">
      <c r="A65" s="245" t="s">
        <v>272</v>
      </c>
      <c r="B65" s="246"/>
      <c r="C65" s="246"/>
      <c r="D65" s="246"/>
      <c r="E65" s="246"/>
      <c r="F65" s="246"/>
      <c r="G65" s="246"/>
      <c r="H65" s="246"/>
      <c r="I65" s="247"/>
    </row>
    <row r="66" spans="1:9" s="27" customFormat="1" ht="8.25" customHeight="1">
      <c r="A66" s="248"/>
      <c r="B66" s="248"/>
      <c r="C66" s="248"/>
      <c r="D66" s="248"/>
      <c r="E66" s="248"/>
      <c r="F66" s="248"/>
      <c r="G66" s="248"/>
      <c r="H66" s="248"/>
      <c r="I66" s="248"/>
    </row>
    <row r="67" spans="1:9" s="27" customFormat="1" ht="29.25" customHeight="1">
      <c r="A67" s="249" t="s">
        <v>277</v>
      </c>
      <c r="B67" s="249"/>
      <c r="C67" s="249"/>
      <c r="D67" s="249"/>
      <c r="E67" s="249"/>
      <c r="F67" s="249"/>
      <c r="G67" s="249"/>
      <c r="H67" s="249"/>
      <c r="I67" s="249"/>
    </row>
    <row r="68" spans="1:9" s="27" customFormat="1" ht="26.25" customHeight="1">
      <c r="A68" s="28" t="s">
        <v>28</v>
      </c>
      <c r="B68" s="250" t="s">
        <v>29</v>
      </c>
      <c r="C68" s="250"/>
      <c r="D68" s="250"/>
      <c r="E68" s="250"/>
      <c r="F68" s="250"/>
      <c r="G68" s="250"/>
      <c r="H68" s="5" t="s">
        <v>12</v>
      </c>
      <c r="I68" s="13" t="s">
        <v>30</v>
      </c>
    </row>
    <row r="69" spans="1:9" s="27" customFormat="1" ht="16.5" customHeight="1">
      <c r="A69" s="30" t="s">
        <v>292</v>
      </c>
      <c r="B69" s="251" t="s">
        <v>31</v>
      </c>
      <c r="C69" s="251"/>
      <c r="D69" s="251"/>
      <c r="E69" s="251"/>
      <c r="F69" s="251"/>
      <c r="G69" s="251"/>
      <c r="H69" s="31">
        <v>0.2</v>
      </c>
      <c r="I69" s="32">
        <f>ROUND((I49+I63)*H69,2)</f>
        <v>1061.33</v>
      </c>
    </row>
    <row r="70" spans="1:9" s="27" customFormat="1" ht="19.5" customHeight="1">
      <c r="A70" s="30" t="s">
        <v>294</v>
      </c>
      <c r="B70" s="251" t="s">
        <v>32</v>
      </c>
      <c r="C70" s="251"/>
      <c r="D70" s="251"/>
      <c r="E70" s="251"/>
      <c r="F70" s="251"/>
      <c r="G70" s="251"/>
      <c r="H70" s="33">
        <v>0.025</v>
      </c>
      <c r="I70" s="32">
        <f>ROUND((I49+I63)*H70,2)</f>
        <v>132.67</v>
      </c>
    </row>
    <row r="71" spans="1:9" s="27" customFormat="1" ht="44.25" customHeight="1">
      <c r="A71" s="30" t="s">
        <v>297</v>
      </c>
      <c r="B71" s="187" t="s">
        <v>33</v>
      </c>
      <c r="C71" s="187"/>
      <c r="D71" s="34" t="s">
        <v>36</v>
      </c>
      <c r="E71" s="35">
        <v>0.03</v>
      </c>
      <c r="F71" s="34" t="s">
        <v>37</v>
      </c>
      <c r="G71" s="36">
        <v>1</v>
      </c>
      <c r="H71" s="37">
        <f>ROUND((E71*G71),6)</f>
        <v>0.03</v>
      </c>
      <c r="I71" s="32">
        <f>ROUND((I49+I63)*H71,2)</f>
        <v>159.2</v>
      </c>
    </row>
    <row r="72" spans="1:9" s="27" customFormat="1" ht="15.75" customHeight="1">
      <c r="A72" s="30" t="s">
        <v>300</v>
      </c>
      <c r="B72" s="251" t="s">
        <v>38</v>
      </c>
      <c r="C72" s="251"/>
      <c r="D72" s="251"/>
      <c r="E72" s="251"/>
      <c r="F72" s="251"/>
      <c r="G72" s="251"/>
      <c r="H72" s="31">
        <v>0.015</v>
      </c>
      <c r="I72" s="32">
        <f>ROUND((I49+I63)*H72,2)</f>
        <v>79.6</v>
      </c>
    </row>
    <row r="73" spans="1:9" s="27" customFormat="1" ht="15.75" customHeight="1">
      <c r="A73" s="30" t="s">
        <v>16</v>
      </c>
      <c r="B73" s="251" t="s">
        <v>39</v>
      </c>
      <c r="C73" s="251"/>
      <c r="D73" s="251"/>
      <c r="E73" s="251"/>
      <c r="F73" s="251"/>
      <c r="G73" s="251"/>
      <c r="H73" s="31">
        <v>0.01</v>
      </c>
      <c r="I73" s="32">
        <f>ROUND((I49+I63)*H73,2)</f>
        <v>53.07</v>
      </c>
    </row>
    <row r="74" spans="1:9" ht="15.75" customHeight="1">
      <c r="A74" s="30" t="s">
        <v>18</v>
      </c>
      <c r="B74" s="187" t="s">
        <v>40</v>
      </c>
      <c r="C74" s="187"/>
      <c r="D74" s="187"/>
      <c r="E74" s="187"/>
      <c r="F74" s="187"/>
      <c r="G74" s="187"/>
      <c r="H74" s="33">
        <v>0.006</v>
      </c>
      <c r="I74" s="32">
        <f>ROUND((I49+I63)*H74,2)</f>
        <v>31.84</v>
      </c>
    </row>
    <row r="75" spans="1:9" ht="15.75" customHeight="1">
      <c r="A75" s="30" t="s">
        <v>20</v>
      </c>
      <c r="B75" s="251" t="s">
        <v>41</v>
      </c>
      <c r="C75" s="251"/>
      <c r="D75" s="251"/>
      <c r="E75" s="251"/>
      <c r="F75" s="251"/>
      <c r="G75" s="251"/>
      <c r="H75" s="31">
        <v>0.002</v>
      </c>
      <c r="I75" s="32">
        <f>ROUND((I49+I63)*H75,2)</f>
        <v>10.61</v>
      </c>
    </row>
    <row r="76" spans="1:9" ht="12.75" customHeight="1">
      <c r="A76" s="30" t="s">
        <v>22</v>
      </c>
      <c r="B76" s="187" t="s">
        <v>42</v>
      </c>
      <c r="C76" s="187"/>
      <c r="D76" s="187"/>
      <c r="E76" s="187"/>
      <c r="F76" s="187"/>
      <c r="G76" s="187"/>
      <c r="H76" s="33">
        <v>0.08</v>
      </c>
      <c r="I76" s="32">
        <f>ROUND((I49+I63)*H76,2)</f>
        <v>424.53</v>
      </c>
    </row>
    <row r="77" spans="1:9" ht="18" customHeight="1">
      <c r="A77" s="252" t="s">
        <v>27</v>
      </c>
      <c r="B77" s="252"/>
      <c r="C77" s="252"/>
      <c r="D77" s="252"/>
      <c r="E77" s="252"/>
      <c r="F77" s="252"/>
      <c r="G77" s="252"/>
      <c r="H77" s="38">
        <f>SUM(H69:H76)</f>
        <v>0.36800000000000005</v>
      </c>
      <c r="I77" s="39">
        <f>SUM(I69:I76)</f>
        <v>1952.8499999999997</v>
      </c>
    </row>
    <row r="78" spans="1:9" ht="9.75" customHeight="1">
      <c r="A78" s="40"/>
      <c r="B78" s="41"/>
      <c r="C78" s="41"/>
      <c r="D78" s="41"/>
      <c r="E78" s="41"/>
      <c r="F78" s="41"/>
      <c r="G78" s="41"/>
      <c r="H78" s="42"/>
      <c r="I78" s="43"/>
    </row>
    <row r="79" spans="1:9" ht="39" customHeight="1">
      <c r="A79" s="218" t="s">
        <v>257</v>
      </c>
      <c r="B79" s="218"/>
      <c r="C79" s="218"/>
      <c r="D79" s="218"/>
      <c r="E79" s="218"/>
      <c r="F79" s="218"/>
      <c r="G79" s="218"/>
      <c r="H79" s="218"/>
      <c r="I79" s="218"/>
    </row>
    <row r="80" spans="1:9" ht="8.25" customHeight="1">
      <c r="A80" s="203"/>
      <c r="B80" s="203"/>
      <c r="C80" s="203"/>
      <c r="D80" s="203"/>
      <c r="E80" s="203"/>
      <c r="F80" s="203"/>
      <c r="G80" s="203"/>
      <c r="H80" s="203"/>
      <c r="I80" s="203"/>
    </row>
    <row r="81" spans="1:11" ht="23.25" customHeight="1">
      <c r="A81" s="253" t="s">
        <v>43</v>
      </c>
      <c r="B81" s="253"/>
      <c r="C81" s="253"/>
      <c r="D81" s="253"/>
      <c r="E81" s="253"/>
      <c r="F81" s="253"/>
      <c r="G81" s="253"/>
      <c r="H81" s="253"/>
      <c r="I81" s="253"/>
      <c r="K81" s="1">
        <f>1/12</f>
        <v>0.08333333333333333</v>
      </c>
    </row>
    <row r="82" spans="1:9" ht="21.75" customHeight="1">
      <c r="A82" s="44" t="s">
        <v>44</v>
      </c>
      <c r="B82" s="221" t="s">
        <v>45</v>
      </c>
      <c r="C82" s="221"/>
      <c r="D82" s="221"/>
      <c r="E82" s="221"/>
      <c r="F82" s="221"/>
      <c r="G82" s="221"/>
      <c r="H82" s="221"/>
      <c r="I82" s="13" t="s">
        <v>25</v>
      </c>
    </row>
    <row r="83" spans="1:9" ht="19.5" customHeight="1">
      <c r="A83" s="45" t="s">
        <v>292</v>
      </c>
      <c r="B83" s="254" t="s">
        <v>46</v>
      </c>
      <c r="C83" s="254"/>
      <c r="D83" s="254"/>
      <c r="E83" s="254"/>
      <c r="F83" s="254"/>
      <c r="G83" s="254"/>
      <c r="H83" s="254"/>
      <c r="I83" s="46">
        <f>IF(ROUND((H84*H86*H85)-(I42*H87),2)&lt;0,0,ROUND((H84*H86*H85)-(I42*H87),2))</f>
        <v>108.29</v>
      </c>
    </row>
    <row r="84" spans="1:9" ht="25.5" customHeight="1">
      <c r="A84" s="45"/>
      <c r="B84" s="254" t="s">
        <v>47</v>
      </c>
      <c r="C84" s="254"/>
      <c r="D84" s="254"/>
      <c r="E84" s="254"/>
      <c r="F84" s="254"/>
      <c r="G84" s="254"/>
      <c r="H84" s="47">
        <v>4.7</v>
      </c>
      <c r="I84" s="48" t="s">
        <v>308</v>
      </c>
    </row>
    <row r="85" spans="1:9" ht="19.5" customHeight="1">
      <c r="A85" s="45"/>
      <c r="B85" s="187" t="s">
        <v>48</v>
      </c>
      <c r="C85" s="187"/>
      <c r="D85" s="187"/>
      <c r="E85" s="187"/>
      <c r="F85" s="187"/>
      <c r="G85" s="187"/>
      <c r="H85" s="49">
        <v>2</v>
      </c>
      <c r="I85" s="48" t="s">
        <v>308</v>
      </c>
    </row>
    <row r="86" spans="1:9" ht="14.25" customHeight="1">
      <c r="A86" s="45"/>
      <c r="B86" s="213" t="s">
        <v>49</v>
      </c>
      <c r="C86" s="213"/>
      <c r="D86" s="213"/>
      <c r="E86" s="213"/>
      <c r="F86" s="213"/>
      <c r="G86" s="213"/>
      <c r="H86" s="50">
        <v>30</v>
      </c>
      <c r="I86" s="48"/>
    </row>
    <row r="87" spans="1:9" ht="15.75" customHeight="1">
      <c r="A87" s="45"/>
      <c r="B87" s="213" t="s">
        <v>50</v>
      </c>
      <c r="C87" s="213"/>
      <c r="D87" s="213"/>
      <c r="E87" s="213"/>
      <c r="F87" s="213"/>
      <c r="G87" s="213"/>
      <c r="H87" s="51">
        <v>0.06</v>
      </c>
      <c r="I87" s="48"/>
    </row>
    <row r="88" spans="1:9" ht="15.75" customHeight="1">
      <c r="A88" s="45" t="s">
        <v>294</v>
      </c>
      <c r="B88" s="254" t="s">
        <v>51</v>
      </c>
      <c r="C88" s="254"/>
      <c r="D88" s="254"/>
      <c r="E88" s="254"/>
      <c r="F88" s="254"/>
      <c r="G88" s="254"/>
      <c r="H88" s="254"/>
      <c r="I88" s="52">
        <f>ROUND(H90*H89*(1-H91),2)*1+ROUND(21.726*6*(1-H91),2)*0</f>
        <v>461.52</v>
      </c>
    </row>
    <row r="89" spans="1:9" ht="15.75" customHeight="1">
      <c r="A89" s="45"/>
      <c r="B89" s="254" t="s">
        <v>52</v>
      </c>
      <c r="C89" s="254"/>
      <c r="D89" s="254"/>
      <c r="E89" s="254"/>
      <c r="F89" s="254"/>
      <c r="G89" s="254"/>
      <c r="H89" s="47">
        <v>19.23</v>
      </c>
      <c r="I89" s="48" t="s">
        <v>308</v>
      </c>
    </row>
    <row r="90" spans="1:9" ht="15.75" customHeight="1">
      <c r="A90" s="45"/>
      <c r="B90" s="254" t="s">
        <v>53</v>
      </c>
      <c r="C90" s="254"/>
      <c r="D90" s="254"/>
      <c r="E90" s="254"/>
      <c r="F90" s="254"/>
      <c r="G90" s="254"/>
      <c r="H90" s="50">
        <v>30</v>
      </c>
      <c r="I90" s="48"/>
    </row>
    <row r="91" spans="1:9" ht="15" customHeight="1">
      <c r="A91" s="45"/>
      <c r="B91" s="213" t="s">
        <v>54</v>
      </c>
      <c r="C91" s="213"/>
      <c r="D91" s="213"/>
      <c r="E91" s="213"/>
      <c r="F91" s="213"/>
      <c r="G91" s="213"/>
      <c r="H91" s="51">
        <v>0.2</v>
      </c>
      <c r="I91" s="48"/>
    </row>
    <row r="92" spans="1:9" s="27" customFormat="1" ht="18.75" customHeight="1">
      <c r="A92" s="45" t="s">
        <v>297</v>
      </c>
      <c r="B92" s="254" t="s">
        <v>55</v>
      </c>
      <c r="C92" s="254"/>
      <c r="D92" s="254"/>
      <c r="E92" s="254"/>
      <c r="F92" s="254"/>
      <c r="G92" s="254"/>
      <c r="H92" s="254"/>
      <c r="I92" s="46">
        <v>0</v>
      </c>
    </row>
    <row r="93" spans="1:9" s="27" customFormat="1" ht="24" customHeight="1">
      <c r="A93" s="45" t="s">
        <v>300</v>
      </c>
      <c r="B93" s="254" t="s">
        <v>56</v>
      </c>
      <c r="C93" s="254"/>
      <c r="D93" s="254"/>
      <c r="E93" s="254"/>
      <c r="F93" s="254"/>
      <c r="G93" s="254"/>
      <c r="H93" s="254"/>
      <c r="I93" s="46">
        <f>ROUND($I$49*26*0.00023,2)</f>
        <v>26.57</v>
      </c>
    </row>
    <row r="94" spans="1:9" s="27" customFormat="1" ht="18" customHeight="1">
      <c r="A94" s="45" t="s">
        <v>16</v>
      </c>
      <c r="B94" s="187" t="s">
        <v>57</v>
      </c>
      <c r="C94" s="187"/>
      <c r="D94" s="187"/>
      <c r="E94" s="187"/>
      <c r="F94" s="187"/>
      <c r="G94" s="187"/>
      <c r="H94" s="187"/>
      <c r="I94" s="46">
        <f>ROUND(($I$42*0.0052066)/12,2)</f>
        <v>1.26</v>
      </c>
    </row>
    <row r="95" spans="1:9" s="27" customFormat="1" ht="15" customHeight="1">
      <c r="A95" s="45" t="s">
        <v>18</v>
      </c>
      <c r="B95" s="255" t="s">
        <v>58</v>
      </c>
      <c r="C95" s="255"/>
      <c r="D95" s="255"/>
      <c r="E95" s="255"/>
      <c r="F95" s="255"/>
      <c r="G95" s="255"/>
      <c r="H95" s="255"/>
      <c r="I95" s="53">
        <v>0</v>
      </c>
    </row>
    <row r="96" spans="1:9" s="27" customFormat="1" ht="19.5" customHeight="1">
      <c r="A96" s="54"/>
      <c r="B96" s="256" t="s">
        <v>27</v>
      </c>
      <c r="C96" s="256"/>
      <c r="D96" s="256"/>
      <c r="E96" s="256"/>
      <c r="F96" s="256"/>
      <c r="G96" s="256"/>
      <c r="H96" s="256"/>
      <c r="I96" s="39">
        <f>SUM(I83:I95)</f>
        <v>597.64</v>
      </c>
    </row>
    <row r="97" spans="1:9" s="27" customFormat="1" ht="14.25" customHeight="1">
      <c r="A97" s="203"/>
      <c r="B97" s="203"/>
      <c r="C97" s="203"/>
      <c r="D97" s="203"/>
      <c r="E97" s="203"/>
      <c r="F97" s="203"/>
      <c r="G97" s="203"/>
      <c r="H97" s="203"/>
      <c r="I97" s="203"/>
    </row>
    <row r="98" spans="1:9" s="27" customFormat="1" ht="34.5" customHeight="1">
      <c r="A98" s="218" t="s">
        <v>59</v>
      </c>
      <c r="B98" s="218"/>
      <c r="C98" s="218"/>
      <c r="D98" s="218"/>
      <c r="E98" s="218"/>
      <c r="F98" s="218"/>
      <c r="G98" s="218"/>
      <c r="H98" s="218"/>
      <c r="I98" s="218"/>
    </row>
    <row r="99" spans="1:9" s="27" customFormat="1" ht="15.75" customHeight="1">
      <c r="A99" s="201"/>
      <c r="B99" s="201"/>
      <c r="C99" s="201"/>
      <c r="D99" s="201"/>
      <c r="E99" s="201"/>
      <c r="F99" s="201"/>
      <c r="G99" s="201"/>
      <c r="H99" s="201"/>
      <c r="I99" s="201"/>
    </row>
    <row r="100" spans="1:9" s="27" customFormat="1" ht="14.25" customHeight="1">
      <c r="A100" s="257" t="s">
        <v>60</v>
      </c>
      <c r="B100" s="257"/>
      <c r="C100" s="257"/>
      <c r="D100" s="257"/>
      <c r="E100" s="257"/>
      <c r="F100" s="257"/>
      <c r="G100" s="257"/>
      <c r="H100" s="257"/>
      <c r="I100" s="257"/>
    </row>
    <row r="101" spans="1:9" s="27" customFormat="1" ht="14.25" customHeight="1">
      <c r="A101" s="29">
        <v>2</v>
      </c>
      <c r="B101" s="250" t="s">
        <v>61</v>
      </c>
      <c r="C101" s="250"/>
      <c r="D101" s="250"/>
      <c r="E101" s="250"/>
      <c r="F101" s="250"/>
      <c r="G101" s="250"/>
      <c r="H101" s="250"/>
      <c r="I101" s="29" t="s">
        <v>25</v>
      </c>
    </row>
    <row r="102" spans="1:9" s="27" customFormat="1" ht="15.75" customHeight="1">
      <c r="A102" s="55" t="s">
        <v>24</v>
      </c>
      <c r="B102" s="258" t="s">
        <v>273</v>
      </c>
      <c r="C102" s="258"/>
      <c r="D102" s="258"/>
      <c r="E102" s="258"/>
      <c r="F102" s="258"/>
      <c r="G102" s="258"/>
      <c r="H102" s="258"/>
      <c r="I102" s="56">
        <f>I63</f>
        <v>863.87</v>
      </c>
    </row>
    <row r="103" spans="1:9" s="27" customFormat="1" ht="15.75" customHeight="1">
      <c r="A103" s="55" t="s">
        <v>28</v>
      </c>
      <c r="B103" s="258" t="s">
        <v>29</v>
      </c>
      <c r="C103" s="258"/>
      <c r="D103" s="258"/>
      <c r="E103" s="258"/>
      <c r="F103" s="258"/>
      <c r="G103" s="258"/>
      <c r="H103" s="258"/>
      <c r="I103" s="56">
        <f>I77</f>
        <v>1952.8499999999997</v>
      </c>
    </row>
    <row r="104" spans="1:9" s="27" customFormat="1" ht="14.25" customHeight="1">
      <c r="A104" s="55" t="s">
        <v>44</v>
      </c>
      <c r="B104" s="258" t="s">
        <v>45</v>
      </c>
      <c r="C104" s="258"/>
      <c r="D104" s="258"/>
      <c r="E104" s="258"/>
      <c r="F104" s="258"/>
      <c r="G104" s="258"/>
      <c r="H104" s="258"/>
      <c r="I104" s="56">
        <f>I96</f>
        <v>597.64</v>
      </c>
    </row>
    <row r="105" spans="1:9" s="27" customFormat="1" ht="15" customHeight="1">
      <c r="A105" s="259" t="s">
        <v>27</v>
      </c>
      <c r="B105" s="259"/>
      <c r="C105" s="259"/>
      <c r="D105" s="259"/>
      <c r="E105" s="259"/>
      <c r="F105" s="259"/>
      <c r="G105" s="259"/>
      <c r="H105" s="259"/>
      <c r="I105" s="57">
        <f>SUM(I102+I103+I104)</f>
        <v>3414.3599999999997</v>
      </c>
    </row>
    <row r="106" spans="1:9" s="27" customFormat="1" ht="8.25" customHeight="1">
      <c r="A106" s="260"/>
      <c r="B106" s="260"/>
      <c r="C106" s="260"/>
      <c r="D106" s="260"/>
      <c r="E106" s="260"/>
      <c r="F106" s="260"/>
      <c r="G106" s="260"/>
      <c r="H106" s="260"/>
      <c r="I106" s="260"/>
    </row>
    <row r="107" spans="1:9" s="27" customFormat="1" ht="23.25" customHeight="1">
      <c r="A107" s="261" t="s">
        <v>62</v>
      </c>
      <c r="B107" s="261"/>
      <c r="C107" s="261"/>
      <c r="D107" s="261"/>
      <c r="E107" s="261"/>
      <c r="F107" s="261"/>
      <c r="G107" s="261"/>
      <c r="H107" s="261"/>
      <c r="I107" s="261"/>
    </row>
    <row r="108" spans="1:9" s="27" customFormat="1" ht="15">
      <c r="A108" s="44">
        <v>3</v>
      </c>
      <c r="B108" s="262" t="s">
        <v>63</v>
      </c>
      <c r="C108" s="262"/>
      <c r="D108" s="262"/>
      <c r="E108" s="262"/>
      <c r="F108" s="262"/>
      <c r="G108" s="262"/>
      <c r="H108" s="262"/>
      <c r="I108" s="44" t="s">
        <v>25</v>
      </c>
    </row>
    <row r="109" spans="1:9" s="27" customFormat="1" ht="45.75" customHeight="1">
      <c r="A109" s="45" t="s">
        <v>292</v>
      </c>
      <c r="B109" s="263" t="s">
        <v>64</v>
      </c>
      <c r="C109" s="263"/>
      <c r="D109" s="263"/>
      <c r="E109" s="263"/>
      <c r="F109" s="263"/>
      <c r="G109" s="263"/>
      <c r="H109" s="263"/>
      <c r="I109" s="32">
        <f>ROUND((($I$49/12)+($I$61/12)+($I$49/12/12)+($I$62/12))*(30/30)*0.05,2)</f>
        <v>23.65</v>
      </c>
    </row>
    <row r="110" spans="1:9" s="27" customFormat="1" ht="19.5" customHeight="1">
      <c r="A110" s="45" t="s">
        <v>294</v>
      </c>
      <c r="B110" s="241" t="s">
        <v>65</v>
      </c>
      <c r="C110" s="241"/>
      <c r="D110" s="241"/>
      <c r="E110" s="241"/>
      <c r="F110" s="241"/>
      <c r="G110" s="241"/>
      <c r="H110" s="241"/>
      <c r="I110" s="32">
        <f>ROUND($H$76*I109,2)</f>
        <v>1.89</v>
      </c>
    </row>
    <row r="111" spans="1:9" s="27" customFormat="1" ht="23.25" customHeight="1">
      <c r="A111" s="45" t="s">
        <v>297</v>
      </c>
      <c r="B111" s="251" t="s">
        <v>274</v>
      </c>
      <c r="C111" s="251"/>
      <c r="D111" s="251"/>
      <c r="E111" s="251"/>
      <c r="F111" s="251"/>
      <c r="G111" s="251"/>
      <c r="H111" s="251"/>
      <c r="I111" s="32">
        <f>ROUND((0.08*0.5*SUM($I$49+$I$61+$I$62)*0.05),2)</f>
        <v>10.61</v>
      </c>
    </row>
    <row r="112" spans="1:9" s="27" customFormat="1" ht="26.25" customHeight="1">
      <c r="A112" s="45" t="s">
        <v>300</v>
      </c>
      <c r="B112" s="251" t="s">
        <v>66</v>
      </c>
      <c r="C112" s="251"/>
      <c r="D112" s="251"/>
      <c r="E112" s="251"/>
      <c r="F112" s="251"/>
      <c r="G112" s="251"/>
      <c r="H112" s="251"/>
      <c r="I112" s="32">
        <f>ROUND(((7/30)/$H$11)*$I$49*1,2)</f>
        <v>86.39</v>
      </c>
    </row>
    <row r="113" spans="1:9" s="27" customFormat="1" ht="15.75" customHeight="1">
      <c r="A113" s="45" t="s">
        <v>16</v>
      </c>
      <c r="B113" s="241" t="s">
        <v>258</v>
      </c>
      <c r="C113" s="241"/>
      <c r="D113" s="241"/>
      <c r="E113" s="241"/>
      <c r="F113" s="241"/>
      <c r="G113" s="241"/>
      <c r="H113" s="241"/>
      <c r="I113" s="32">
        <f>ROUND($H$77*I112,2)</f>
        <v>31.79</v>
      </c>
    </row>
    <row r="114" spans="1:9" s="27" customFormat="1" ht="24" customHeight="1">
      <c r="A114" s="45" t="s">
        <v>18</v>
      </c>
      <c r="B114" s="251" t="s">
        <v>275</v>
      </c>
      <c r="C114" s="251"/>
      <c r="D114" s="251"/>
      <c r="E114" s="251"/>
      <c r="F114" s="251"/>
      <c r="G114" s="251"/>
      <c r="H114" s="251"/>
      <c r="I114" s="32">
        <f>ROUND(0.08*0.5*SUM($I$49+$I$61+$I$62)*1,2)</f>
        <v>212.27</v>
      </c>
    </row>
    <row r="115" spans="1:9" ht="16.5" customHeight="1">
      <c r="A115" s="252" t="s">
        <v>67</v>
      </c>
      <c r="B115" s="252"/>
      <c r="C115" s="252"/>
      <c r="D115" s="252"/>
      <c r="E115" s="252"/>
      <c r="F115" s="252"/>
      <c r="G115" s="252"/>
      <c r="H115" s="252"/>
      <c r="I115" s="39">
        <f>SUM(I109:I114)</f>
        <v>366.6</v>
      </c>
    </row>
    <row r="116" spans="1:9" ht="7.5" customHeight="1">
      <c r="A116" s="264"/>
      <c r="B116" s="264"/>
      <c r="C116" s="264"/>
      <c r="D116" s="264"/>
      <c r="E116" s="264"/>
      <c r="F116" s="264"/>
      <c r="G116" s="264"/>
      <c r="H116" s="264"/>
      <c r="I116" s="264"/>
    </row>
    <row r="117" spans="1:9" ht="21" customHeight="1">
      <c r="A117" s="265" t="s">
        <v>68</v>
      </c>
      <c r="B117" s="265"/>
      <c r="C117" s="265"/>
      <c r="D117" s="265"/>
      <c r="E117" s="265"/>
      <c r="F117" s="265"/>
      <c r="G117" s="265"/>
      <c r="H117" s="265"/>
      <c r="I117" s="265"/>
    </row>
    <row r="118" spans="1:9" ht="24" customHeight="1">
      <c r="A118" s="266" t="s">
        <v>259</v>
      </c>
      <c r="B118" s="266"/>
      <c r="C118" s="266"/>
      <c r="D118" s="266"/>
      <c r="E118" s="266"/>
      <c r="F118" s="266"/>
      <c r="G118" s="266"/>
      <c r="H118" s="266"/>
      <c r="I118" s="266"/>
    </row>
    <row r="119" spans="1:9" ht="42" customHeight="1">
      <c r="A119" s="268" t="s">
        <v>153</v>
      </c>
      <c r="B119" s="269"/>
      <c r="C119" s="269"/>
      <c r="D119" s="269"/>
      <c r="E119" s="269"/>
      <c r="F119" s="269"/>
      <c r="G119" s="269"/>
      <c r="H119" s="269"/>
      <c r="I119" s="270"/>
    </row>
    <row r="120" spans="1:9" ht="6.75" customHeight="1">
      <c r="A120" s="271"/>
      <c r="B120" s="272"/>
      <c r="C120" s="272"/>
      <c r="D120" s="272"/>
      <c r="E120" s="272"/>
      <c r="F120" s="272"/>
      <c r="G120" s="272"/>
      <c r="H120" s="272"/>
      <c r="I120" s="273"/>
    </row>
    <row r="121" spans="1:9" ht="42" customHeight="1">
      <c r="A121" s="98" t="s">
        <v>157</v>
      </c>
      <c r="B121" s="100">
        <f>I49</f>
        <v>4442.78</v>
      </c>
      <c r="C121" s="102" t="s">
        <v>155</v>
      </c>
      <c r="D121" s="98" t="s">
        <v>278</v>
      </c>
      <c r="E121" s="100">
        <f>I105</f>
        <v>3414.3599999999997</v>
      </c>
      <c r="F121" s="102" t="s">
        <v>155</v>
      </c>
      <c r="G121" s="98" t="s">
        <v>279</v>
      </c>
      <c r="H121" s="100">
        <f>I115</f>
        <v>366.6</v>
      </c>
      <c r="I121" s="99">
        <f>B121+E121+H121</f>
        <v>8223.74</v>
      </c>
    </row>
    <row r="122" spans="1:9" ht="7.5" customHeight="1">
      <c r="A122" s="267"/>
      <c r="B122" s="267"/>
      <c r="C122" s="267"/>
      <c r="D122" s="267"/>
      <c r="E122" s="267"/>
      <c r="F122" s="267"/>
      <c r="G122" s="267"/>
      <c r="H122" s="267"/>
      <c r="I122" s="267"/>
    </row>
    <row r="123" spans="1:9" ht="26.25" customHeight="1">
      <c r="A123" s="274" t="s">
        <v>276</v>
      </c>
      <c r="B123" s="275"/>
      <c r="C123" s="275"/>
      <c r="D123" s="275"/>
      <c r="E123" s="276"/>
      <c r="F123" s="274" t="s">
        <v>154</v>
      </c>
      <c r="G123" s="276"/>
      <c r="H123" s="103">
        <f>ROUND(I121/30,2)</f>
        <v>274.12</v>
      </c>
      <c r="I123" s="101"/>
    </row>
    <row r="124" spans="1:9" ht="14.25" customHeight="1">
      <c r="A124" s="58" t="s">
        <v>69</v>
      </c>
      <c r="B124" s="262" t="s">
        <v>261</v>
      </c>
      <c r="C124" s="262"/>
      <c r="D124" s="262"/>
      <c r="E124" s="262"/>
      <c r="F124" s="262"/>
      <c r="G124" s="262"/>
      <c r="H124" s="262"/>
      <c r="I124" s="58" t="s">
        <v>25</v>
      </c>
    </row>
    <row r="125" spans="1:9" ht="15.75" customHeight="1">
      <c r="A125" s="45" t="s">
        <v>292</v>
      </c>
      <c r="B125" s="241" t="s">
        <v>262</v>
      </c>
      <c r="C125" s="241"/>
      <c r="D125" s="241"/>
      <c r="E125" s="241"/>
      <c r="F125" s="241"/>
      <c r="G125" s="241"/>
      <c r="H125" s="241"/>
      <c r="I125" s="32">
        <f>ROUND($I$121/12,2)</f>
        <v>685.31</v>
      </c>
    </row>
    <row r="126" spans="1:9" ht="17.25" customHeight="1">
      <c r="A126" s="45" t="s">
        <v>294</v>
      </c>
      <c r="B126" s="251" t="s">
        <v>150</v>
      </c>
      <c r="C126" s="251"/>
      <c r="D126" s="251"/>
      <c r="E126" s="251"/>
      <c r="F126" s="251"/>
      <c r="G126" s="251"/>
      <c r="H126" s="251"/>
      <c r="I126" s="32">
        <f>ROUND((1/30)/12*($I$121),2)</f>
        <v>22.84</v>
      </c>
    </row>
    <row r="127" spans="1:9" ht="24.75" customHeight="1">
      <c r="A127" s="45" t="s">
        <v>297</v>
      </c>
      <c r="B127" s="251" t="s">
        <v>263</v>
      </c>
      <c r="C127" s="251"/>
      <c r="D127" s="251"/>
      <c r="E127" s="251"/>
      <c r="F127" s="251"/>
      <c r="G127" s="251"/>
      <c r="H127" s="251"/>
      <c r="I127" s="32">
        <f>ROUND((5/30)/12*0.015*($I$121),2)</f>
        <v>1.71</v>
      </c>
    </row>
    <row r="128" spans="1:9" ht="24.75" customHeight="1">
      <c r="A128" s="45" t="s">
        <v>300</v>
      </c>
      <c r="B128" s="251" t="s">
        <v>264</v>
      </c>
      <c r="C128" s="251"/>
      <c r="D128" s="251"/>
      <c r="E128" s="251"/>
      <c r="F128" s="251"/>
      <c r="G128" s="251"/>
      <c r="H128" s="251"/>
      <c r="I128" s="32">
        <f>ROUND(((15/30)/12)*0.0078*($I$121),2)</f>
        <v>2.67</v>
      </c>
    </row>
    <row r="129" spans="1:9" ht="24.75" customHeight="1">
      <c r="A129" s="45" t="s">
        <v>16</v>
      </c>
      <c r="B129" s="187" t="s">
        <v>160</v>
      </c>
      <c r="C129" s="187"/>
      <c r="D129" s="187"/>
      <c r="E129" s="187"/>
      <c r="F129" s="187"/>
      <c r="G129" s="187"/>
      <c r="H129" s="187"/>
      <c r="I129" s="32">
        <f>ROUND(((((I49+I49/3)/12)+(I77+I96+I115))*4/12)*0.02,2)</f>
        <v>22.74</v>
      </c>
    </row>
    <row r="130" spans="1:9" ht="27.75" customHeight="1">
      <c r="A130" s="45" t="s">
        <v>18</v>
      </c>
      <c r="B130" s="251" t="s">
        <v>156</v>
      </c>
      <c r="C130" s="251"/>
      <c r="D130" s="251"/>
      <c r="E130" s="251"/>
      <c r="F130" s="251"/>
      <c r="G130" s="251"/>
      <c r="H130" s="251"/>
      <c r="I130" s="32">
        <f>ROUND(((3/30)/12)*($I$121),2)</f>
        <v>68.53</v>
      </c>
    </row>
    <row r="131" spans="1:9" ht="15.75" customHeight="1">
      <c r="A131" s="252" t="s">
        <v>27</v>
      </c>
      <c r="B131" s="252"/>
      <c r="C131" s="252"/>
      <c r="D131" s="252"/>
      <c r="E131" s="252"/>
      <c r="F131" s="252"/>
      <c r="G131" s="252"/>
      <c r="H131" s="252"/>
      <c r="I131" s="39">
        <f>SUM(I125:I130)</f>
        <v>803.8</v>
      </c>
    </row>
    <row r="132" spans="1:9" ht="7.5" customHeight="1">
      <c r="A132" s="278"/>
      <c r="B132" s="278"/>
      <c r="C132" s="278"/>
      <c r="D132" s="278"/>
      <c r="E132" s="278"/>
      <c r="F132" s="278"/>
      <c r="G132" s="278"/>
      <c r="H132" s="278"/>
      <c r="I132" s="278"/>
    </row>
    <row r="133" spans="1:9" ht="15.75" customHeight="1">
      <c r="A133" s="253" t="s">
        <v>285</v>
      </c>
      <c r="B133" s="253"/>
      <c r="C133" s="253"/>
      <c r="D133" s="253"/>
      <c r="E133" s="253"/>
      <c r="F133" s="253"/>
      <c r="G133" s="253"/>
      <c r="H133" s="253"/>
      <c r="I133" s="253"/>
    </row>
    <row r="134" spans="1:9" ht="15.75" customHeight="1">
      <c r="A134" s="59" t="s">
        <v>70</v>
      </c>
      <c r="B134" s="279" t="s">
        <v>286</v>
      </c>
      <c r="C134" s="279"/>
      <c r="D134" s="279"/>
      <c r="E134" s="279"/>
      <c r="F134" s="279"/>
      <c r="G134" s="279"/>
      <c r="H134" s="279"/>
      <c r="I134" s="60" t="s">
        <v>25</v>
      </c>
    </row>
    <row r="135" spans="1:9" ht="15.75" customHeight="1">
      <c r="A135" s="24" t="s">
        <v>292</v>
      </c>
      <c r="B135" s="240" t="s">
        <v>287</v>
      </c>
      <c r="C135" s="240"/>
      <c r="D135" s="240"/>
      <c r="E135" s="240"/>
      <c r="F135" s="240"/>
      <c r="G135" s="240"/>
      <c r="H135" s="240"/>
      <c r="I135" s="61">
        <v>0</v>
      </c>
    </row>
    <row r="136" spans="1:9" ht="15.75" customHeight="1">
      <c r="A136" s="277" t="s">
        <v>27</v>
      </c>
      <c r="B136" s="277"/>
      <c r="C136" s="277"/>
      <c r="D136" s="277"/>
      <c r="E136" s="277"/>
      <c r="F136" s="277"/>
      <c r="G136" s="277"/>
      <c r="H136" s="277"/>
      <c r="I136" s="61">
        <v>0</v>
      </c>
    </row>
    <row r="137" spans="1:9" ht="9" customHeight="1">
      <c r="A137" s="278"/>
      <c r="B137" s="278"/>
      <c r="C137" s="278"/>
      <c r="D137" s="278"/>
      <c r="E137" s="278"/>
      <c r="F137" s="278"/>
      <c r="G137" s="278"/>
      <c r="H137" s="278"/>
      <c r="I137" s="278"/>
    </row>
    <row r="138" spans="1:9" ht="18.75" customHeight="1">
      <c r="A138" s="237" t="s">
        <v>71</v>
      </c>
      <c r="B138" s="237"/>
      <c r="C138" s="237"/>
      <c r="D138" s="237"/>
      <c r="E138" s="237"/>
      <c r="F138" s="237"/>
      <c r="G138" s="237"/>
      <c r="H138" s="237"/>
      <c r="I138" s="237"/>
    </row>
    <row r="139" spans="1:9" ht="21.75" customHeight="1">
      <c r="A139" s="29">
        <v>4</v>
      </c>
      <c r="B139" s="279" t="s">
        <v>72</v>
      </c>
      <c r="C139" s="279"/>
      <c r="D139" s="279"/>
      <c r="E139" s="279"/>
      <c r="F139" s="279"/>
      <c r="G139" s="279"/>
      <c r="H139" s="279"/>
      <c r="I139" s="60" t="s">
        <v>25</v>
      </c>
    </row>
    <row r="140" spans="1:9" ht="17.25" customHeight="1">
      <c r="A140" s="62" t="s">
        <v>69</v>
      </c>
      <c r="B140" s="240" t="s">
        <v>261</v>
      </c>
      <c r="C140" s="240"/>
      <c r="D140" s="240"/>
      <c r="E140" s="240"/>
      <c r="F140" s="240"/>
      <c r="G140" s="240"/>
      <c r="H140" s="240"/>
      <c r="I140" s="61">
        <f>I131</f>
        <v>803.8</v>
      </c>
    </row>
    <row r="141" spans="1:9" ht="16.5" customHeight="1">
      <c r="A141" s="62" t="s">
        <v>73</v>
      </c>
      <c r="B141" s="240" t="s">
        <v>286</v>
      </c>
      <c r="C141" s="240"/>
      <c r="D141" s="240"/>
      <c r="E141" s="240"/>
      <c r="F141" s="240"/>
      <c r="G141" s="240"/>
      <c r="H141" s="240"/>
      <c r="I141" s="61">
        <f>I136</f>
        <v>0</v>
      </c>
    </row>
    <row r="142" spans="1:9" s="27" customFormat="1" ht="14.25" customHeight="1">
      <c r="A142" s="280" t="s">
        <v>27</v>
      </c>
      <c r="B142" s="280"/>
      <c r="C142" s="280"/>
      <c r="D142" s="280"/>
      <c r="E142" s="280"/>
      <c r="F142" s="280"/>
      <c r="G142" s="280"/>
      <c r="H142" s="280"/>
      <c r="I142" s="26">
        <f>SUM(I140+I141)</f>
        <v>803.8</v>
      </c>
    </row>
    <row r="143" spans="1:9" ht="6.75" customHeight="1">
      <c r="A143" s="264"/>
      <c r="B143" s="264"/>
      <c r="C143" s="264"/>
      <c r="D143" s="264"/>
      <c r="E143" s="264"/>
      <c r="F143" s="264"/>
      <c r="G143" s="264"/>
      <c r="H143" s="264"/>
      <c r="I143" s="264"/>
    </row>
    <row r="144" spans="1:9" ht="27" customHeight="1">
      <c r="A144" s="265" t="s">
        <v>74</v>
      </c>
      <c r="B144" s="265"/>
      <c r="C144" s="265"/>
      <c r="D144" s="265"/>
      <c r="E144" s="265"/>
      <c r="F144" s="265"/>
      <c r="G144" s="265"/>
      <c r="H144" s="265"/>
      <c r="I144" s="265"/>
    </row>
    <row r="145" spans="1:9" ht="15.75" customHeight="1">
      <c r="A145" s="44">
        <v>3</v>
      </c>
      <c r="B145" s="221" t="s">
        <v>75</v>
      </c>
      <c r="C145" s="221"/>
      <c r="D145" s="221"/>
      <c r="E145" s="221"/>
      <c r="F145" s="221"/>
      <c r="G145" s="221"/>
      <c r="H145" s="221"/>
      <c r="I145" s="44" t="s">
        <v>25</v>
      </c>
    </row>
    <row r="146" spans="1:9" ht="27.75" customHeight="1">
      <c r="A146" s="45" t="s">
        <v>292</v>
      </c>
      <c r="B146" s="187" t="s">
        <v>34</v>
      </c>
      <c r="C146" s="187"/>
      <c r="D146" s="187"/>
      <c r="E146" s="187"/>
      <c r="F146" s="187"/>
      <c r="G146" s="187"/>
      <c r="H146" s="187"/>
      <c r="I146" s="46">
        <v>82</v>
      </c>
    </row>
    <row r="147" spans="1:9" ht="18.75" customHeight="1">
      <c r="A147" s="45" t="s">
        <v>294</v>
      </c>
      <c r="B147" s="187" t="s">
        <v>76</v>
      </c>
      <c r="C147" s="187"/>
      <c r="D147" s="187"/>
      <c r="E147" s="187"/>
      <c r="F147" s="187"/>
      <c r="G147" s="187"/>
      <c r="H147" s="187"/>
      <c r="I147" s="53">
        <v>151</v>
      </c>
    </row>
    <row r="148" spans="1:9" ht="15" customHeight="1">
      <c r="A148" s="45" t="s">
        <v>297</v>
      </c>
      <c r="B148" s="187" t="s">
        <v>58</v>
      </c>
      <c r="C148" s="187"/>
      <c r="D148" s="187"/>
      <c r="E148" s="187"/>
      <c r="F148" s="187"/>
      <c r="G148" s="187"/>
      <c r="H148" s="187"/>
      <c r="I148" s="53" t="s">
        <v>77</v>
      </c>
    </row>
    <row r="149" spans="1:9" ht="15.75" customHeight="1">
      <c r="A149" s="252" t="s">
        <v>78</v>
      </c>
      <c r="B149" s="252"/>
      <c r="C149" s="252"/>
      <c r="D149" s="252"/>
      <c r="E149" s="252"/>
      <c r="F149" s="252"/>
      <c r="G149" s="252"/>
      <c r="H149" s="252"/>
      <c r="I149" s="63">
        <f>ROUND(SUM(I146:I148),2)</f>
        <v>233</v>
      </c>
    </row>
    <row r="150" spans="1:9" ht="6.75" customHeight="1">
      <c r="A150" s="281"/>
      <c r="B150" s="281"/>
      <c r="C150" s="281"/>
      <c r="D150" s="281"/>
      <c r="E150" s="281"/>
      <c r="F150" s="281"/>
      <c r="G150" s="281"/>
      <c r="H150" s="281"/>
      <c r="I150" s="281"/>
    </row>
    <row r="151" spans="1:9" ht="12">
      <c r="A151" s="282" t="s">
        <v>79</v>
      </c>
      <c r="B151" s="282"/>
      <c r="C151" s="282"/>
      <c r="D151" s="282"/>
      <c r="E151" s="282"/>
      <c r="F151" s="282"/>
      <c r="G151" s="282"/>
      <c r="H151" s="282"/>
      <c r="I151" s="282"/>
    </row>
    <row r="152" spans="1:9" ht="6.75" customHeight="1">
      <c r="A152" s="64"/>
      <c r="B152" s="65"/>
      <c r="C152" s="65"/>
      <c r="D152" s="65"/>
      <c r="E152" s="65"/>
      <c r="F152" s="65"/>
      <c r="G152" s="65"/>
      <c r="H152" s="65"/>
      <c r="I152" s="66"/>
    </row>
    <row r="153" spans="1:9" ht="21" customHeight="1">
      <c r="A153" s="261" t="s">
        <v>80</v>
      </c>
      <c r="B153" s="261"/>
      <c r="C153" s="261"/>
      <c r="D153" s="261"/>
      <c r="E153" s="261"/>
      <c r="F153" s="261"/>
      <c r="G153" s="261"/>
      <c r="H153" s="261"/>
      <c r="I153" s="261"/>
    </row>
    <row r="154" spans="1:9" ht="30">
      <c r="A154" s="44">
        <v>6</v>
      </c>
      <c r="B154" s="262" t="s">
        <v>81</v>
      </c>
      <c r="C154" s="262"/>
      <c r="D154" s="262"/>
      <c r="E154" s="262"/>
      <c r="F154" s="262"/>
      <c r="G154" s="262"/>
      <c r="H154" s="5" t="s">
        <v>12</v>
      </c>
      <c r="I154" s="67" t="s">
        <v>30</v>
      </c>
    </row>
    <row r="155" spans="1:9" ht="50.25" customHeight="1">
      <c r="A155" s="283" t="s">
        <v>82</v>
      </c>
      <c r="B155" s="283"/>
      <c r="C155" s="283"/>
      <c r="D155" s="283"/>
      <c r="E155" s="283"/>
      <c r="F155" s="283"/>
      <c r="G155" s="283"/>
      <c r="H155" s="68" t="s">
        <v>308</v>
      </c>
      <c r="I155" s="69">
        <f>SUM(I54+I105+I115+I142+I149)</f>
        <v>9408.589999999998</v>
      </c>
    </row>
    <row r="156" spans="1:9" ht="15">
      <c r="A156" s="45" t="s">
        <v>292</v>
      </c>
      <c r="B156" s="284" t="s">
        <v>83</v>
      </c>
      <c r="C156" s="284"/>
      <c r="D156" s="284"/>
      <c r="E156" s="284"/>
      <c r="F156" s="284"/>
      <c r="G156" s="284"/>
      <c r="H156" s="33">
        <v>0.06</v>
      </c>
      <c r="I156" s="32">
        <f>ROUND(H156*I155,2)</f>
        <v>564.52</v>
      </c>
    </row>
    <row r="157" spans="1:9" ht="48.75" customHeight="1">
      <c r="A157" s="283" t="s">
        <v>84</v>
      </c>
      <c r="B157" s="283"/>
      <c r="C157" s="283"/>
      <c r="D157" s="283"/>
      <c r="E157" s="283"/>
      <c r="F157" s="283"/>
      <c r="G157" s="283"/>
      <c r="H157" s="70" t="s">
        <v>308</v>
      </c>
      <c r="I157" s="69">
        <f>SUM(I54+I105+I115+I142+I149+I156)</f>
        <v>9973.109999999999</v>
      </c>
    </row>
    <row r="158" spans="1:9" ht="15">
      <c r="A158" s="45" t="s">
        <v>294</v>
      </c>
      <c r="B158" s="284" t="s">
        <v>85</v>
      </c>
      <c r="C158" s="284"/>
      <c r="D158" s="284"/>
      <c r="E158" s="284"/>
      <c r="F158" s="284"/>
      <c r="G158" s="284"/>
      <c r="H158" s="33">
        <v>0.0679</v>
      </c>
      <c r="I158" s="32">
        <f>ROUND(H158*I157,2)</f>
        <v>677.17</v>
      </c>
    </row>
    <row r="159" spans="1:9" ht="52.5" customHeight="1">
      <c r="A159" s="283" t="s">
        <v>86</v>
      </c>
      <c r="B159" s="283"/>
      <c r="C159" s="283"/>
      <c r="D159" s="283"/>
      <c r="E159" s="283"/>
      <c r="F159" s="283"/>
      <c r="G159" s="283"/>
      <c r="H159" s="70" t="s">
        <v>308</v>
      </c>
      <c r="I159" s="69">
        <f>SUM(I54+I105+I115+I142+I149+I156+I158)</f>
        <v>10650.279999999999</v>
      </c>
    </row>
    <row r="160" spans="1:9" ht="22.5" customHeight="1">
      <c r="A160" s="71" t="s">
        <v>297</v>
      </c>
      <c r="B160" s="285" t="s">
        <v>87</v>
      </c>
      <c r="C160" s="285"/>
      <c r="D160" s="285"/>
      <c r="E160" s="285"/>
      <c r="F160" s="285"/>
      <c r="G160" s="285"/>
      <c r="H160" s="72" t="s">
        <v>308</v>
      </c>
      <c r="I160" s="18" t="s">
        <v>308</v>
      </c>
    </row>
    <row r="161" spans="1:9" ht="18" customHeight="1">
      <c r="A161" s="45"/>
      <c r="B161" s="286" t="s">
        <v>88</v>
      </c>
      <c r="C161" s="286"/>
      <c r="D161" s="286"/>
      <c r="E161" s="286"/>
      <c r="F161" s="286"/>
      <c r="G161" s="286"/>
      <c r="H161" s="72" t="s">
        <v>308</v>
      </c>
      <c r="I161" s="18" t="s">
        <v>308</v>
      </c>
    </row>
    <row r="162" spans="1:9" ht="25.5" customHeight="1">
      <c r="A162" s="45"/>
      <c r="B162" s="287" t="s">
        <v>89</v>
      </c>
      <c r="C162" s="287"/>
      <c r="D162" s="287"/>
      <c r="E162" s="287"/>
      <c r="F162" s="287"/>
      <c r="G162" s="287"/>
      <c r="H162" s="73">
        <v>0.03</v>
      </c>
      <c r="I162" s="74">
        <f>ROUND(($I$159/(1-$H$171))*H162,2)</f>
        <v>340.45</v>
      </c>
    </row>
    <row r="163" spans="1:9" ht="27" customHeight="1">
      <c r="A163" s="45"/>
      <c r="B163" s="287" t="s">
        <v>90</v>
      </c>
      <c r="C163" s="287"/>
      <c r="D163" s="287"/>
      <c r="E163" s="287"/>
      <c r="F163" s="287"/>
      <c r="G163" s="287"/>
      <c r="H163" s="73">
        <v>0.0065</v>
      </c>
      <c r="I163" s="74">
        <f>ROUND(($I$159/(1-$H$171))*H163,2)</f>
        <v>73.76</v>
      </c>
    </row>
    <row r="164" spans="1:9" ht="23.25" customHeight="1">
      <c r="A164" s="45"/>
      <c r="B164" s="263" t="s">
        <v>91</v>
      </c>
      <c r="C164" s="263"/>
      <c r="D164" s="263"/>
      <c r="E164" s="263"/>
      <c r="F164" s="263"/>
      <c r="G164" s="263"/>
      <c r="H164" s="75" t="s">
        <v>308</v>
      </c>
      <c r="I164" s="18" t="s">
        <v>308</v>
      </c>
    </row>
    <row r="165" spans="1:9" ht="24" customHeight="1">
      <c r="A165" s="45"/>
      <c r="B165" s="263" t="s">
        <v>92</v>
      </c>
      <c r="C165" s="263"/>
      <c r="D165" s="263"/>
      <c r="E165" s="263"/>
      <c r="F165" s="263"/>
      <c r="G165" s="263"/>
      <c r="H165" s="75" t="s">
        <v>308</v>
      </c>
      <c r="I165" s="18" t="s">
        <v>308</v>
      </c>
    </row>
    <row r="166" spans="1:9" ht="15" customHeight="1">
      <c r="A166" s="45"/>
      <c r="B166" s="288" t="s">
        <v>93</v>
      </c>
      <c r="C166" s="288"/>
      <c r="D166" s="288"/>
      <c r="E166" s="288"/>
      <c r="F166" s="288"/>
      <c r="G166" s="288"/>
      <c r="H166" s="76" t="s">
        <v>308</v>
      </c>
      <c r="I166" s="77" t="s">
        <v>308</v>
      </c>
    </row>
    <row r="167" spans="1:9" ht="15.75" customHeight="1">
      <c r="A167" s="45"/>
      <c r="B167" s="288" t="s">
        <v>94</v>
      </c>
      <c r="C167" s="288"/>
      <c r="D167" s="288"/>
      <c r="E167" s="288"/>
      <c r="F167" s="288"/>
      <c r="G167" s="288"/>
      <c r="H167" s="76" t="s">
        <v>308</v>
      </c>
      <c r="I167" s="77" t="s">
        <v>308</v>
      </c>
    </row>
    <row r="168" spans="1:9" ht="14.25" customHeight="1">
      <c r="A168" s="45"/>
      <c r="B168" s="251" t="s">
        <v>95</v>
      </c>
      <c r="C168" s="251"/>
      <c r="D168" s="251"/>
      <c r="E168" s="251"/>
      <c r="F168" s="251"/>
      <c r="G168" s="251"/>
      <c r="H168" s="73">
        <v>0.025</v>
      </c>
      <c r="I168" s="74">
        <f>ROUND(($I$159/(1-$H$171))*H168,2)</f>
        <v>283.7</v>
      </c>
    </row>
    <row r="169" spans="1:9" ht="15.75" customHeight="1">
      <c r="A169" s="252" t="s">
        <v>67</v>
      </c>
      <c r="B169" s="252"/>
      <c r="C169" s="252"/>
      <c r="D169" s="252"/>
      <c r="E169" s="252"/>
      <c r="F169" s="252"/>
      <c r="G169" s="252"/>
      <c r="H169" s="252"/>
      <c r="I169" s="39">
        <f>SUM(I156+I158+I162+I163+I168)</f>
        <v>1939.6000000000001</v>
      </c>
    </row>
    <row r="170" spans="1:9" ht="6.75" customHeight="1">
      <c r="A170" s="264"/>
      <c r="B170" s="264"/>
      <c r="C170" s="264"/>
      <c r="D170" s="264"/>
      <c r="E170" s="264"/>
      <c r="F170" s="264"/>
      <c r="G170" s="264"/>
      <c r="H170" s="264"/>
      <c r="I170" s="264"/>
    </row>
    <row r="171" spans="1:9" ht="18.75" customHeight="1">
      <c r="A171" s="289" t="s">
        <v>96</v>
      </c>
      <c r="B171" s="289"/>
      <c r="C171" s="289"/>
      <c r="D171" s="289"/>
      <c r="E171" s="289"/>
      <c r="F171" s="289"/>
      <c r="G171" s="289"/>
      <c r="H171" s="78">
        <f>SUM(H162:H168)</f>
        <v>0.0615</v>
      </c>
      <c r="I171" s="79">
        <f>SUM(I162:I168)</f>
        <v>697.91</v>
      </c>
    </row>
    <row r="172" spans="1:9" ht="13.5" customHeight="1">
      <c r="A172" s="290" t="s">
        <v>97</v>
      </c>
      <c r="B172" s="290"/>
      <c r="C172" s="291" t="s">
        <v>98</v>
      </c>
      <c r="D172" s="291"/>
      <c r="E172" s="291"/>
      <c r="F172" s="291"/>
      <c r="G172" s="291"/>
      <c r="H172" s="291"/>
      <c r="I172" s="291"/>
    </row>
    <row r="173" spans="1:9" ht="6.75" customHeight="1">
      <c r="A173" s="290"/>
      <c r="B173" s="290"/>
      <c r="C173" s="292" t="s">
        <v>99</v>
      </c>
      <c r="D173" s="292"/>
      <c r="E173" s="292"/>
      <c r="F173" s="292"/>
      <c r="G173" s="292"/>
      <c r="H173" s="292"/>
      <c r="I173" s="292"/>
    </row>
    <row r="174" spans="1:9" ht="24" customHeight="1">
      <c r="A174" s="290"/>
      <c r="B174" s="290"/>
      <c r="C174" s="293" t="s">
        <v>100</v>
      </c>
      <c r="D174" s="293"/>
      <c r="E174" s="293"/>
      <c r="F174" s="293"/>
      <c r="G174" s="293"/>
      <c r="H174" s="293"/>
      <c r="I174" s="293"/>
    </row>
    <row r="175" spans="1:9" ht="5.25" customHeight="1">
      <c r="A175" s="294"/>
      <c r="B175" s="294"/>
      <c r="C175" s="294"/>
      <c r="D175" s="294"/>
      <c r="E175" s="294"/>
      <c r="F175" s="294"/>
      <c r="G175" s="294"/>
      <c r="H175" s="294"/>
      <c r="I175" s="294"/>
    </row>
    <row r="176" spans="1:9" ht="27.75" customHeight="1">
      <c r="A176" s="295" t="s">
        <v>101</v>
      </c>
      <c r="B176" s="295"/>
      <c r="C176" s="295"/>
      <c r="D176" s="295"/>
      <c r="E176" s="295"/>
      <c r="F176" s="295"/>
      <c r="G176" s="295"/>
      <c r="H176" s="295"/>
      <c r="I176" s="295"/>
    </row>
    <row r="177" spans="1:9" ht="8.25" customHeight="1">
      <c r="A177" s="264"/>
      <c r="B177" s="264"/>
      <c r="C177" s="264"/>
      <c r="D177" s="264"/>
      <c r="E177" s="264"/>
      <c r="F177" s="264"/>
      <c r="G177" s="264"/>
      <c r="H177" s="264"/>
      <c r="I177" s="264"/>
    </row>
    <row r="178" spans="1:11" ht="20.25" customHeight="1">
      <c r="A178" s="296" t="s">
        <v>102</v>
      </c>
      <c r="B178" s="296"/>
      <c r="C178" s="296"/>
      <c r="D178" s="296"/>
      <c r="E178" s="296"/>
      <c r="F178" s="296"/>
      <c r="G178" s="296"/>
      <c r="H178" s="296"/>
      <c r="I178" s="296"/>
      <c r="K178" s="80"/>
    </row>
    <row r="179" spans="1:9" ht="15" customHeight="1">
      <c r="A179" s="189" t="s">
        <v>103</v>
      </c>
      <c r="B179" s="189"/>
      <c r="C179" s="189"/>
      <c r="D179" s="189"/>
      <c r="E179" s="189"/>
      <c r="F179" s="189"/>
      <c r="G179" s="189"/>
      <c r="H179" s="189"/>
      <c r="I179" s="5" t="s">
        <v>25</v>
      </c>
    </row>
    <row r="180" spans="1:9" ht="15" customHeight="1">
      <c r="A180" s="81" t="s">
        <v>292</v>
      </c>
      <c r="B180" s="297" t="s">
        <v>104</v>
      </c>
      <c r="C180" s="297"/>
      <c r="D180" s="297"/>
      <c r="E180" s="297"/>
      <c r="F180" s="297"/>
      <c r="G180" s="297"/>
      <c r="H180" s="297"/>
      <c r="I180" s="53">
        <f>I54</f>
        <v>4590.83</v>
      </c>
    </row>
    <row r="181" spans="1:9" ht="15" customHeight="1">
      <c r="A181" s="81" t="s">
        <v>294</v>
      </c>
      <c r="B181" s="297" t="s">
        <v>105</v>
      </c>
      <c r="C181" s="297"/>
      <c r="D181" s="297"/>
      <c r="E181" s="297"/>
      <c r="F181" s="297"/>
      <c r="G181" s="297"/>
      <c r="H181" s="297"/>
      <c r="I181" s="53">
        <f>I105</f>
        <v>3414.3599999999997</v>
      </c>
    </row>
    <row r="182" spans="1:9" ht="15" customHeight="1">
      <c r="A182" s="81" t="s">
        <v>297</v>
      </c>
      <c r="B182" s="297" t="s">
        <v>106</v>
      </c>
      <c r="C182" s="297"/>
      <c r="D182" s="297"/>
      <c r="E182" s="297"/>
      <c r="F182" s="297"/>
      <c r="G182" s="297"/>
      <c r="H182" s="297"/>
      <c r="I182" s="53">
        <f>I115</f>
        <v>366.6</v>
      </c>
    </row>
    <row r="183" spans="1:9" ht="15" customHeight="1">
      <c r="A183" s="81" t="s">
        <v>300</v>
      </c>
      <c r="B183" s="297" t="s">
        <v>107</v>
      </c>
      <c r="C183" s="297"/>
      <c r="D183" s="297"/>
      <c r="E183" s="297"/>
      <c r="F183" s="297"/>
      <c r="G183" s="297"/>
      <c r="H183" s="297"/>
      <c r="I183" s="53">
        <f>I142</f>
        <v>803.8</v>
      </c>
    </row>
    <row r="184" spans="1:9" ht="15" customHeight="1">
      <c r="A184" s="81" t="s">
        <v>16</v>
      </c>
      <c r="B184" s="297" t="s">
        <v>108</v>
      </c>
      <c r="C184" s="297"/>
      <c r="D184" s="297"/>
      <c r="E184" s="297"/>
      <c r="F184" s="297"/>
      <c r="G184" s="297"/>
      <c r="H184" s="297"/>
      <c r="I184" s="53">
        <f>I149</f>
        <v>233</v>
      </c>
    </row>
    <row r="185" spans="1:9" ht="15" customHeight="1">
      <c r="A185" s="298" t="s">
        <v>109</v>
      </c>
      <c r="B185" s="298"/>
      <c r="C185" s="298"/>
      <c r="D185" s="298"/>
      <c r="E185" s="298"/>
      <c r="F185" s="298"/>
      <c r="G185" s="298"/>
      <c r="H185" s="298"/>
      <c r="I185" s="53">
        <f>SUM(I180:I184)</f>
        <v>9408.589999999998</v>
      </c>
    </row>
    <row r="186" spans="1:9" ht="15.75" customHeight="1">
      <c r="A186" s="82" t="s">
        <v>18</v>
      </c>
      <c r="B186" s="297" t="s">
        <v>80</v>
      </c>
      <c r="C186" s="297"/>
      <c r="D186" s="297"/>
      <c r="E186" s="297"/>
      <c r="F186" s="297"/>
      <c r="G186" s="297"/>
      <c r="H186" s="297"/>
      <c r="I186" s="63">
        <f>I169</f>
        <v>1939.6000000000001</v>
      </c>
    </row>
    <row r="187" spans="1:9" ht="16.5" customHeight="1">
      <c r="A187" s="298" t="s">
        <v>110</v>
      </c>
      <c r="B187" s="298"/>
      <c r="C187" s="298"/>
      <c r="D187" s="298"/>
      <c r="E187" s="298"/>
      <c r="F187" s="298"/>
      <c r="G187" s="298"/>
      <c r="H187" s="298"/>
      <c r="I187" s="53">
        <f>I185+I186</f>
        <v>11348.189999999999</v>
      </c>
    </row>
    <row r="188" spans="1:13" ht="31.5" customHeight="1">
      <c r="A188" s="299" t="s">
        <v>111</v>
      </c>
      <c r="B188" s="299"/>
      <c r="C188" s="299"/>
      <c r="D188" s="299"/>
      <c r="E188" s="299"/>
      <c r="F188" s="299"/>
      <c r="G188" s="299"/>
      <c r="H188" s="299"/>
      <c r="I188" s="299"/>
      <c r="J188" s="83"/>
      <c r="K188" s="84"/>
      <c r="L188" s="85"/>
      <c r="M188" s="86"/>
    </row>
    <row r="189" spans="1:9" ht="8.25" customHeight="1">
      <c r="A189" s="300"/>
      <c r="B189" s="300"/>
      <c r="C189" s="300"/>
      <c r="D189" s="300"/>
      <c r="E189" s="300"/>
      <c r="F189" s="300"/>
      <c r="G189" s="300"/>
      <c r="H189" s="300"/>
      <c r="I189" s="300"/>
    </row>
    <row r="190" spans="1:256" ht="33" customHeight="1">
      <c r="A190" s="301" t="s">
        <v>112</v>
      </c>
      <c r="B190" s="301"/>
      <c r="C190" s="301"/>
      <c r="D190" s="301"/>
      <c r="E190" s="301"/>
      <c r="F190" s="301"/>
      <c r="G190" s="301"/>
      <c r="H190" s="301"/>
      <c r="I190" s="301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42.75" customHeight="1">
      <c r="A191" s="193" t="s">
        <v>113</v>
      </c>
      <c r="B191" s="193"/>
      <c r="C191" s="193"/>
      <c r="D191" s="193"/>
      <c r="E191" s="193" t="s">
        <v>114</v>
      </c>
      <c r="F191" s="193"/>
      <c r="G191" s="5" t="s">
        <v>115</v>
      </c>
      <c r="H191" s="193" t="s">
        <v>116</v>
      </c>
      <c r="I191" s="193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33" customHeight="1">
      <c r="A192" s="222" t="s">
        <v>117</v>
      </c>
      <c r="B192" s="222"/>
      <c r="C192" s="222"/>
      <c r="D192" s="222"/>
      <c r="E192" s="302">
        <v>0</v>
      </c>
      <c r="F192" s="302"/>
      <c r="G192" s="87">
        <f>D192*E192</f>
        <v>0</v>
      </c>
      <c r="H192" s="302">
        <f aca="true" t="shared" si="0" ref="H192:H197">E192*G192</f>
        <v>0</v>
      </c>
      <c r="I192" s="30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38.25" customHeight="1">
      <c r="A193" s="222" t="s">
        <v>118</v>
      </c>
      <c r="B193" s="222"/>
      <c r="C193" s="222"/>
      <c r="D193" s="222"/>
      <c r="E193" s="302">
        <v>0</v>
      </c>
      <c r="F193" s="302"/>
      <c r="G193" s="87">
        <f>D193*E193</f>
        <v>0</v>
      </c>
      <c r="H193" s="302">
        <f t="shared" si="0"/>
        <v>0</v>
      </c>
      <c r="I193" s="30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9.75" customHeight="1">
      <c r="A194" s="303" t="s">
        <v>119</v>
      </c>
      <c r="B194" s="303"/>
      <c r="C194" s="303"/>
      <c r="D194" s="303"/>
      <c r="E194" s="304">
        <f>I187</f>
        <v>11348.189999999999</v>
      </c>
      <c r="F194" s="304"/>
      <c r="G194" s="88">
        <f>H17</f>
        <v>3</v>
      </c>
      <c r="H194" s="305">
        <f t="shared" si="0"/>
        <v>34044.56999999999</v>
      </c>
      <c r="I194" s="305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9" customHeight="1">
      <c r="A195" s="222" t="s">
        <v>120</v>
      </c>
      <c r="B195" s="222"/>
      <c r="C195" s="222"/>
      <c r="D195" s="222"/>
      <c r="E195" s="306">
        <v>0</v>
      </c>
      <c r="F195" s="306"/>
      <c r="G195" s="87">
        <f>D195*F195</f>
        <v>0</v>
      </c>
      <c r="H195" s="302">
        <f t="shared" si="0"/>
        <v>0</v>
      </c>
      <c r="I195" s="302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40.5" customHeight="1">
      <c r="A196" s="222" t="s">
        <v>121</v>
      </c>
      <c r="B196" s="222"/>
      <c r="C196" s="222"/>
      <c r="D196" s="222"/>
      <c r="E196" s="306">
        <v>0</v>
      </c>
      <c r="F196" s="306"/>
      <c r="G196" s="87">
        <f>D196*F196</f>
        <v>0</v>
      </c>
      <c r="H196" s="302">
        <f t="shared" si="0"/>
        <v>0</v>
      </c>
      <c r="I196" s="30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35.25" customHeight="1">
      <c r="A197" s="307" t="s">
        <v>122</v>
      </c>
      <c r="B197" s="307"/>
      <c r="C197" s="307"/>
      <c r="D197" s="307"/>
      <c r="E197" s="302">
        <v>0</v>
      </c>
      <c r="F197" s="302"/>
      <c r="G197" s="87">
        <f>D197*F197</f>
        <v>0</v>
      </c>
      <c r="H197" s="302">
        <f t="shared" si="0"/>
        <v>0</v>
      </c>
      <c r="I197" s="30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7.25" customHeight="1">
      <c r="A198" s="308" t="s">
        <v>123</v>
      </c>
      <c r="B198" s="308"/>
      <c r="C198" s="308"/>
      <c r="D198" s="308"/>
      <c r="E198" s="308"/>
      <c r="F198" s="308"/>
      <c r="G198" s="89">
        <f>SUM(G192:G197)</f>
        <v>3</v>
      </c>
      <c r="H198" s="309">
        <f>SUM(H192:I197)</f>
        <v>34044.56999999999</v>
      </c>
      <c r="I198" s="309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9" ht="6.75" customHeight="1">
      <c r="A199" s="310"/>
      <c r="B199" s="310"/>
      <c r="C199" s="310"/>
      <c r="D199" s="310"/>
      <c r="E199" s="310"/>
      <c r="F199" s="310"/>
      <c r="G199" s="310"/>
      <c r="H199" s="310"/>
      <c r="I199" s="310"/>
    </row>
    <row r="200" spans="1:9" ht="18.75" customHeight="1">
      <c r="A200" s="311" t="s">
        <v>124</v>
      </c>
      <c r="B200" s="311"/>
      <c r="C200" s="311"/>
      <c r="D200" s="311"/>
      <c r="E200" s="311"/>
      <c r="F200" s="311"/>
      <c r="G200" s="311"/>
      <c r="H200" s="311"/>
      <c r="I200" s="311"/>
    </row>
    <row r="201" spans="1:9" ht="8.25" customHeight="1">
      <c r="A201" s="312"/>
      <c r="B201" s="312"/>
      <c r="C201" s="312"/>
      <c r="D201" s="312"/>
      <c r="E201" s="312"/>
      <c r="F201" s="312"/>
      <c r="G201" s="312"/>
      <c r="H201" s="312"/>
      <c r="I201" s="312"/>
    </row>
    <row r="202" spans="1:9" ht="19.5" customHeight="1">
      <c r="A202" s="313" t="s">
        <v>125</v>
      </c>
      <c r="B202" s="313"/>
      <c r="C202" s="313"/>
      <c r="D202" s="313"/>
      <c r="E202" s="313"/>
      <c r="F202" s="313"/>
      <c r="G202" s="314">
        <f>$H$198</f>
        <v>34044.56999999999</v>
      </c>
      <c r="H202" s="314"/>
      <c r="I202" s="314"/>
    </row>
    <row r="203" spans="1:9" ht="8.25" customHeight="1">
      <c r="A203" s="315"/>
      <c r="B203" s="315"/>
      <c r="C203" s="315"/>
      <c r="D203" s="315"/>
      <c r="E203" s="315"/>
      <c r="F203" s="315"/>
      <c r="G203" s="315"/>
      <c r="H203" s="315"/>
      <c r="I203" s="315"/>
    </row>
    <row r="204" spans="1:9" ht="31.5" customHeight="1">
      <c r="A204" s="316" t="s">
        <v>126</v>
      </c>
      <c r="B204" s="316"/>
      <c r="C204" s="316"/>
      <c r="D204" s="316"/>
      <c r="E204" s="316"/>
      <c r="F204" s="316"/>
      <c r="G204" s="317">
        <f>$H$11</f>
        <v>12</v>
      </c>
      <c r="H204" s="317"/>
      <c r="I204" s="317"/>
    </row>
    <row r="205" spans="1:9" ht="8.25" customHeight="1">
      <c r="A205" s="318"/>
      <c r="B205" s="318"/>
      <c r="C205" s="318"/>
      <c r="D205" s="318"/>
      <c r="E205" s="318"/>
      <c r="F205" s="318"/>
      <c r="G205" s="318"/>
      <c r="H205" s="318"/>
      <c r="I205" s="318"/>
    </row>
    <row r="206" spans="1:9" ht="29.25" customHeight="1">
      <c r="A206" s="319" t="s">
        <v>127</v>
      </c>
      <c r="B206" s="319"/>
      <c r="C206" s="319"/>
      <c r="D206" s="319"/>
      <c r="E206" s="319"/>
      <c r="F206" s="319"/>
      <c r="G206" s="320">
        <f>ROUND(G202*G204,2)</f>
        <v>408534.84</v>
      </c>
      <c r="H206" s="320"/>
      <c r="I206" s="320"/>
    </row>
    <row r="207" spans="1:9" ht="8.25" customHeight="1">
      <c r="A207" s="321"/>
      <c r="B207" s="321"/>
      <c r="C207" s="321"/>
      <c r="D207" s="321"/>
      <c r="E207" s="321"/>
      <c r="F207" s="321"/>
      <c r="G207" s="321"/>
      <c r="H207" s="321"/>
      <c r="I207" s="321"/>
    </row>
    <row r="208" spans="1:9" ht="27" customHeight="1">
      <c r="A208" s="322" t="s">
        <v>128</v>
      </c>
      <c r="B208" s="322"/>
      <c r="C208" s="322"/>
      <c r="D208" s="322"/>
      <c r="E208" s="322"/>
      <c r="F208" s="322"/>
      <c r="G208" s="322"/>
      <c r="H208" s="322"/>
      <c r="I208" s="322"/>
    </row>
    <row r="209" spans="1:9" ht="12" customHeight="1">
      <c r="A209" s="323" t="s">
        <v>129</v>
      </c>
      <c r="B209" s="323"/>
      <c r="C209" s="323"/>
      <c r="D209" s="195" t="s">
        <v>130</v>
      </c>
      <c r="E209" s="195"/>
      <c r="F209" s="195"/>
      <c r="G209" s="195"/>
      <c r="H209" s="195"/>
      <c r="I209" s="195"/>
    </row>
    <row r="210" spans="1:9" ht="12.75" customHeight="1">
      <c r="A210" s="323"/>
      <c r="B210" s="323"/>
      <c r="C210" s="323"/>
      <c r="D210" s="195"/>
      <c r="E210" s="195"/>
      <c r="F210" s="195"/>
      <c r="G210" s="195"/>
      <c r="H210" s="195"/>
      <c r="I210" s="195"/>
    </row>
    <row r="211" spans="1:9" ht="12.75" customHeight="1">
      <c r="A211" s="324" t="s">
        <v>131</v>
      </c>
      <c r="B211" s="324"/>
      <c r="C211" s="324"/>
      <c r="D211" s="325"/>
      <c r="E211" s="325"/>
      <c r="F211" s="325"/>
      <c r="G211" s="325"/>
      <c r="H211" s="325"/>
      <c r="I211" s="325"/>
    </row>
    <row r="212" spans="1:9" ht="15" customHeight="1">
      <c r="A212" s="324"/>
      <c r="B212" s="324"/>
      <c r="C212" s="324"/>
      <c r="D212" s="325"/>
      <c r="E212" s="325"/>
      <c r="F212" s="325"/>
      <c r="G212" s="325"/>
      <c r="H212" s="325"/>
      <c r="I212" s="325"/>
    </row>
    <row r="213" spans="1:9" ht="12.75" customHeight="1" hidden="1">
      <c r="A213" s="326"/>
      <c r="B213" s="326"/>
      <c r="C213" s="326"/>
      <c r="D213" s="325"/>
      <c r="E213" s="325"/>
      <c r="F213" s="325"/>
      <c r="G213" s="325"/>
      <c r="H213" s="325"/>
      <c r="I213" s="325"/>
    </row>
    <row r="214" spans="1:9" ht="6" customHeight="1">
      <c r="A214" s="327"/>
      <c r="B214" s="327"/>
      <c r="C214" s="327"/>
      <c r="D214" s="327"/>
      <c r="E214" s="327"/>
      <c r="F214" s="327"/>
      <c r="G214" s="327"/>
      <c r="H214" s="327"/>
      <c r="I214" s="327"/>
    </row>
    <row r="215" spans="1:9" ht="12.75" customHeight="1" hidden="1">
      <c r="A215" s="327"/>
      <c r="B215" s="327"/>
      <c r="C215" s="327"/>
      <c r="D215" s="327"/>
      <c r="E215" s="327"/>
      <c r="F215" s="327"/>
      <c r="G215" s="327"/>
      <c r="H215" s="327"/>
      <c r="I215" s="327"/>
    </row>
    <row r="216" spans="1:9" ht="15" customHeight="1">
      <c r="A216" s="328" t="s">
        <v>132</v>
      </c>
      <c r="B216" s="328"/>
      <c r="C216" s="328"/>
      <c r="D216" s="328"/>
      <c r="E216" s="328"/>
      <c r="F216" s="328"/>
      <c r="G216" s="328"/>
      <c r="H216" s="328"/>
      <c r="I216" s="328"/>
    </row>
    <row r="217" spans="1:9" ht="12.75" customHeight="1">
      <c r="A217" s="195" t="s">
        <v>133</v>
      </c>
      <c r="B217" s="195"/>
      <c r="C217" s="195"/>
      <c r="D217" s="195"/>
      <c r="E217" s="195"/>
      <c r="F217" s="195"/>
      <c r="G217" s="195"/>
      <c r="H217" s="195" t="s">
        <v>134</v>
      </c>
      <c r="I217" s="195"/>
    </row>
    <row r="218" spans="1:9" ht="12.75" customHeight="1">
      <c r="A218" s="329"/>
      <c r="B218" s="329"/>
      <c r="C218" s="329"/>
      <c r="D218" s="329"/>
      <c r="E218" s="329"/>
      <c r="F218" s="329"/>
      <c r="G218" s="329"/>
      <c r="H218" s="195"/>
      <c r="I218" s="195"/>
    </row>
    <row r="219" spans="1:9" ht="12.75" customHeight="1">
      <c r="A219" s="324"/>
      <c r="B219" s="324"/>
      <c r="C219" s="324"/>
      <c r="D219" s="324"/>
      <c r="E219" s="324"/>
      <c r="F219" s="324"/>
      <c r="G219" s="324"/>
      <c r="H219" s="195"/>
      <c r="I219" s="195"/>
    </row>
    <row r="220" spans="1:9" ht="12.75" customHeight="1">
      <c r="A220" s="326"/>
      <c r="B220" s="326"/>
      <c r="C220" s="326"/>
      <c r="D220" s="326"/>
      <c r="E220" s="326"/>
      <c r="F220" s="326"/>
      <c r="G220" s="326"/>
      <c r="H220" s="195"/>
      <c r="I220" s="195"/>
    </row>
    <row r="228" ht="12.75" customHeight="1"/>
  </sheetData>
  <sheetProtection selectLockedCells="1" selectUnlockedCells="1"/>
  <mergeCells count="304">
    <mergeCell ref="A217:G217"/>
    <mergeCell ref="H217:I217"/>
    <mergeCell ref="A220:G220"/>
    <mergeCell ref="H220:I220"/>
    <mergeCell ref="A218:G218"/>
    <mergeCell ref="H218:I218"/>
    <mergeCell ref="A219:G219"/>
    <mergeCell ref="H219:I219"/>
    <mergeCell ref="A212:C212"/>
    <mergeCell ref="D212:I212"/>
    <mergeCell ref="A213:C213"/>
    <mergeCell ref="D213:I213"/>
    <mergeCell ref="A214:I215"/>
    <mergeCell ref="A216:I216"/>
    <mergeCell ref="A207:I207"/>
    <mergeCell ref="A208:I208"/>
    <mergeCell ref="A209:C210"/>
    <mergeCell ref="D209:I210"/>
    <mergeCell ref="A211:C211"/>
    <mergeCell ref="D211:I211"/>
    <mergeCell ref="A203:I203"/>
    <mergeCell ref="A204:F204"/>
    <mergeCell ref="G204:I204"/>
    <mergeCell ref="A205:I205"/>
    <mergeCell ref="A206:F206"/>
    <mergeCell ref="G206:I206"/>
    <mergeCell ref="A198:F198"/>
    <mergeCell ref="H198:I198"/>
    <mergeCell ref="A199:I199"/>
    <mergeCell ref="A200:I200"/>
    <mergeCell ref="A201:I201"/>
    <mergeCell ref="A202:F202"/>
    <mergeCell ref="G202:I202"/>
    <mergeCell ref="A196:D196"/>
    <mergeCell ref="E196:F196"/>
    <mergeCell ref="H196:I196"/>
    <mergeCell ref="A197:D197"/>
    <mergeCell ref="E197:F197"/>
    <mergeCell ref="H197:I197"/>
    <mergeCell ref="A194:D194"/>
    <mergeCell ref="E194:F194"/>
    <mergeCell ref="H194:I194"/>
    <mergeCell ref="A195:D195"/>
    <mergeCell ref="E195:F195"/>
    <mergeCell ref="H195:I195"/>
    <mergeCell ref="A192:D192"/>
    <mergeCell ref="E192:F192"/>
    <mergeCell ref="H192:I192"/>
    <mergeCell ref="A193:D193"/>
    <mergeCell ref="E193:F193"/>
    <mergeCell ref="H193:I193"/>
    <mergeCell ref="A187:H187"/>
    <mergeCell ref="A188:I188"/>
    <mergeCell ref="A189:I189"/>
    <mergeCell ref="A190:I190"/>
    <mergeCell ref="A191:D191"/>
    <mergeCell ref="E191:F191"/>
    <mergeCell ref="H191:I191"/>
    <mergeCell ref="B181:H181"/>
    <mergeCell ref="B182:H182"/>
    <mergeCell ref="B183:H183"/>
    <mergeCell ref="B184:H184"/>
    <mergeCell ref="A185:H185"/>
    <mergeCell ref="B186:H186"/>
    <mergeCell ref="A175:I175"/>
    <mergeCell ref="A176:I176"/>
    <mergeCell ref="A177:I177"/>
    <mergeCell ref="A178:I178"/>
    <mergeCell ref="A179:H179"/>
    <mergeCell ref="B180:H180"/>
    <mergeCell ref="B168:G168"/>
    <mergeCell ref="A169:H169"/>
    <mergeCell ref="A170:I170"/>
    <mergeCell ref="A171:G171"/>
    <mergeCell ref="A172:B174"/>
    <mergeCell ref="C172:I172"/>
    <mergeCell ref="C173:I173"/>
    <mergeCell ref="C174:I174"/>
    <mergeCell ref="B162:G162"/>
    <mergeCell ref="B163:G163"/>
    <mergeCell ref="B164:G164"/>
    <mergeCell ref="B165:G165"/>
    <mergeCell ref="B166:G166"/>
    <mergeCell ref="B167:G167"/>
    <mergeCell ref="B156:G156"/>
    <mergeCell ref="A157:G157"/>
    <mergeCell ref="B158:G158"/>
    <mergeCell ref="A159:G159"/>
    <mergeCell ref="B160:G160"/>
    <mergeCell ref="B161:G161"/>
    <mergeCell ref="A149:H149"/>
    <mergeCell ref="A150:I150"/>
    <mergeCell ref="A151:I151"/>
    <mergeCell ref="A153:I153"/>
    <mergeCell ref="B154:G154"/>
    <mergeCell ref="A155:G155"/>
    <mergeCell ref="A143:I143"/>
    <mergeCell ref="A144:I144"/>
    <mergeCell ref="B145:H145"/>
    <mergeCell ref="B146:H146"/>
    <mergeCell ref="B147:H147"/>
    <mergeCell ref="B148:H148"/>
    <mergeCell ref="A137:I137"/>
    <mergeCell ref="A138:I138"/>
    <mergeCell ref="B139:H139"/>
    <mergeCell ref="B140:H140"/>
    <mergeCell ref="B141:H141"/>
    <mergeCell ref="A142:H142"/>
    <mergeCell ref="B128:H128"/>
    <mergeCell ref="B129:H129"/>
    <mergeCell ref="B130:H130"/>
    <mergeCell ref="B135:H135"/>
    <mergeCell ref="A136:H136"/>
    <mergeCell ref="A131:H131"/>
    <mergeCell ref="A132:I132"/>
    <mergeCell ref="A133:I133"/>
    <mergeCell ref="B134:H134"/>
    <mergeCell ref="B124:H124"/>
    <mergeCell ref="B125:H125"/>
    <mergeCell ref="B126:H126"/>
    <mergeCell ref="A123:E123"/>
    <mergeCell ref="F123:G123"/>
    <mergeCell ref="B127:H127"/>
    <mergeCell ref="A116:I116"/>
    <mergeCell ref="A117:I117"/>
    <mergeCell ref="A118:I118"/>
    <mergeCell ref="A122:I122"/>
    <mergeCell ref="A119:I119"/>
    <mergeCell ref="A120:I120"/>
    <mergeCell ref="B110:H110"/>
    <mergeCell ref="B111:H111"/>
    <mergeCell ref="B112:H112"/>
    <mergeCell ref="B113:H113"/>
    <mergeCell ref="B114:H114"/>
    <mergeCell ref="A115:H115"/>
    <mergeCell ref="B104:H104"/>
    <mergeCell ref="A105:H105"/>
    <mergeCell ref="A106:I106"/>
    <mergeCell ref="A107:I107"/>
    <mergeCell ref="B108:H108"/>
    <mergeCell ref="B109:H109"/>
    <mergeCell ref="A98:I98"/>
    <mergeCell ref="A99:I99"/>
    <mergeCell ref="A100:I100"/>
    <mergeCell ref="B101:H101"/>
    <mergeCell ref="B102:H102"/>
    <mergeCell ref="B103:H103"/>
    <mergeCell ref="B92:H92"/>
    <mergeCell ref="B93:H93"/>
    <mergeCell ref="B94:H94"/>
    <mergeCell ref="B95:H95"/>
    <mergeCell ref="B96:H96"/>
    <mergeCell ref="A97:I97"/>
    <mergeCell ref="B86:G86"/>
    <mergeCell ref="B87:G87"/>
    <mergeCell ref="B88:H88"/>
    <mergeCell ref="B89:G89"/>
    <mergeCell ref="B90:G90"/>
    <mergeCell ref="B91:G91"/>
    <mergeCell ref="A80:I80"/>
    <mergeCell ref="A81:I81"/>
    <mergeCell ref="B82:H82"/>
    <mergeCell ref="B83:H83"/>
    <mergeCell ref="B84:G84"/>
    <mergeCell ref="B85:G85"/>
    <mergeCell ref="B73:G73"/>
    <mergeCell ref="B74:G74"/>
    <mergeCell ref="B75:G75"/>
    <mergeCell ref="B76:G76"/>
    <mergeCell ref="A77:G77"/>
    <mergeCell ref="A79:I79"/>
    <mergeCell ref="A67:I67"/>
    <mergeCell ref="B68:G68"/>
    <mergeCell ref="B69:G69"/>
    <mergeCell ref="B70:G70"/>
    <mergeCell ref="B71:C71"/>
    <mergeCell ref="B72:G72"/>
    <mergeCell ref="B61:H61"/>
    <mergeCell ref="B62:H62"/>
    <mergeCell ref="A63:H63"/>
    <mergeCell ref="A64:I64"/>
    <mergeCell ref="A65:I65"/>
    <mergeCell ref="A66:I66"/>
    <mergeCell ref="A55:I55"/>
    <mergeCell ref="A56:I56"/>
    <mergeCell ref="A57:I57"/>
    <mergeCell ref="A58:I58"/>
    <mergeCell ref="A59:I59"/>
    <mergeCell ref="B60:H60"/>
    <mergeCell ref="A49:H49"/>
    <mergeCell ref="A50:I50"/>
    <mergeCell ref="B51:H51"/>
    <mergeCell ref="A52:H52"/>
    <mergeCell ref="A53:I53"/>
    <mergeCell ref="A54:H54"/>
    <mergeCell ref="B43:H43"/>
    <mergeCell ref="B44:H44"/>
    <mergeCell ref="B46:H46"/>
    <mergeCell ref="B47:G47"/>
    <mergeCell ref="B45:H45"/>
    <mergeCell ref="B48:H48"/>
    <mergeCell ref="A37:I37"/>
    <mergeCell ref="A38:I38"/>
    <mergeCell ref="A39:I39"/>
    <mergeCell ref="A40:I40"/>
    <mergeCell ref="B41:G41"/>
    <mergeCell ref="B42:H42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FU26:GB26"/>
    <mergeCell ref="GC26:GJ26"/>
    <mergeCell ref="GK26:GR26"/>
    <mergeCell ref="EG26:EN26"/>
    <mergeCell ref="EO26:EV26"/>
    <mergeCell ref="EW26:FD26"/>
    <mergeCell ref="FE26:FL26"/>
    <mergeCell ref="CK26:CR26"/>
    <mergeCell ref="CS26:CZ26"/>
    <mergeCell ref="DA26:DH26"/>
    <mergeCell ref="DI26:DP26"/>
    <mergeCell ref="DQ26:DX26"/>
    <mergeCell ref="DY26:EF26"/>
    <mergeCell ref="AO26:AV26"/>
    <mergeCell ref="AW26:BD26"/>
    <mergeCell ref="BE26:BL26"/>
    <mergeCell ref="BM26:BT26"/>
    <mergeCell ref="BU26:CB26"/>
    <mergeCell ref="CC26:CJ26"/>
    <mergeCell ref="A25:I25"/>
    <mergeCell ref="A26:I26"/>
    <mergeCell ref="J26:P26"/>
    <mergeCell ref="Q26:X26"/>
    <mergeCell ref="Y26:AF26"/>
    <mergeCell ref="AG26:AN26"/>
    <mergeCell ref="A20:G20"/>
    <mergeCell ref="H20:I20"/>
    <mergeCell ref="A21:I21"/>
    <mergeCell ref="A22:I22"/>
    <mergeCell ref="A23:I23"/>
    <mergeCell ref="A24:I24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B10:G10"/>
    <mergeCell ref="H10:I10"/>
    <mergeCell ref="B11:G11"/>
    <mergeCell ref="H11:I11"/>
    <mergeCell ref="A12:I12"/>
    <mergeCell ref="A13:E13"/>
    <mergeCell ref="F13:G13"/>
    <mergeCell ref="H13:I13"/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</mergeCells>
  <printOptions/>
  <pageMargins left="0.7875" right="0.31527777777777777" top="0.2298611111111111" bottom="0.31527777777777777" header="0.5118055555555555" footer="0.5118055555555555"/>
  <pageSetup horizontalDpi="600" verticalDpi="600" orientation="portrait" paperSize="9" scale="73" r:id="rId1"/>
  <rowBreaks count="4" manualBreakCount="4">
    <brk id="49" max="255" man="1"/>
    <brk id="98" max="255" man="1"/>
    <brk id="151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4"/>
  <sheetViews>
    <sheetView view="pageBreakPreview" zoomScale="130" zoomScaleNormal="130" zoomScaleSheetLayoutView="130" zoomScalePageLayoutView="0" workbookViewId="0" topLeftCell="A147">
      <selection activeCell="K151" sqref="K151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1.2812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32.25" customHeight="1">
      <c r="A2" s="185" t="s">
        <v>201</v>
      </c>
      <c r="B2" s="185"/>
      <c r="C2" s="185"/>
      <c r="D2" s="185"/>
      <c r="E2" s="185"/>
      <c r="F2" s="185"/>
      <c r="G2" s="185"/>
      <c r="H2" s="185"/>
      <c r="I2" s="185"/>
    </row>
    <row r="3" spans="1:9" ht="64.5" customHeight="1">
      <c r="A3" s="186" t="s">
        <v>198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288</v>
      </c>
      <c r="B4" s="187"/>
      <c r="C4" s="187"/>
      <c r="D4" s="187"/>
      <c r="E4" s="187"/>
      <c r="F4" s="188" t="s">
        <v>289</v>
      </c>
      <c r="G4" s="188"/>
      <c r="H4" s="188"/>
      <c r="I4" s="188"/>
    </row>
    <row r="5" spans="1:9" ht="15.75" customHeight="1">
      <c r="A5" s="187" t="s">
        <v>290</v>
      </c>
      <c r="B5" s="187"/>
      <c r="C5" s="187"/>
      <c r="D5" s="187"/>
      <c r="E5" s="187"/>
      <c r="F5" s="188" t="s">
        <v>147</v>
      </c>
      <c r="G5" s="188"/>
      <c r="H5" s="188"/>
      <c r="I5" s="188"/>
    </row>
    <row r="6" spans="1:9" ht="14.25" customHeight="1">
      <c r="A6" s="187" t="s">
        <v>145</v>
      </c>
      <c r="B6" s="187"/>
      <c r="C6" s="187"/>
      <c r="D6" s="187"/>
      <c r="E6" s="187"/>
      <c r="F6" s="187"/>
      <c r="G6" s="187"/>
      <c r="H6" s="187"/>
      <c r="I6" s="187"/>
    </row>
    <row r="7" spans="1:9" ht="20.25" customHeight="1">
      <c r="A7" s="189" t="s">
        <v>291</v>
      </c>
      <c r="B7" s="189"/>
      <c r="C7" s="189"/>
      <c r="D7" s="189"/>
      <c r="E7" s="189"/>
      <c r="F7" s="189"/>
      <c r="G7" s="189"/>
      <c r="H7" s="189"/>
      <c r="I7" s="189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>
        <v>43830</v>
      </c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296</v>
      </c>
      <c r="I9" s="188"/>
    </row>
    <row r="10" spans="1:9" ht="19.5" customHeight="1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11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  <c r="K11" s="4"/>
    </row>
    <row r="12" spans="1:9" ht="21" customHeight="1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2.75" customHeight="1">
      <c r="A14" s="187" t="s">
        <v>306</v>
      </c>
      <c r="B14" s="187"/>
      <c r="C14" s="187"/>
      <c r="D14" s="187"/>
      <c r="E14" s="187"/>
      <c r="F14" s="195" t="s">
        <v>307</v>
      </c>
      <c r="G14" s="195"/>
      <c r="H14" s="196" t="s">
        <v>308</v>
      </c>
      <c r="I14" s="196"/>
    </row>
    <row r="15" spans="1:9" ht="12.75" customHeight="1">
      <c r="A15" s="187" t="s">
        <v>309</v>
      </c>
      <c r="B15" s="187"/>
      <c r="C15" s="187"/>
      <c r="D15" s="187"/>
      <c r="E15" s="187"/>
      <c r="F15" s="195" t="s">
        <v>307</v>
      </c>
      <c r="G15" s="195"/>
      <c r="H15" s="196" t="s">
        <v>308</v>
      </c>
      <c r="I15" s="196"/>
    </row>
    <row r="16" spans="1:9" ht="12.75" customHeight="1">
      <c r="A16" s="187" t="s">
        <v>310</v>
      </c>
      <c r="B16" s="187"/>
      <c r="C16" s="187"/>
      <c r="D16" s="187"/>
      <c r="E16" s="187"/>
      <c r="F16" s="195" t="s">
        <v>307</v>
      </c>
      <c r="G16" s="195"/>
      <c r="H16" s="196" t="s">
        <v>308</v>
      </c>
      <c r="I16" s="196"/>
    </row>
    <row r="17" spans="1:9" ht="12.75" customHeight="1">
      <c r="A17" s="197" t="s">
        <v>311</v>
      </c>
      <c r="B17" s="197"/>
      <c r="C17" s="197"/>
      <c r="D17" s="197"/>
      <c r="E17" s="197"/>
      <c r="F17" s="193" t="s">
        <v>307</v>
      </c>
      <c r="G17" s="193"/>
      <c r="H17" s="198">
        <v>3</v>
      </c>
      <c r="I17" s="198"/>
    </row>
    <row r="18" spans="1:9" ht="12.75" customHeight="1">
      <c r="A18" s="187" t="s">
        <v>312</v>
      </c>
      <c r="B18" s="187"/>
      <c r="C18" s="187"/>
      <c r="D18" s="187"/>
      <c r="E18" s="187"/>
      <c r="F18" s="195" t="s">
        <v>307</v>
      </c>
      <c r="G18" s="195"/>
      <c r="H18" s="196" t="s">
        <v>308</v>
      </c>
      <c r="I18" s="196"/>
    </row>
    <row r="19" spans="1:9" ht="12.75" customHeight="1">
      <c r="A19" s="187" t="s">
        <v>313</v>
      </c>
      <c r="B19" s="187"/>
      <c r="C19" s="187"/>
      <c r="D19" s="187"/>
      <c r="E19" s="187"/>
      <c r="F19" s="195" t="s">
        <v>307</v>
      </c>
      <c r="G19" s="195"/>
      <c r="H19" s="196" t="s">
        <v>308</v>
      </c>
      <c r="I19" s="196"/>
    </row>
    <row r="20" spans="1:9" ht="12.75" customHeight="1">
      <c r="A20" s="199" t="s">
        <v>314</v>
      </c>
      <c r="B20" s="199"/>
      <c r="C20" s="199"/>
      <c r="D20" s="199"/>
      <c r="E20" s="199"/>
      <c r="F20" s="199"/>
      <c r="G20" s="199"/>
      <c r="H20" s="200">
        <f>SUM(H14:H19)</f>
        <v>3</v>
      </c>
      <c r="I20" s="200"/>
    </row>
    <row r="21" spans="1:9" ht="8.25" customHeight="1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12" ht="46.5" customHeight="1">
      <c r="A22" s="202" t="s">
        <v>315</v>
      </c>
      <c r="B22" s="202"/>
      <c r="C22" s="202"/>
      <c r="D22" s="202"/>
      <c r="E22" s="202"/>
      <c r="F22" s="202"/>
      <c r="G22" s="202"/>
      <c r="H22" s="202"/>
      <c r="I22" s="202"/>
      <c r="J22" s="6"/>
      <c r="K22" s="7"/>
      <c r="L22" s="8"/>
    </row>
    <row r="23" spans="1:12" ht="7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L23" s="8"/>
    </row>
    <row r="24" spans="1:12" ht="51.75" customHeight="1">
      <c r="A24" s="204" t="s">
        <v>316</v>
      </c>
      <c r="B24" s="204"/>
      <c r="C24" s="204"/>
      <c r="D24" s="204"/>
      <c r="E24" s="204"/>
      <c r="F24" s="204"/>
      <c r="G24" s="204"/>
      <c r="H24" s="204"/>
      <c r="I24" s="204"/>
      <c r="J24" s="6"/>
      <c r="K24" s="7"/>
      <c r="L24" s="8"/>
    </row>
    <row r="25" spans="1:12" ht="9.7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6"/>
      <c r="K25" s="7"/>
      <c r="L25" s="8"/>
    </row>
    <row r="26" spans="1:256" s="9" customFormat="1" ht="21.75" customHeight="1">
      <c r="A26" s="189" t="s">
        <v>281</v>
      </c>
      <c r="B26" s="189"/>
      <c r="C26" s="189"/>
      <c r="D26" s="189"/>
      <c r="E26" s="189"/>
      <c r="F26" s="189"/>
      <c r="G26" s="189"/>
      <c r="H26" s="189"/>
      <c r="I26" s="18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9" ht="27" customHeight="1">
      <c r="A27" s="3">
        <v>1</v>
      </c>
      <c r="B27" s="187" t="s">
        <v>317</v>
      </c>
      <c r="C27" s="187"/>
      <c r="D27" s="187"/>
      <c r="E27" s="187"/>
      <c r="F27" s="187"/>
      <c r="G27" s="187"/>
      <c r="H27" s="207" t="s">
        <v>318</v>
      </c>
      <c r="I27" s="207"/>
    </row>
    <row r="28" spans="1:9" ht="19.5" customHeight="1">
      <c r="A28" s="10">
        <v>2</v>
      </c>
      <c r="B28" s="208" t="s">
        <v>319</v>
      </c>
      <c r="C28" s="208"/>
      <c r="D28" s="208"/>
      <c r="E28" s="208"/>
      <c r="F28" s="208"/>
      <c r="G28" s="208"/>
      <c r="H28" s="209" t="s">
        <v>0</v>
      </c>
      <c r="I28" s="209"/>
    </row>
    <row r="29" spans="1:9" ht="15.75" customHeight="1">
      <c r="A29" s="3">
        <v>3</v>
      </c>
      <c r="B29" s="187" t="s">
        <v>1</v>
      </c>
      <c r="C29" s="187"/>
      <c r="D29" s="187"/>
      <c r="E29" s="187"/>
      <c r="F29" s="187"/>
      <c r="G29" s="187"/>
      <c r="H29" s="210">
        <v>1447.6</v>
      </c>
      <c r="I29" s="210"/>
    </row>
    <row r="30" spans="1:9" ht="15.75" customHeight="1">
      <c r="A30" s="3">
        <v>4</v>
      </c>
      <c r="B30" s="187" t="s">
        <v>2</v>
      </c>
      <c r="C30" s="187"/>
      <c r="D30" s="187"/>
      <c r="E30" s="187"/>
      <c r="F30" s="187"/>
      <c r="G30" s="187"/>
      <c r="H30" s="211" t="s">
        <v>3</v>
      </c>
      <c r="I30" s="211"/>
    </row>
    <row r="31" spans="1:9" ht="15.75" customHeight="1">
      <c r="A31" s="3">
        <v>5</v>
      </c>
      <c r="B31" s="187" t="s">
        <v>4</v>
      </c>
      <c r="C31" s="187"/>
      <c r="D31" s="187"/>
      <c r="E31" s="187"/>
      <c r="F31" s="187"/>
      <c r="G31" s="187"/>
      <c r="H31" s="212" t="s">
        <v>148</v>
      </c>
      <c r="I31" s="212"/>
    </row>
    <row r="32" spans="1:9" ht="27" customHeight="1">
      <c r="A32" s="11">
        <v>6</v>
      </c>
      <c r="B32" s="213" t="s">
        <v>165</v>
      </c>
      <c r="C32" s="213"/>
      <c r="D32" s="213"/>
      <c r="E32" s="213"/>
      <c r="F32" s="213"/>
      <c r="G32" s="213"/>
      <c r="H32" s="214">
        <f>ROUND(H29/220,2)</f>
        <v>6.58</v>
      </c>
      <c r="I32" s="214"/>
    </row>
    <row r="33" spans="1:256" ht="27" customHeight="1">
      <c r="A33" s="11">
        <v>7</v>
      </c>
      <c r="B33" s="213" t="s">
        <v>166</v>
      </c>
      <c r="C33" s="213"/>
      <c r="D33" s="213"/>
      <c r="E33" s="213"/>
      <c r="F33" s="213"/>
      <c r="G33" s="213"/>
      <c r="H33" s="214">
        <f>SUM(H32+H37)</f>
        <v>8.55</v>
      </c>
      <c r="I33" s="21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7" customHeight="1">
      <c r="A34" s="11">
        <v>8</v>
      </c>
      <c r="B34" s="213" t="s">
        <v>170</v>
      </c>
      <c r="C34" s="213"/>
      <c r="D34" s="213"/>
      <c r="E34" s="213"/>
      <c r="F34" s="213"/>
      <c r="G34" s="213"/>
      <c r="H34" s="214">
        <f>ROUND(H32*1.5,2)</f>
        <v>9.87</v>
      </c>
      <c r="I34" s="21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 s="11">
        <v>9</v>
      </c>
      <c r="B35" s="213" t="s">
        <v>171</v>
      </c>
      <c r="C35" s="213"/>
      <c r="D35" s="213"/>
      <c r="E35" s="213"/>
      <c r="F35" s="213"/>
      <c r="G35" s="213"/>
      <c r="H35" s="215">
        <f>ROUND(1.3*H32*1.5,2)</f>
        <v>12.83</v>
      </c>
      <c r="I35" s="21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11">
        <v>10</v>
      </c>
      <c r="B36" s="213" t="s">
        <v>172</v>
      </c>
      <c r="C36" s="213"/>
      <c r="D36" s="213"/>
      <c r="E36" s="213"/>
      <c r="F36" s="213"/>
      <c r="G36" s="213"/>
      <c r="H36" s="214">
        <f>ROUND(1.3*H32*0.2,2)</f>
        <v>1.71</v>
      </c>
      <c r="I36" s="21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" customHeight="1">
      <c r="A37" s="105">
        <v>11</v>
      </c>
      <c r="B37" s="337" t="s">
        <v>173</v>
      </c>
      <c r="C37" s="337"/>
      <c r="D37" s="337"/>
      <c r="E37" s="337"/>
      <c r="F37" s="337"/>
      <c r="G37" s="337"/>
      <c r="H37" s="214">
        <f>ROUND(H32*0.3,2)</f>
        <v>1.97</v>
      </c>
      <c r="I37" s="21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11">
        <v>12</v>
      </c>
      <c r="B38" s="213" t="s">
        <v>174</v>
      </c>
      <c r="C38" s="213"/>
      <c r="D38" s="213"/>
      <c r="E38" s="213"/>
      <c r="F38" s="213"/>
      <c r="G38" s="213"/>
      <c r="H38" s="214">
        <f>H29*0.3</f>
        <v>434.28000000000003</v>
      </c>
      <c r="I38" s="21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 s="11">
        <v>13</v>
      </c>
      <c r="B39" s="213" t="s">
        <v>175</v>
      </c>
      <c r="C39" s="213"/>
      <c r="D39" s="213"/>
      <c r="E39" s="213"/>
      <c r="F39" s="213"/>
      <c r="G39" s="213"/>
      <c r="H39" s="214">
        <f>ROUND(H32/6,2)*1.3</f>
        <v>1.4300000000000002</v>
      </c>
      <c r="I39" s="21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customHeight="1">
      <c r="A40" s="11">
        <v>14</v>
      </c>
      <c r="B40" s="216" t="s">
        <v>8</v>
      </c>
      <c r="C40" s="216"/>
      <c r="D40" s="216"/>
      <c r="E40" s="216"/>
      <c r="F40" s="216"/>
      <c r="G40" s="216"/>
      <c r="H40" s="217">
        <v>2</v>
      </c>
      <c r="I40" s="21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9" ht="9" customHeight="1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21.75" customHeight="1">
      <c r="A42" s="218" t="s">
        <v>9</v>
      </c>
      <c r="B42" s="218"/>
      <c r="C42" s="218"/>
      <c r="D42" s="218"/>
      <c r="E42" s="218"/>
      <c r="F42" s="218"/>
      <c r="G42" s="218"/>
      <c r="H42" s="218"/>
      <c r="I42" s="218"/>
    </row>
    <row r="43" spans="1:9" ht="9" customHeight="1">
      <c r="A43" s="219"/>
      <c r="B43" s="219"/>
      <c r="C43" s="219"/>
      <c r="D43" s="219"/>
      <c r="E43" s="219"/>
      <c r="F43" s="219"/>
      <c r="G43" s="219"/>
      <c r="H43" s="219"/>
      <c r="I43" s="219"/>
    </row>
    <row r="44" spans="1:9" ht="20.25" customHeight="1">
      <c r="A44" s="220" t="s">
        <v>10</v>
      </c>
      <c r="B44" s="220"/>
      <c r="C44" s="220"/>
      <c r="D44" s="220"/>
      <c r="E44" s="220"/>
      <c r="F44" s="220"/>
      <c r="G44" s="220"/>
      <c r="H44" s="220"/>
      <c r="I44" s="220"/>
    </row>
    <row r="45" spans="1:9" s="15" customFormat="1" ht="30" customHeight="1">
      <c r="A45" s="12">
        <v>1</v>
      </c>
      <c r="B45" s="221" t="s">
        <v>11</v>
      </c>
      <c r="C45" s="221"/>
      <c r="D45" s="221"/>
      <c r="E45" s="221"/>
      <c r="F45" s="221"/>
      <c r="G45" s="221"/>
      <c r="H45" s="14" t="s">
        <v>12</v>
      </c>
      <c r="I45" s="12" t="s">
        <v>13</v>
      </c>
    </row>
    <row r="46" spans="1:9" ht="15.75" customHeight="1">
      <c r="A46" s="3" t="s">
        <v>292</v>
      </c>
      <c r="B46" s="187" t="s">
        <v>14</v>
      </c>
      <c r="C46" s="187"/>
      <c r="D46" s="187"/>
      <c r="E46" s="187"/>
      <c r="F46" s="187"/>
      <c r="G46" s="187"/>
      <c r="H46" s="187"/>
      <c r="I46" s="16">
        <f>H29*2</f>
        <v>2895.2</v>
      </c>
    </row>
    <row r="47" spans="1:9" ht="17.25" customHeight="1">
      <c r="A47" s="3" t="s">
        <v>294</v>
      </c>
      <c r="B47" s="222" t="s">
        <v>176</v>
      </c>
      <c r="C47" s="222"/>
      <c r="D47" s="222"/>
      <c r="E47" s="222"/>
      <c r="F47" s="222"/>
      <c r="G47" s="222"/>
      <c r="H47" s="17">
        <v>0.3</v>
      </c>
      <c r="I47" s="16">
        <f>ROUND(I46*H47,2)</f>
        <v>868.56</v>
      </c>
    </row>
    <row r="48" spans="1:9" ht="24.75" customHeight="1">
      <c r="A48" s="3" t="s">
        <v>297</v>
      </c>
      <c r="B48" s="187" t="s">
        <v>177</v>
      </c>
      <c r="C48" s="187"/>
      <c r="D48" s="187"/>
      <c r="E48" s="187"/>
      <c r="F48" s="187"/>
      <c r="G48" s="187"/>
      <c r="H48" s="187"/>
      <c r="I48" s="16">
        <f>ROUND(2*8*15*H36,2)</f>
        <v>410.4</v>
      </c>
    </row>
    <row r="49" spans="1:11" ht="42" customHeight="1">
      <c r="A49" s="3" t="s">
        <v>300</v>
      </c>
      <c r="B49" s="208" t="s">
        <v>178</v>
      </c>
      <c r="C49" s="208"/>
      <c r="D49" s="208"/>
      <c r="E49" s="208"/>
      <c r="F49" s="208"/>
      <c r="G49" s="208"/>
      <c r="H49" s="208"/>
      <c r="I49" s="16">
        <f>ROUND(H38*(((12*15)+15)-((44/6)*26))*H35,2)*0+ROUND(2*4.33*H35,2)</f>
        <v>111.11</v>
      </c>
      <c r="K49" s="19"/>
    </row>
    <row r="50" spans="1:11" ht="30" customHeight="1">
      <c r="A50" s="3" t="s">
        <v>16</v>
      </c>
      <c r="B50" s="223" t="s">
        <v>179</v>
      </c>
      <c r="C50" s="224"/>
      <c r="D50" s="224"/>
      <c r="E50" s="224"/>
      <c r="F50" s="224"/>
      <c r="G50" s="224"/>
      <c r="H50" s="225"/>
      <c r="I50" s="16">
        <f>ROUND(H39*H40*15,2)</f>
        <v>42.9</v>
      </c>
      <c r="K50" s="19"/>
    </row>
    <row r="51" spans="1:9" ht="27" customHeight="1">
      <c r="A51" s="3" t="s">
        <v>18</v>
      </c>
      <c r="B51" s="187" t="s">
        <v>282</v>
      </c>
      <c r="C51" s="187"/>
      <c r="D51" s="187"/>
      <c r="E51" s="187"/>
      <c r="F51" s="187"/>
      <c r="G51" s="187"/>
      <c r="H51" s="187"/>
      <c r="I51" s="16">
        <f>ROUND(SUM(I48:I50)*0.2,2)</f>
        <v>112.88</v>
      </c>
    </row>
    <row r="52" spans="1:12" ht="15.75" customHeight="1">
      <c r="A52" s="3" t="s">
        <v>20</v>
      </c>
      <c r="B52" s="187" t="s">
        <v>19</v>
      </c>
      <c r="C52" s="187"/>
      <c r="D52" s="187"/>
      <c r="E52" s="187"/>
      <c r="F52" s="187"/>
      <c r="G52" s="187"/>
      <c r="H52" s="187"/>
      <c r="I52" s="18" t="s">
        <v>308</v>
      </c>
      <c r="L52" s="19"/>
    </row>
    <row r="53" spans="1:9" ht="56.25" customHeight="1">
      <c r="A53" s="334" t="s">
        <v>164</v>
      </c>
      <c r="B53" s="335"/>
      <c r="C53" s="335"/>
      <c r="D53" s="335"/>
      <c r="E53" s="335"/>
      <c r="F53" s="335"/>
      <c r="G53" s="335"/>
      <c r="H53" s="336"/>
      <c r="I53" s="20">
        <f>SUM(I46:I52)</f>
        <v>4441.049999999999</v>
      </c>
    </row>
    <row r="54" spans="1:9" ht="7.5" customHeight="1">
      <c r="A54" s="104"/>
      <c r="B54" s="235"/>
      <c r="C54" s="235"/>
      <c r="D54" s="235"/>
      <c r="E54" s="235"/>
      <c r="F54" s="235"/>
      <c r="G54" s="235"/>
      <c r="H54" s="235"/>
      <c r="I54" s="106"/>
    </row>
    <row r="55" spans="1:9" ht="29.25" customHeight="1">
      <c r="A55" s="3" t="s">
        <v>22</v>
      </c>
      <c r="B55" s="187" t="s">
        <v>21</v>
      </c>
      <c r="C55" s="187"/>
      <c r="D55" s="187"/>
      <c r="E55" s="187"/>
      <c r="F55" s="187"/>
      <c r="G55" s="187"/>
      <c r="H55" s="187"/>
      <c r="I55" s="16">
        <f>ROUND(H34*15*H40*0.5,2)</f>
        <v>148.05</v>
      </c>
    </row>
    <row r="56" spans="1:9" ht="31.5" customHeight="1">
      <c r="A56" s="231" t="s">
        <v>193</v>
      </c>
      <c r="B56" s="231"/>
      <c r="C56" s="231"/>
      <c r="D56" s="231"/>
      <c r="E56" s="231"/>
      <c r="F56" s="231"/>
      <c r="G56" s="231"/>
      <c r="H56" s="231"/>
      <c r="I56" s="20">
        <f>I55</f>
        <v>148.05</v>
      </c>
    </row>
    <row r="57" spans="1:9" ht="11.25" customHeight="1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9" ht="48" customHeight="1">
      <c r="A58" s="232" t="s">
        <v>180</v>
      </c>
      <c r="B58" s="233"/>
      <c r="C58" s="233"/>
      <c r="D58" s="233"/>
      <c r="E58" s="233"/>
      <c r="F58" s="233"/>
      <c r="G58" s="233"/>
      <c r="H58" s="234"/>
      <c r="I58" s="21">
        <f>I53+I56</f>
        <v>4589.099999999999</v>
      </c>
    </row>
    <row r="59" spans="1:9" ht="9" customHeight="1">
      <c r="A59" s="235"/>
      <c r="B59" s="235"/>
      <c r="C59" s="235"/>
      <c r="D59" s="235"/>
      <c r="E59" s="235"/>
      <c r="F59" s="235"/>
      <c r="G59" s="235"/>
      <c r="H59" s="235"/>
      <c r="I59" s="235"/>
    </row>
    <row r="60" spans="1:9" ht="17.25" customHeight="1">
      <c r="A60" s="236" t="s">
        <v>268</v>
      </c>
      <c r="B60" s="236"/>
      <c r="C60" s="236"/>
      <c r="D60" s="236"/>
      <c r="E60" s="236"/>
      <c r="F60" s="236"/>
      <c r="G60" s="236"/>
      <c r="H60" s="236"/>
      <c r="I60" s="236"/>
    </row>
    <row r="61" spans="1:9" ht="8.25" customHeight="1">
      <c r="A61" s="235"/>
      <c r="B61" s="235"/>
      <c r="C61" s="235"/>
      <c r="D61" s="235"/>
      <c r="E61" s="235"/>
      <c r="F61" s="235"/>
      <c r="G61" s="235"/>
      <c r="H61" s="235"/>
      <c r="I61" s="235"/>
    </row>
    <row r="62" spans="1:9" ht="27" customHeight="1">
      <c r="A62" s="237" t="s">
        <v>23</v>
      </c>
      <c r="B62" s="237"/>
      <c r="C62" s="237"/>
      <c r="D62" s="237"/>
      <c r="E62" s="237"/>
      <c r="F62" s="237"/>
      <c r="G62" s="237"/>
      <c r="H62" s="237"/>
      <c r="I62" s="237"/>
    </row>
    <row r="63" spans="1:9" ht="27" customHeight="1">
      <c r="A63" s="238" t="s">
        <v>181</v>
      </c>
      <c r="B63" s="238"/>
      <c r="C63" s="238"/>
      <c r="D63" s="238"/>
      <c r="E63" s="238"/>
      <c r="F63" s="238"/>
      <c r="G63" s="238"/>
      <c r="H63" s="238"/>
      <c r="I63" s="238"/>
    </row>
    <row r="64" spans="1:9" ht="22.5" customHeight="1">
      <c r="A64" s="22" t="s">
        <v>24</v>
      </c>
      <c r="B64" s="239" t="s">
        <v>182</v>
      </c>
      <c r="C64" s="239"/>
      <c r="D64" s="239"/>
      <c r="E64" s="239"/>
      <c r="F64" s="239"/>
      <c r="G64" s="239"/>
      <c r="H64" s="239"/>
      <c r="I64" s="23" t="s">
        <v>25</v>
      </c>
    </row>
    <row r="65" spans="1:9" ht="19.5" customHeight="1">
      <c r="A65" s="24" t="s">
        <v>292</v>
      </c>
      <c r="B65" s="240" t="s">
        <v>26</v>
      </c>
      <c r="C65" s="240"/>
      <c r="D65" s="240"/>
      <c r="E65" s="240"/>
      <c r="F65" s="240"/>
      <c r="G65" s="240"/>
      <c r="H65" s="240"/>
      <c r="I65" s="25">
        <f>ROUND($I$53/12,2)</f>
        <v>370.09</v>
      </c>
    </row>
    <row r="66" spans="1:9" ht="18.75" customHeight="1">
      <c r="A66" s="24" t="s">
        <v>294</v>
      </c>
      <c r="B66" s="241" t="s">
        <v>271</v>
      </c>
      <c r="C66" s="242"/>
      <c r="D66" s="242"/>
      <c r="E66" s="242"/>
      <c r="F66" s="242"/>
      <c r="G66" s="242"/>
      <c r="H66" s="242"/>
      <c r="I66" s="25">
        <f>ROUND(($I$53+$I$53/3)/12,2)</f>
        <v>493.45</v>
      </c>
    </row>
    <row r="67" spans="1:9" ht="15.75" customHeight="1">
      <c r="A67" s="243" t="s">
        <v>27</v>
      </c>
      <c r="B67" s="243"/>
      <c r="C67" s="243"/>
      <c r="D67" s="243"/>
      <c r="E67" s="243"/>
      <c r="F67" s="243"/>
      <c r="G67" s="243"/>
      <c r="H67" s="243"/>
      <c r="I67" s="26">
        <f>SUM(I65+I66)</f>
        <v>863.54</v>
      </c>
    </row>
    <row r="68" spans="1:9" ht="7.5" customHeight="1">
      <c r="A68" s="244"/>
      <c r="B68" s="244"/>
      <c r="C68" s="244"/>
      <c r="D68" s="244"/>
      <c r="E68" s="244"/>
      <c r="F68" s="244"/>
      <c r="G68" s="244"/>
      <c r="H68" s="244"/>
      <c r="I68" s="244"/>
    </row>
    <row r="69" spans="1:9" ht="84" customHeight="1">
      <c r="A69" s="245" t="s">
        <v>191</v>
      </c>
      <c r="B69" s="246"/>
      <c r="C69" s="246"/>
      <c r="D69" s="246"/>
      <c r="E69" s="246"/>
      <c r="F69" s="246"/>
      <c r="G69" s="246"/>
      <c r="H69" s="246"/>
      <c r="I69" s="247"/>
    </row>
    <row r="70" spans="1:9" ht="7.5" customHeight="1">
      <c r="A70" s="333"/>
      <c r="B70" s="333"/>
      <c r="C70" s="333"/>
      <c r="D70" s="333"/>
      <c r="E70" s="333"/>
      <c r="F70" s="333"/>
      <c r="G70" s="333"/>
      <c r="H70" s="333"/>
      <c r="I70" s="333"/>
    </row>
    <row r="71" spans="1:9" s="27" customFormat="1" ht="32.25" customHeight="1">
      <c r="A71" s="249" t="s">
        <v>183</v>
      </c>
      <c r="B71" s="249"/>
      <c r="C71" s="249"/>
      <c r="D71" s="249"/>
      <c r="E71" s="249"/>
      <c r="F71" s="249"/>
      <c r="G71" s="249"/>
      <c r="H71" s="249"/>
      <c r="I71" s="249"/>
    </row>
    <row r="72" spans="1:9" s="27" customFormat="1" ht="27" customHeight="1">
      <c r="A72" s="28" t="s">
        <v>28</v>
      </c>
      <c r="B72" s="250" t="s">
        <v>29</v>
      </c>
      <c r="C72" s="250"/>
      <c r="D72" s="250"/>
      <c r="E72" s="250"/>
      <c r="F72" s="250"/>
      <c r="G72" s="250"/>
      <c r="H72" s="107" t="s">
        <v>12</v>
      </c>
      <c r="I72" s="29" t="s">
        <v>30</v>
      </c>
    </row>
    <row r="73" spans="1:9" s="27" customFormat="1" ht="18.75" customHeight="1">
      <c r="A73" s="30" t="s">
        <v>292</v>
      </c>
      <c r="B73" s="251" t="s">
        <v>31</v>
      </c>
      <c r="C73" s="251"/>
      <c r="D73" s="251"/>
      <c r="E73" s="251"/>
      <c r="F73" s="251"/>
      <c r="G73" s="251"/>
      <c r="H73" s="31">
        <v>0.2</v>
      </c>
      <c r="I73" s="32">
        <f>ROUND((I53+I67)*H73,2)</f>
        <v>1060.92</v>
      </c>
    </row>
    <row r="74" spans="1:9" s="27" customFormat="1" ht="18.75" customHeight="1">
      <c r="A74" s="30" t="s">
        <v>294</v>
      </c>
      <c r="B74" s="251" t="s">
        <v>32</v>
      </c>
      <c r="C74" s="251"/>
      <c r="D74" s="251"/>
      <c r="E74" s="251"/>
      <c r="F74" s="251"/>
      <c r="G74" s="251"/>
      <c r="H74" s="33">
        <v>0.025</v>
      </c>
      <c r="I74" s="32">
        <f>ROUND((I53+I67)*H74,2)</f>
        <v>132.61</v>
      </c>
    </row>
    <row r="75" spans="1:9" s="27" customFormat="1" ht="55.5" customHeight="1">
      <c r="A75" s="30" t="s">
        <v>297</v>
      </c>
      <c r="B75" s="187" t="s">
        <v>184</v>
      </c>
      <c r="C75" s="187"/>
      <c r="D75" s="34" t="s">
        <v>36</v>
      </c>
      <c r="E75" s="35">
        <v>0.03</v>
      </c>
      <c r="F75" s="34" t="s">
        <v>37</v>
      </c>
      <c r="G75" s="36">
        <v>1</v>
      </c>
      <c r="H75" s="37">
        <f>ROUND((E75*G75),6)</f>
        <v>0.03</v>
      </c>
      <c r="I75" s="32">
        <f>ROUND((I53+I67)*H75,2)</f>
        <v>159.14</v>
      </c>
    </row>
    <row r="76" spans="1:9" s="27" customFormat="1" ht="15.75" customHeight="1">
      <c r="A76" s="30" t="s">
        <v>300</v>
      </c>
      <c r="B76" s="251" t="s">
        <v>38</v>
      </c>
      <c r="C76" s="251"/>
      <c r="D76" s="251"/>
      <c r="E76" s="251"/>
      <c r="F76" s="251"/>
      <c r="G76" s="251"/>
      <c r="H76" s="31">
        <v>0.015</v>
      </c>
      <c r="I76" s="32">
        <f>ROUND((I53+I67)*H76,2)</f>
        <v>79.57</v>
      </c>
    </row>
    <row r="77" spans="1:9" s="27" customFormat="1" ht="15.75" customHeight="1">
      <c r="A77" s="30" t="s">
        <v>16</v>
      </c>
      <c r="B77" s="251" t="s">
        <v>39</v>
      </c>
      <c r="C77" s="251"/>
      <c r="D77" s="251"/>
      <c r="E77" s="251"/>
      <c r="F77" s="251"/>
      <c r="G77" s="251"/>
      <c r="H77" s="31">
        <v>0.01</v>
      </c>
      <c r="I77" s="32">
        <f>ROUND((I53+I67)*H77,2)</f>
        <v>53.05</v>
      </c>
    </row>
    <row r="78" spans="1:9" s="27" customFormat="1" ht="15.75" customHeight="1">
      <c r="A78" s="30" t="s">
        <v>18</v>
      </c>
      <c r="B78" s="187" t="s">
        <v>40</v>
      </c>
      <c r="C78" s="187"/>
      <c r="D78" s="187"/>
      <c r="E78" s="187"/>
      <c r="F78" s="187"/>
      <c r="G78" s="187"/>
      <c r="H78" s="33">
        <v>0.006</v>
      </c>
      <c r="I78" s="32">
        <f>ROUND((I53+I67)*H78,2)</f>
        <v>31.83</v>
      </c>
    </row>
    <row r="79" spans="1:9" s="27" customFormat="1" ht="15.75" customHeight="1">
      <c r="A79" s="30" t="s">
        <v>20</v>
      </c>
      <c r="B79" s="251" t="s">
        <v>41</v>
      </c>
      <c r="C79" s="251"/>
      <c r="D79" s="251"/>
      <c r="E79" s="251"/>
      <c r="F79" s="251"/>
      <c r="G79" s="251"/>
      <c r="H79" s="31">
        <v>0.002</v>
      </c>
      <c r="I79" s="32">
        <f>ROUND((I53+I67)*H79,2)</f>
        <v>10.61</v>
      </c>
    </row>
    <row r="80" spans="1:9" ht="15.75" customHeight="1">
      <c r="A80" s="30" t="s">
        <v>22</v>
      </c>
      <c r="B80" s="187" t="s">
        <v>42</v>
      </c>
      <c r="C80" s="187"/>
      <c r="D80" s="187"/>
      <c r="E80" s="187"/>
      <c r="F80" s="187"/>
      <c r="G80" s="187"/>
      <c r="H80" s="33">
        <v>0.08</v>
      </c>
      <c r="I80" s="32">
        <f>ROUND((I53+I67)*H80,2)</f>
        <v>424.37</v>
      </c>
    </row>
    <row r="81" spans="1:9" ht="15.75" customHeight="1">
      <c r="A81" s="252" t="s">
        <v>27</v>
      </c>
      <c r="B81" s="252"/>
      <c r="C81" s="252"/>
      <c r="D81" s="252"/>
      <c r="E81" s="252"/>
      <c r="F81" s="252"/>
      <c r="G81" s="252"/>
      <c r="H81" s="38">
        <f>SUM(H73:H80)</f>
        <v>0.36800000000000005</v>
      </c>
      <c r="I81" s="39">
        <f>SUM(I73:I80)</f>
        <v>1952.1</v>
      </c>
    </row>
    <row r="82" spans="1:9" ht="8.25" customHeight="1">
      <c r="A82" s="40"/>
      <c r="B82" s="41"/>
      <c r="C82" s="41"/>
      <c r="D82" s="41"/>
      <c r="E82" s="41"/>
      <c r="F82" s="41"/>
      <c r="G82" s="41"/>
      <c r="H82" s="42"/>
      <c r="I82" s="43"/>
    </row>
    <row r="83" spans="1:9" ht="35.25" customHeight="1">
      <c r="A83" s="218" t="s">
        <v>257</v>
      </c>
      <c r="B83" s="218"/>
      <c r="C83" s="218"/>
      <c r="D83" s="218"/>
      <c r="E83" s="218"/>
      <c r="F83" s="218"/>
      <c r="G83" s="218"/>
      <c r="H83" s="218"/>
      <c r="I83" s="218"/>
    </row>
    <row r="84" spans="1:9" ht="9.75" customHeight="1">
      <c r="A84" s="203"/>
      <c r="B84" s="203"/>
      <c r="C84" s="203"/>
      <c r="D84" s="203"/>
      <c r="E84" s="203"/>
      <c r="F84" s="203"/>
      <c r="G84" s="203"/>
      <c r="H84" s="203"/>
      <c r="I84" s="203"/>
    </row>
    <row r="85" spans="1:9" ht="20.25" customHeight="1">
      <c r="A85" s="253" t="s">
        <v>43</v>
      </c>
      <c r="B85" s="253"/>
      <c r="C85" s="253"/>
      <c r="D85" s="253"/>
      <c r="E85" s="253"/>
      <c r="F85" s="253"/>
      <c r="G85" s="253"/>
      <c r="H85" s="253"/>
      <c r="I85" s="253"/>
    </row>
    <row r="86" spans="1:9" ht="27" customHeight="1">
      <c r="A86" s="44" t="s">
        <v>44</v>
      </c>
      <c r="B86" s="221" t="s">
        <v>45</v>
      </c>
      <c r="C86" s="221"/>
      <c r="D86" s="221"/>
      <c r="E86" s="221"/>
      <c r="F86" s="221"/>
      <c r="G86" s="221"/>
      <c r="H86" s="221"/>
      <c r="I86" s="13" t="s">
        <v>25</v>
      </c>
    </row>
    <row r="87" spans="1:11" ht="23.25" customHeight="1">
      <c r="A87" s="45" t="s">
        <v>292</v>
      </c>
      <c r="B87" s="254" t="s">
        <v>46</v>
      </c>
      <c r="C87" s="254"/>
      <c r="D87" s="254"/>
      <c r="E87" s="254"/>
      <c r="F87" s="254"/>
      <c r="G87" s="254"/>
      <c r="H87" s="254"/>
      <c r="I87" s="46">
        <f>IF(ROUND((H88*H90*H89)-(I46*H91),2)&lt;0,0,ROUND((H88*H90*H89)-(I46*H91),2))</f>
        <v>108.29</v>
      </c>
      <c r="K87" s="1">
        <f>1/12</f>
        <v>0.08333333333333333</v>
      </c>
    </row>
    <row r="88" spans="1:9" ht="27" customHeight="1">
      <c r="A88" s="45"/>
      <c r="B88" s="254" t="s">
        <v>47</v>
      </c>
      <c r="C88" s="254"/>
      <c r="D88" s="254"/>
      <c r="E88" s="254"/>
      <c r="F88" s="254"/>
      <c r="G88" s="254"/>
      <c r="H88" s="47">
        <v>4.7</v>
      </c>
      <c r="I88" s="48" t="s">
        <v>308</v>
      </c>
    </row>
    <row r="89" spans="1:9" ht="19.5" customHeight="1">
      <c r="A89" s="45"/>
      <c r="B89" s="187" t="s">
        <v>48</v>
      </c>
      <c r="C89" s="187"/>
      <c r="D89" s="187"/>
      <c r="E89" s="187"/>
      <c r="F89" s="187"/>
      <c r="G89" s="187"/>
      <c r="H89" s="49">
        <v>2</v>
      </c>
      <c r="I89" s="48" t="s">
        <v>308</v>
      </c>
    </row>
    <row r="90" spans="1:9" ht="19.5" customHeight="1">
      <c r="A90" s="45"/>
      <c r="B90" s="213" t="s">
        <v>49</v>
      </c>
      <c r="C90" s="213"/>
      <c r="D90" s="213"/>
      <c r="E90" s="213"/>
      <c r="F90" s="213"/>
      <c r="G90" s="213"/>
      <c r="H90" s="50">
        <v>30</v>
      </c>
      <c r="I90" s="48"/>
    </row>
    <row r="91" spans="1:9" ht="19.5" customHeight="1">
      <c r="A91" s="45"/>
      <c r="B91" s="213" t="s">
        <v>50</v>
      </c>
      <c r="C91" s="213"/>
      <c r="D91" s="213"/>
      <c r="E91" s="213"/>
      <c r="F91" s="213"/>
      <c r="G91" s="213"/>
      <c r="H91" s="51">
        <v>0.06</v>
      </c>
      <c r="I91" s="48"/>
    </row>
    <row r="92" spans="1:9" ht="14.25" customHeight="1">
      <c r="A92" s="45" t="s">
        <v>294</v>
      </c>
      <c r="B92" s="254" t="s">
        <v>51</v>
      </c>
      <c r="C92" s="254"/>
      <c r="D92" s="254"/>
      <c r="E92" s="254"/>
      <c r="F92" s="254"/>
      <c r="G92" s="254"/>
      <c r="H92" s="254"/>
      <c r="I92" s="52">
        <f>ROUND(H94*H93*(1-H95),2)*1+ROUND(21.726*6*(1-H95),2)*0</f>
        <v>461.52</v>
      </c>
    </row>
    <row r="93" spans="1:9" ht="15.75" customHeight="1">
      <c r="A93" s="45"/>
      <c r="B93" s="254" t="s">
        <v>52</v>
      </c>
      <c r="C93" s="254"/>
      <c r="D93" s="254"/>
      <c r="E93" s="254"/>
      <c r="F93" s="254"/>
      <c r="G93" s="254"/>
      <c r="H93" s="47">
        <v>19.23</v>
      </c>
      <c r="I93" s="48" t="s">
        <v>308</v>
      </c>
    </row>
    <row r="94" spans="1:9" ht="15.75" customHeight="1">
      <c r="A94" s="45"/>
      <c r="B94" s="254" t="s">
        <v>53</v>
      </c>
      <c r="C94" s="254"/>
      <c r="D94" s="254"/>
      <c r="E94" s="254"/>
      <c r="F94" s="254"/>
      <c r="G94" s="254"/>
      <c r="H94" s="50">
        <v>30</v>
      </c>
      <c r="I94" s="48"/>
    </row>
    <row r="95" spans="1:9" ht="15.75" customHeight="1">
      <c r="A95" s="45"/>
      <c r="B95" s="213" t="s">
        <v>54</v>
      </c>
      <c r="C95" s="213"/>
      <c r="D95" s="213"/>
      <c r="E95" s="213"/>
      <c r="F95" s="213"/>
      <c r="G95" s="213"/>
      <c r="H95" s="51">
        <v>0.2</v>
      </c>
      <c r="I95" s="48"/>
    </row>
    <row r="96" spans="1:9" ht="15.75" customHeight="1">
      <c r="A96" s="45" t="s">
        <v>297</v>
      </c>
      <c r="B96" s="254" t="s">
        <v>55</v>
      </c>
      <c r="C96" s="254"/>
      <c r="D96" s="254"/>
      <c r="E96" s="254"/>
      <c r="F96" s="254"/>
      <c r="G96" s="254"/>
      <c r="H96" s="254"/>
      <c r="I96" s="46">
        <v>0</v>
      </c>
    </row>
    <row r="97" spans="1:9" ht="26.25" customHeight="1">
      <c r="A97" s="45" t="s">
        <v>300</v>
      </c>
      <c r="B97" s="254" t="s">
        <v>56</v>
      </c>
      <c r="C97" s="254"/>
      <c r="D97" s="254"/>
      <c r="E97" s="254"/>
      <c r="F97" s="254"/>
      <c r="G97" s="254"/>
      <c r="H97" s="254"/>
      <c r="I97" s="46">
        <f>ROUND($I$53*26*0.00023,2)</f>
        <v>26.56</v>
      </c>
    </row>
    <row r="98" spans="1:9" s="27" customFormat="1" ht="18.75" customHeight="1">
      <c r="A98" s="45" t="s">
        <v>16</v>
      </c>
      <c r="B98" s="187" t="s">
        <v>57</v>
      </c>
      <c r="C98" s="187"/>
      <c r="D98" s="187"/>
      <c r="E98" s="187"/>
      <c r="F98" s="187"/>
      <c r="G98" s="187"/>
      <c r="H98" s="187"/>
      <c r="I98" s="46">
        <f>ROUND(($I$46*0.0052066)/12,2)</f>
        <v>1.26</v>
      </c>
    </row>
    <row r="99" spans="1:9" s="27" customFormat="1" ht="15.75" customHeight="1">
      <c r="A99" s="45" t="s">
        <v>18</v>
      </c>
      <c r="B99" s="255" t="s">
        <v>58</v>
      </c>
      <c r="C99" s="255"/>
      <c r="D99" s="255"/>
      <c r="E99" s="255"/>
      <c r="F99" s="255"/>
      <c r="G99" s="255"/>
      <c r="H99" s="255"/>
      <c r="I99" s="53">
        <v>0</v>
      </c>
    </row>
    <row r="100" spans="1:9" s="27" customFormat="1" ht="18" customHeight="1">
      <c r="A100" s="54"/>
      <c r="B100" s="256" t="s">
        <v>27</v>
      </c>
      <c r="C100" s="256"/>
      <c r="D100" s="256"/>
      <c r="E100" s="256"/>
      <c r="F100" s="256"/>
      <c r="G100" s="256"/>
      <c r="H100" s="256"/>
      <c r="I100" s="39">
        <f>SUM(I87:I99)</f>
        <v>597.6299999999999</v>
      </c>
    </row>
    <row r="101" spans="1:9" s="27" customFormat="1" ht="9" customHeight="1">
      <c r="A101" s="203"/>
      <c r="B101" s="203"/>
      <c r="C101" s="203"/>
      <c r="D101" s="203"/>
      <c r="E101" s="203"/>
      <c r="F101" s="203"/>
      <c r="G101" s="203"/>
      <c r="H101" s="203"/>
      <c r="I101" s="203"/>
    </row>
    <row r="102" spans="1:9" s="27" customFormat="1" ht="32.25" customHeight="1">
      <c r="A102" s="218" t="s">
        <v>59</v>
      </c>
      <c r="B102" s="218"/>
      <c r="C102" s="218"/>
      <c r="D102" s="218"/>
      <c r="E102" s="218"/>
      <c r="F102" s="218"/>
      <c r="G102" s="218"/>
      <c r="H102" s="218"/>
      <c r="I102" s="218"/>
    </row>
    <row r="103" spans="1:9" s="27" customFormat="1" ht="8.25" customHeight="1">
      <c r="A103" s="201"/>
      <c r="B103" s="201"/>
      <c r="C103" s="201"/>
      <c r="D103" s="201"/>
      <c r="E103" s="201"/>
      <c r="F103" s="201"/>
      <c r="G103" s="201"/>
      <c r="H103" s="201"/>
      <c r="I103" s="201"/>
    </row>
    <row r="104" spans="1:9" s="27" customFormat="1" ht="17.25" customHeight="1">
      <c r="A104" s="257" t="s">
        <v>60</v>
      </c>
      <c r="B104" s="257"/>
      <c r="C104" s="257"/>
      <c r="D104" s="257"/>
      <c r="E104" s="257"/>
      <c r="F104" s="257"/>
      <c r="G104" s="257"/>
      <c r="H104" s="257"/>
      <c r="I104" s="257"/>
    </row>
    <row r="105" spans="1:9" s="27" customFormat="1" ht="15.75" customHeight="1">
      <c r="A105" s="29">
        <v>2</v>
      </c>
      <c r="B105" s="250" t="s">
        <v>61</v>
      </c>
      <c r="C105" s="250"/>
      <c r="D105" s="250"/>
      <c r="E105" s="250"/>
      <c r="F105" s="250"/>
      <c r="G105" s="250"/>
      <c r="H105" s="250"/>
      <c r="I105" s="29" t="s">
        <v>25</v>
      </c>
    </row>
    <row r="106" spans="1:9" s="27" customFormat="1" ht="14.25" customHeight="1">
      <c r="A106" s="55" t="s">
        <v>24</v>
      </c>
      <c r="B106" s="258" t="s">
        <v>185</v>
      </c>
      <c r="C106" s="258"/>
      <c r="D106" s="258"/>
      <c r="E106" s="258"/>
      <c r="F106" s="258"/>
      <c r="G106" s="258"/>
      <c r="H106" s="258"/>
      <c r="I106" s="56">
        <f>I67</f>
        <v>863.54</v>
      </c>
    </row>
    <row r="107" spans="1:9" s="27" customFormat="1" ht="14.25" customHeight="1">
      <c r="A107" s="55" t="s">
        <v>28</v>
      </c>
      <c r="B107" s="258" t="s">
        <v>29</v>
      </c>
      <c r="C107" s="258"/>
      <c r="D107" s="258"/>
      <c r="E107" s="258"/>
      <c r="F107" s="258"/>
      <c r="G107" s="258"/>
      <c r="H107" s="258"/>
      <c r="I107" s="56">
        <f>I81</f>
        <v>1952.1</v>
      </c>
    </row>
    <row r="108" spans="1:9" s="27" customFormat="1" ht="14.25" customHeight="1">
      <c r="A108" s="55" t="s">
        <v>44</v>
      </c>
      <c r="B108" s="258" t="s">
        <v>45</v>
      </c>
      <c r="C108" s="258"/>
      <c r="D108" s="258"/>
      <c r="E108" s="258"/>
      <c r="F108" s="258"/>
      <c r="G108" s="258"/>
      <c r="H108" s="258"/>
      <c r="I108" s="56">
        <f>I100</f>
        <v>597.6299999999999</v>
      </c>
    </row>
    <row r="109" spans="1:9" s="27" customFormat="1" ht="14.25" customHeight="1">
      <c r="A109" s="259" t="s">
        <v>27</v>
      </c>
      <c r="B109" s="259"/>
      <c r="C109" s="259"/>
      <c r="D109" s="259"/>
      <c r="E109" s="259"/>
      <c r="F109" s="259"/>
      <c r="G109" s="259"/>
      <c r="H109" s="259"/>
      <c r="I109" s="57">
        <f>SUM(I106+I107+I108)</f>
        <v>3413.2699999999995</v>
      </c>
    </row>
    <row r="110" spans="1:9" s="27" customFormat="1" ht="8.25" customHeight="1">
      <c r="A110" s="260"/>
      <c r="B110" s="260"/>
      <c r="C110" s="260"/>
      <c r="D110" s="260"/>
      <c r="E110" s="260"/>
      <c r="F110" s="260"/>
      <c r="G110" s="260"/>
      <c r="H110" s="260"/>
      <c r="I110" s="260"/>
    </row>
    <row r="111" spans="1:9" s="27" customFormat="1" ht="20.25" customHeight="1">
      <c r="A111" s="261" t="s">
        <v>62</v>
      </c>
      <c r="B111" s="261"/>
      <c r="C111" s="261"/>
      <c r="D111" s="261"/>
      <c r="E111" s="261"/>
      <c r="F111" s="261"/>
      <c r="G111" s="261"/>
      <c r="H111" s="261"/>
      <c r="I111" s="261"/>
    </row>
    <row r="112" spans="1:9" s="27" customFormat="1" ht="15" customHeight="1">
      <c r="A112" s="44">
        <v>3</v>
      </c>
      <c r="B112" s="262" t="s">
        <v>63</v>
      </c>
      <c r="C112" s="262"/>
      <c r="D112" s="262"/>
      <c r="E112" s="262"/>
      <c r="F112" s="262"/>
      <c r="G112" s="262"/>
      <c r="H112" s="262"/>
      <c r="I112" s="44" t="s">
        <v>25</v>
      </c>
    </row>
    <row r="113" spans="1:9" s="27" customFormat="1" ht="44.25" customHeight="1">
      <c r="A113" s="45" t="s">
        <v>292</v>
      </c>
      <c r="B113" s="263" t="s">
        <v>64</v>
      </c>
      <c r="C113" s="263"/>
      <c r="D113" s="263"/>
      <c r="E113" s="263"/>
      <c r="F113" s="263"/>
      <c r="G113" s="263"/>
      <c r="H113" s="263"/>
      <c r="I113" s="32">
        <f>ROUND((($I$53/12)+($I$65/12)+($I$53/12/12)+($I$66/12))*(30/30)*0.05,2)</f>
        <v>23.64</v>
      </c>
    </row>
    <row r="114" spans="1:9" s="27" customFormat="1" ht="14.25" customHeight="1">
      <c r="A114" s="45" t="s">
        <v>294</v>
      </c>
      <c r="B114" s="241" t="s">
        <v>65</v>
      </c>
      <c r="C114" s="241"/>
      <c r="D114" s="241"/>
      <c r="E114" s="241"/>
      <c r="F114" s="241"/>
      <c r="G114" s="241"/>
      <c r="H114" s="241"/>
      <c r="I114" s="32">
        <f>ROUND($H$80*I113,2)</f>
        <v>1.89</v>
      </c>
    </row>
    <row r="115" spans="1:9" s="27" customFormat="1" ht="25.5" customHeight="1">
      <c r="A115" s="45" t="s">
        <v>297</v>
      </c>
      <c r="B115" s="251" t="s">
        <v>187</v>
      </c>
      <c r="C115" s="251"/>
      <c r="D115" s="251"/>
      <c r="E115" s="251"/>
      <c r="F115" s="251"/>
      <c r="G115" s="251"/>
      <c r="H115" s="251"/>
      <c r="I115" s="32">
        <f>ROUND((0.08*0.5*SUM($I$53+$I$65+$I$66)*0.05),2)</f>
        <v>10.61</v>
      </c>
    </row>
    <row r="116" spans="1:9" s="27" customFormat="1" ht="27.75" customHeight="1">
      <c r="A116" s="45" t="s">
        <v>300</v>
      </c>
      <c r="B116" s="251" t="s">
        <v>66</v>
      </c>
      <c r="C116" s="251"/>
      <c r="D116" s="251"/>
      <c r="E116" s="251"/>
      <c r="F116" s="251"/>
      <c r="G116" s="251"/>
      <c r="H116" s="251"/>
      <c r="I116" s="32">
        <f>ROUND(((7/30)/$H$11)*$I$53*1,2)</f>
        <v>86.35</v>
      </c>
    </row>
    <row r="117" spans="1:9" s="27" customFormat="1" ht="23.25" customHeight="1">
      <c r="A117" s="45" t="s">
        <v>16</v>
      </c>
      <c r="B117" s="241" t="s">
        <v>258</v>
      </c>
      <c r="C117" s="241"/>
      <c r="D117" s="241"/>
      <c r="E117" s="241"/>
      <c r="F117" s="241"/>
      <c r="G117" s="241"/>
      <c r="H117" s="241"/>
      <c r="I117" s="32">
        <f>ROUND($H$81*I116,2)</f>
        <v>31.78</v>
      </c>
    </row>
    <row r="118" spans="1:9" s="27" customFormat="1" ht="26.25" customHeight="1">
      <c r="A118" s="45" t="s">
        <v>18</v>
      </c>
      <c r="B118" s="251" t="s">
        <v>188</v>
      </c>
      <c r="C118" s="251"/>
      <c r="D118" s="251"/>
      <c r="E118" s="251"/>
      <c r="F118" s="251"/>
      <c r="G118" s="251"/>
      <c r="H118" s="251"/>
      <c r="I118" s="32">
        <f>ROUND(0.08*0.5*SUM($I$53+$I$65+$I$66)*1,2)</f>
        <v>212.18</v>
      </c>
    </row>
    <row r="119" spans="1:9" s="27" customFormat="1" ht="15.75" customHeight="1">
      <c r="A119" s="252" t="s">
        <v>67</v>
      </c>
      <c r="B119" s="252"/>
      <c r="C119" s="252"/>
      <c r="D119" s="252"/>
      <c r="E119" s="252"/>
      <c r="F119" s="252"/>
      <c r="G119" s="252"/>
      <c r="H119" s="252"/>
      <c r="I119" s="39">
        <f>SUM(I113:I118)</f>
        <v>366.45</v>
      </c>
    </row>
    <row r="120" spans="1:9" s="27" customFormat="1" ht="9" customHeight="1">
      <c r="A120" s="264"/>
      <c r="B120" s="264"/>
      <c r="C120" s="264"/>
      <c r="D120" s="264"/>
      <c r="E120" s="264"/>
      <c r="F120" s="264"/>
      <c r="G120" s="264"/>
      <c r="H120" s="264"/>
      <c r="I120" s="264"/>
    </row>
    <row r="121" spans="1:9" ht="24" customHeight="1">
      <c r="A121" s="265" t="s">
        <v>68</v>
      </c>
      <c r="B121" s="265"/>
      <c r="C121" s="265"/>
      <c r="D121" s="265"/>
      <c r="E121" s="265"/>
      <c r="F121" s="265"/>
      <c r="G121" s="265"/>
      <c r="H121" s="265"/>
      <c r="I121" s="265"/>
    </row>
    <row r="122" spans="1:9" ht="26.25" customHeight="1">
      <c r="A122" s="266" t="s">
        <v>259</v>
      </c>
      <c r="B122" s="266"/>
      <c r="C122" s="266"/>
      <c r="D122" s="266"/>
      <c r="E122" s="266"/>
      <c r="F122" s="266"/>
      <c r="G122" s="266"/>
      <c r="H122" s="266"/>
      <c r="I122" s="266"/>
    </row>
    <row r="123" spans="1:9" ht="45" customHeight="1">
      <c r="A123" s="330" t="s">
        <v>192</v>
      </c>
      <c r="B123" s="246"/>
      <c r="C123" s="246"/>
      <c r="D123" s="246"/>
      <c r="E123" s="246"/>
      <c r="F123" s="246"/>
      <c r="G123" s="246"/>
      <c r="H123" s="246"/>
      <c r="I123" s="247"/>
    </row>
    <row r="124" spans="1:9" ht="36.75" customHeight="1">
      <c r="A124" s="98" t="s">
        <v>157</v>
      </c>
      <c r="B124" s="100">
        <f>I53</f>
        <v>4441.049999999999</v>
      </c>
      <c r="C124" s="102" t="s">
        <v>155</v>
      </c>
      <c r="D124" s="98" t="s">
        <v>278</v>
      </c>
      <c r="E124" s="100">
        <f>I109</f>
        <v>3413.2699999999995</v>
      </c>
      <c r="F124" s="102" t="s">
        <v>155</v>
      </c>
      <c r="G124" s="98" t="s">
        <v>279</v>
      </c>
      <c r="H124" s="100">
        <f>I119</f>
        <v>366.45</v>
      </c>
      <c r="I124" s="99">
        <f>B124+E124+H124</f>
        <v>8220.769999999999</v>
      </c>
    </row>
    <row r="125" spans="1:9" ht="7.5" customHeight="1">
      <c r="A125" s="267"/>
      <c r="B125" s="267"/>
      <c r="C125" s="267"/>
      <c r="D125" s="267"/>
      <c r="E125" s="267"/>
      <c r="F125" s="267"/>
      <c r="G125" s="267"/>
      <c r="H125" s="267"/>
      <c r="I125" s="267"/>
    </row>
    <row r="126" spans="1:9" ht="36" customHeight="1">
      <c r="A126" s="274" t="s">
        <v>276</v>
      </c>
      <c r="B126" s="275"/>
      <c r="C126" s="275"/>
      <c r="D126" s="275"/>
      <c r="E126" s="276"/>
      <c r="F126" s="274" t="s">
        <v>154</v>
      </c>
      <c r="G126" s="276"/>
      <c r="H126" s="103">
        <f>ROUND(I124/30,2)</f>
        <v>274.03</v>
      </c>
      <c r="I126" s="101"/>
    </row>
    <row r="127" spans="1:9" ht="24" customHeight="1">
      <c r="A127" s="58" t="s">
        <v>69</v>
      </c>
      <c r="B127" s="262" t="s">
        <v>261</v>
      </c>
      <c r="C127" s="262"/>
      <c r="D127" s="262"/>
      <c r="E127" s="262"/>
      <c r="F127" s="262"/>
      <c r="G127" s="262"/>
      <c r="H127" s="262"/>
      <c r="I127" s="58" t="s">
        <v>25</v>
      </c>
    </row>
    <row r="128" spans="1:9" ht="14.25" customHeight="1">
      <c r="A128" s="45" t="s">
        <v>292</v>
      </c>
      <c r="B128" s="241" t="s">
        <v>262</v>
      </c>
      <c r="C128" s="241"/>
      <c r="D128" s="241"/>
      <c r="E128" s="241"/>
      <c r="F128" s="241"/>
      <c r="G128" s="241"/>
      <c r="H128" s="241"/>
      <c r="I128" s="32">
        <f>ROUND(I124/12,2)</f>
        <v>685.06</v>
      </c>
    </row>
    <row r="129" spans="1:9" ht="14.25" customHeight="1">
      <c r="A129" s="45" t="s">
        <v>294</v>
      </c>
      <c r="B129" s="251" t="s">
        <v>150</v>
      </c>
      <c r="C129" s="251"/>
      <c r="D129" s="251"/>
      <c r="E129" s="251"/>
      <c r="F129" s="251"/>
      <c r="G129" s="251"/>
      <c r="H129" s="251"/>
      <c r="I129" s="32">
        <f>ROUND((1/30)/12*(I124),2)</f>
        <v>22.84</v>
      </c>
    </row>
    <row r="130" spans="1:9" ht="23.25" customHeight="1">
      <c r="A130" s="45" t="s">
        <v>297</v>
      </c>
      <c r="B130" s="251" t="s">
        <v>263</v>
      </c>
      <c r="C130" s="251"/>
      <c r="D130" s="251"/>
      <c r="E130" s="251"/>
      <c r="F130" s="251"/>
      <c r="G130" s="251"/>
      <c r="H130" s="251"/>
      <c r="I130" s="32">
        <f>ROUND((5/30)/12*0.015*(I124),2)</f>
        <v>1.71</v>
      </c>
    </row>
    <row r="131" spans="1:9" ht="24" customHeight="1">
      <c r="A131" s="45" t="s">
        <v>300</v>
      </c>
      <c r="B131" s="251" t="s">
        <v>264</v>
      </c>
      <c r="C131" s="251"/>
      <c r="D131" s="251"/>
      <c r="E131" s="251"/>
      <c r="F131" s="251"/>
      <c r="G131" s="251"/>
      <c r="H131" s="251"/>
      <c r="I131" s="32">
        <f>ROUND(((15/30)/12)*0.0078*(I124),2)</f>
        <v>2.67</v>
      </c>
    </row>
    <row r="132" spans="1:9" ht="24" customHeight="1">
      <c r="A132" s="45" t="s">
        <v>16</v>
      </c>
      <c r="B132" s="187" t="s">
        <v>160</v>
      </c>
      <c r="C132" s="187"/>
      <c r="D132" s="187"/>
      <c r="E132" s="187"/>
      <c r="F132" s="187"/>
      <c r="G132" s="187"/>
      <c r="H132" s="187"/>
      <c r="I132" s="32">
        <f>ROUND(((((I53+I53/3)/12)+(I81+I100+I119))*4/12)*0.02,2)</f>
        <v>22.73</v>
      </c>
    </row>
    <row r="133" spans="1:9" ht="36.75" customHeight="1">
      <c r="A133" s="45" t="s">
        <v>18</v>
      </c>
      <c r="B133" s="251" t="s">
        <v>189</v>
      </c>
      <c r="C133" s="251"/>
      <c r="D133" s="251"/>
      <c r="E133" s="251"/>
      <c r="F133" s="251"/>
      <c r="G133" s="251"/>
      <c r="H133" s="251"/>
      <c r="I133" s="32">
        <f>ROUND(((3/30)/12)*(I124),2)</f>
        <v>68.51</v>
      </c>
    </row>
    <row r="134" spans="1:9" ht="15.75" customHeight="1">
      <c r="A134" s="252" t="s">
        <v>27</v>
      </c>
      <c r="B134" s="252"/>
      <c r="C134" s="252"/>
      <c r="D134" s="252"/>
      <c r="E134" s="252"/>
      <c r="F134" s="252"/>
      <c r="G134" s="252"/>
      <c r="H134" s="252"/>
      <c r="I134" s="39">
        <f>SUM(I128:I133)</f>
        <v>803.52</v>
      </c>
    </row>
    <row r="135" spans="1:9" ht="9" customHeight="1">
      <c r="A135" s="264"/>
      <c r="B135" s="264"/>
      <c r="C135" s="264"/>
      <c r="D135" s="264"/>
      <c r="E135" s="264"/>
      <c r="F135" s="264"/>
      <c r="G135" s="264"/>
      <c r="H135" s="264"/>
      <c r="I135" s="264"/>
    </row>
    <row r="136" spans="1:9" ht="15.75" customHeight="1">
      <c r="A136" s="253" t="s">
        <v>285</v>
      </c>
      <c r="B136" s="253"/>
      <c r="C136" s="253"/>
      <c r="D136" s="253"/>
      <c r="E136" s="253"/>
      <c r="F136" s="253"/>
      <c r="G136" s="253"/>
      <c r="H136" s="253"/>
      <c r="I136" s="253"/>
    </row>
    <row r="137" spans="1:9" ht="15.75" customHeight="1">
      <c r="A137" s="59" t="s">
        <v>70</v>
      </c>
      <c r="B137" s="279" t="s">
        <v>286</v>
      </c>
      <c r="C137" s="279"/>
      <c r="D137" s="279"/>
      <c r="E137" s="279"/>
      <c r="F137" s="279"/>
      <c r="G137" s="279"/>
      <c r="H137" s="279"/>
      <c r="I137" s="60" t="s">
        <v>25</v>
      </c>
    </row>
    <row r="138" spans="1:9" ht="15.75" customHeight="1">
      <c r="A138" s="24" t="s">
        <v>292</v>
      </c>
      <c r="B138" s="240" t="s">
        <v>287</v>
      </c>
      <c r="C138" s="240"/>
      <c r="D138" s="240"/>
      <c r="E138" s="240"/>
      <c r="F138" s="240"/>
      <c r="G138" s="240"/>
      <c r="H138" s="240"/>
      <c r="I138" s="61">
        <v>0</v>
      </c>
    </row>
    <row r="139" spans="1:9" ht="15.75" customHeight="1">
      <c r="A139" s="243" t="s">
        <v>27</v>
      </c>
      <c r="B139" s="243"/>
      <c r="C139" s="243"/>
      <c r="D139" s="243"/>
      <c r="E139" s="243"/>
      <c r="F139" s="243"/>
      <c r="G139" s="243"/>
      <c r="H139" s="243"/>
      <c r="I139" s="26">
        <f>SUM(I134)</f>
        <v>803.52</v>
      </c>
    </row>
    <row r="140" spans="1:9" ht="7.5" customHeight="1">
      <c r="A140" s="278"/>
      <c r="B140" s="278"/>
      <c r="C140" s="278"/>
      <c r="D140" s="278"/>
      <c r="E140" s="278"/>
      <c r="F140" s="278"/>
      <c r="G140" s="278"/>
      <c r="H140" s="278"/>
      <c r="I140" s="278"/>
    </row>
    <row r="141" spans="1:9" ht="23.25" customHeight="1">
      <c r="A141" s="237" t="s">
        <v>71</v>
      </c>
      <c r="B141" s="237"/>
      <c r="C141" s="237"/>
      <c r="D141" s="237"/>
      <c r="E141" s="237"/>
      <c r="F141" s="237"/>
      <c r="G141" s="237"/>
      <c r="H141" s="237"/>
      <c r="I141" s="237"/>
    </row>
    <row r="142" spans="1:9" ht="23.25" customHeight="1">
      <c r="A142" s="29">
        <v>4</v>
      </c>
      <c r="B142" s="279" t="s">
        <v>72</v>
      </c>
      <c r="C142" s="279"/>
      <c r="D142" s="279"/>
      <c r="E142" s="279"/>
      <c r="F142" s="279"/>
      <c r="G142" s="279"/>
      <c r="H142" s="279"/>
      <c r="I142" s="60" t="s">
        <v>25</v>
      </c>
    </row>
    <row r="143" spans="1:9" ht="18.75" customHeight="1">
      <c r="A143" s="62" t="s">
        <v>69</v>
      </c>
      <c r="B143" s="240" t="s">
        <v>261</v>
      </c>
      <c r="C143" s="240"/>
      <c r="D143" s="240"/>
      <c r="E143" s="240"/>
      <c r="F143" s="240"/>
      <c r="G143" s="240"/>
      <c r="H143" s="240"/>
      <c r="I143" s="61">
        <f>I138</f>
        <v>0</v>
      </c>
    </row>
    <row r="144" spans="1:9" ht="21.75" customHeight="1">
      <c r="A144" s="62" t="s">
        <v>73</v>
      </c>
      <c r="B144" s="240" t="s">
        <v>286</v>
      </c>
      <c r="C144" s="240"/>
      <c r="D144" s="240"/>
      <c r="E144" s="240"/>
      <c r="F144" s="240"/>
      <c r="G144" s="240"/>
      <c r="H144" s="240"/>
      <c r="I144" s="61">
        <f>I139</f>
        <v>803.52</v>
      </c>
    </row>
    <row r="145" spans="1:9" ht="23.25" customHeight="1">
      <c r="A145" s="280" t="s">
        <v>27</v>
      </c>
      <c r="B145" s="280"/>
      <c r="C145" s="280"/>
      <c r="D145" s="280"/>
      <c r="E145" s="280"/>
      <c r="F145" s="280"/>
      <c r="G145" s="280"/>
      <c r="H145" s="280"/>
      <c r="I145" s="26">
        <f>SUM(I143+I144)</f>
        <v>803.52</v>
      </c>
    </row>
    <row r="146" spans="1:9" ht="7.5" customHeight="1">
      <c r="A146" s="278"/>
      <c r="B146" s="278"/>
      <c r="C146" s="278"/>
      <c r="D146" s="278"/>
      <c r="E146" s="278"/>
      <c r="F146" s="278"/>
      <c r="G146" s="278"/>
      <c r="H146" s="278"/>
      <c r="I146" s="278"/>
    </row>
    <row r="147" spans="1:9" s="27" customFormat="1" ht="27.75" customHeight="1">
      <c r="A147" s="265" t="s">
        <v>74</v>
      </c>
      <c r="B147" s="265"/>
      <c r="C147" s="265"/>
      <c r="D147" s="265"/>
      <c r="E147" s="265"/>
      <c r="F147" s="265"/>
      <c r="G147" s="265"/>
      <c r="H147" s="265"/>
      <c r="I147" s="265"/>
    </row>
    <row r="148" spans="1:9" ht="27" customHeight="1">
      <c r="A148" s="44">
        <v>3</v>
      </c>
      <c r="B148" s="221" t="s">
        <v>75</v>
      </c>
      <c r="C148" s="221"/>
      <c r="D148" s="221"/>
      <c r="E148" s="221"/>
      <c r="F148" s="221"/>
      <c r="G148" s="221"/>
      <c r="H148" s="221"/>
      <c r="I148" s="44" t="s">
        <v>25</v>
      </c>
    </row>
    <row r="149" spans="1:9" ht="27" customHeight="1">
      <c r="A149" s="45" t="s">
        <v>292</v>
      </c>
      <c r="B149" s="187" t="s">
        <v>34</v>
      </c>
      <c r="C149" s="187"/>
      <c r="D149" s="187"/>
      <c r="E149" s="187"/>
      <c r="F149" s="187"/>
      <c r="G149" s="187"/>
      <c r="H149" s="187"/>
      <c r="I149" s="46">
        <v>82</v>
      </c>
    </row>
    <row r="150" spans="1:9" ht="15.75" customHeight="1">
      <c r="A150" s="45" t="s">
        <v>294</v>
      </c>
      <c r="B150" s="187" t="s">
        <v>76</v>
      </c>
      <c r="C150" s="187"/>
      <c r="D150" s="187"/>
      <c r="E150" s="187"/>
      <c r="F150" s="187"/>
      <c r="G150" s="187"/>
      <c r="H150" s="187"/>
      <c r="I150" s="53">
        <v>151</v>
      </c>
    </row>
    <row r="151" spans="1:9" ht="17.25" customHeight="1">
      <c r="A151" s="45" t="s">
        <v>297</v>
      </c>
      <c r="B151" s="187" t="s">
        <v>58</v>
      </c>
      <c r="C151" s="187"/>
      <c r="D151" s="187"/>
      <c r="E151" s="187"/>
      <c r="F151" s="187"/>
      <c r="G151" s="187"/>
      <c r="H151" s="187"/>
      <c r="I151" s="53" t="s">
        <v>77</v>
      </c>
    </row>
    <row r="152" spans="1:9" ht="15.75" customHeight="1">
      <c r="A152" s="252" t="s">
        <v>78</v>
      </c>
      <c r="B152" s="252"/>
      <c r="C152" s="252"/>
      <c r="D152" s="252"/>
      <c r="E152" s="252"/>
      <c r="F152" s="252"/>
      <c r="G152" s="252"/>
      <c r="H152" s="252"/>
      <c r="I152" s="63">
        <f>ROUND(SUM(I149:I151),2)</f>
        <v>233</v>
      </c>
    </row>
    <row r="153" spans="1:9" ht="7.5" customHeight="1">
      <c r="A153" s="281"/>
      <c r="B153" s="281"/>
      <c r="C153" s="281"/>
      <c r="D153" s="281"/>
      <c r="E153" s="281"/>
      <c r="F153" s="281"/>
      <c r="G153" s="281"/>
      <c r="H153" s="281"/>
      <c r="I153" s="281"/>
    </row>
    <row r="154" spans="1:9" ht="15.75" customHeight="1">
      <c r="A154" s="282" t="s">
        <v>79</v>
      </c>
      <c r="B154" s="282"/>
      <c r="C154" s="282"/>
      <c r="D154" s="282"/>
      <c r="E154" s="282"/>
      <c r="F154" s="282"/>
      <c r="G154" s="282"/>
      <c r="H154" s="282"/>
      <c r="I154" s="282"/>
    </row>
    <row r="155" spans="1:9" ht="6.75" customHeight="1">
      <c r="A155" s="64"/>
      <c r="B155" s="65"/>
      <c r="C155" s="65"/>
      <c r="D155" s="65"/>
      <c r="E155" s="65"/>
      <c r="F155" s="65"/>
      <c r="G155" s="65"/>
      <c r="H155" s="65"/>
      <c r="I155" s="66"/>
    </row>
    <row r="156" spans="1:9" ht="16.5" customHeight="1">
      <c r="A156" s="261" t="s">
        <v>80</v>
      </c>
      <c r="B156" s="261"/>
      <c r="C156" s="261"/>
      <c r="D156" s="261"/>
      <c r="E156" s="261"/>
      <c r="F156" s="261"/>
      <c r="G156" s="261"/>
      <c r="H156" s="261"/>
      <c r="I156" s="261"/>
    </row>
    <row r="157" spans="1:9" ht="30">
      <c r="A157" s="44">
        <v>6</v>
      </c>
      <c r="B157" s="262" t="s">
        <v>81</v>
      </c>
      <c r="C157" s="262"/>
      <c r="D157" s="262"/>
      <c r="E157" s="262"/>
      <c r="F157" s="262"/>
      <c r="G157" s="262"/>
      <c r="H157" s="5" t="s">
        <v>12</v>
      </c>
      <c r="I157" s="67" t="s">
        <v>30</v>
      </c>
    </row>
    <row r="158" spans="1:9" ht="50.25" customHeight="1">
      <c r="A158" s="283" t="s">
        <v>82</v>
      </c>
      <c r="B158" s="283"/>
      <c r="C158" s="283"/>
      <c r="D158" s="283"/>
      <c r="E158" s="283"/>
      <c r="F158" s="283"/>
      <c r="G158" s="283"/>
      <c r="H158" s="68" t="s">
        <v>308</v>
      </c>
      <c r="I158" s="69">
        <f>SUM(I58+I109+I119+I145+I152)</f>
        <v>9405.34</v>
      </c>
    </row>
    <row r="159" spans="1:9" ht="15">
      <c r="A159" s="45" t="s">
        <v>292</v>
      </c>
      <c r="B159" s="284" t="s">
        <v>83</v>
      </c>
      <c r="C159" s="284"/>
      <c r="D159" s="284"/>
      <c r="E159" s="284"/>
      <c r="F159" s="284"/>
      <c r="G159" s="284"/>
      <c r="H159" s="33">
        <v>0.06</v>
      </c>
      <c r="I159" s="32">
        <f>ROUND(H159*I158,2)</f>
        <v>564.32</v>
      </c>
    </row>
    <row r="160" spans="1:9" ht="50.25" customHeight="1">
      <c r="A160" s="283" t="s">
        <v>84</v>
      </c>
      <c r="B160" s="283"/>
      <c r="C160" s="283"/>
      <c r="D160" s="283"/>
      <c r="E160" s="283"/>
      <c r="F160" s="283"/>
      <c r="G160" s="283"/>
      <c r="H160" s="70" t="s">
        <v>308</v>
      </c>
      <c r="I160" s="69">
        <f>SUM(I58+I109+I119+I145+I152+I159)</f>
        <v>9969.66</v>
      </c>
    </row>
    <row r="161" spans="1:9" ht="15" customHeight="1">
      <c r="A161" s="45" t="s">
        <v>294</v>
      </c>
      <c r="B161" s="284" t="s">
        <v>85</v>
      </c>
      <c r="C161" s="284"/>
      <c r="D161" s="284"/>
      <c r="E161" s="284"/>
      <c r="F161" s="284"/>
      <c r="G161" s="284"/>
      <c r="H161" s="33">
        <v>0.0679</v>
      </c>
      <c r="I161" s="32">
        <f>ROUND(H161*I160,2)</f>
        <v>676.94</v>
      </c>
    </row>
    <row r="162" spans="1:9" ht="48.75" customHeight="1">
      <c r="A162" s="283" t="s">
        <v>86</v>
      </c>
      <c r="B162" s="283"/>
      <c r="C162" s="283"/>
      <c r="D162" s="283"/>
      <c r="E162" s="283"/>
      <c r="F162" s="283"/>
      <c r="G162" s="283"/>
      <c r="H162" s="70" t="s">
        <v>308</v>
      </c>
      <c r="I162" s="69">
        <f>SUM(I58+I109+I119+I145+I152+I159+I161)</f>
        <v>10646.6</v>
      </c>
    </row>
    <row r="163" spans="1:9" ht="16.5" customHeight="1">
      <c r="A163" s="71" t="s">
        <v>297</v>
      </c>
      <c r="B163" s="285" t="s">
        <v>87</v>
      </c>
      <c r="C163" s="285"/>
      <c r="D163" s="285"/>
      <c r="E163" s="285"/>
      <c r="F163" s="285"/>
      <c r="G163" s="285"/>
      <c r="H163" s="72" t="s">
        <v>308</v>
      </c>
      <c r="I163" s="18" t="s">
        <v>308</v>
      </c>
    </row>
    <row r="164" spans="1:9" ht="14.25" customHeight="1">
      <c r="A164" s="45"/>
      <c r="B164" s="286" t="s">
        <v>88</v>
      </c>
      <c r="C164" s="286"/>
      <c r="D164" s="286"/>
      <c r="E164" s="286"/>
      <c r="F164" s="286"/>
      <c r="G164" s="286"/>
      <c r="H164" s="72" t="s">
        <v>308</v>
      </c>
      <c r="I164" s="18" t="s">
        <v>308</v>
      </c>
    </row>
    <row r="165" spans="1:9" ht="22.5" customHeight="1">
      <c r="A165" s="45"/>
      <c r="B165" s="287" t="s">
        <v>89</v>
      </c>
      <c r="C165" s="287"/>
      <c r="D165" s="287"/>
      <c r="E165" s="287"/>
      <c r="F165" s="287"/>
      <c r="G165" s="287"/>
      <c r="H165" s="73">
        <v>0.03</v>
      </c>
      <c r="I165" s="74">
        <f>ROUND(($I$162/(1-$H$174))*H165,2)</f>
        <v>340.33</v>
      </c>
    </row>
    <row r="166" spans="1:9" ht="22.5" customHeight="1">
      <c r="A166" s="45"/>
      <c r="B166" s="287" t="s">
        <v>90</v>
      </c>
      <c r="C166" s="287"/>
      <c r="D166" s="287"/>
      <c r="E166" s="287"/>
      <c r="F166" s="287"/>
      <c r="G166" s="287"/>
      <c r="H166" s="73">
        <v>0.0065</v>
      </c>
      <c r="I166" s="74">
        <f>ROUND(($I$162/(1-$H$174))*H166,2)</f>
        <v>73.74</v>
      </c>
    </row>
    <row r="167" spans="1:9" ht="29.25" customHeight="1">
      <c r="A167" s="45"/>
      <c r="B167" s="263" t="s">
        <v>91</v>
      </c>
      <c r="C167" s="263"/>
      <c r="D167" s="263"/>
      <c r="E167" s="263"/>
      <c r="F167" s="263"/>
      <c r="G167" s="263"/>
      <c r="H167" s="75" t="s">
        <v>308</v>
      </c>
      <c r="I167" s="18" t="s">
        <v>308</v>
      </c>
    </row>
    <row r="168" spans="1:9" ht="29.25" customHeight="1">
      <c r="A168" s="45"/>
      <c r="B168" s="263" t="s">
        <v>92</v>
      </c>
      <c r="C168" s="263"/>
      <c r="D168" s="263"/>
      <c r="E168" s="263"/>
      <c r="F168" s="263"/>
      <c r="G168" s="263"/>
      <c r="H168" s="75" t="s">
        <v>308</v>
      </c>
      <c r="I168" s="18" t="s">
        <v>308</v>
      </c>
    </row>
    <row r="169" spans="1:9" ht="18" customHeight="1">
      <c r="A169" s="45"/>
      <c r="B169" s="288" t="s">
        <v>93</v>
      </c>
      <c r="C169" s="288"/>
      <c r="D169" s="288"/>
      <c r="E169" s="288"/>
      <c r="F169" s="288"/>
      <c r="G169" s="288"/>
      <c r="H169" s="76" t="s">
        <v>308</v>
      </c>
      <c r="I169" s="77" t="s">
        <v>308</v>
      </c>
    </row>
    <row r="170" spans="1:9" ht="18" customHeight="1">
      <c r="A170" s="45"/>
      <c r="B170" s="288" t="s">
        <v>94</v>
      </c>
      <c r="C170" s="288"/>
      <c r="D170" s="288"/>
      <c r="E170" s="288"/>
      <c r="F170" s="288"/>
      <c r="G170" s="288"/>
      <c r="H170" s="76" t="s">
        <v>308</v>
      </c>
      <c r="I170" s="77" t="s">
        <v>308</v>
      </c>
    </row>
    <row r="171" spans="1:9" ht="15" customHeight="1">
      <c r="A171" s="45"/>
      <c r="B171" s="251" t="s">
        <v>135</v>
      </c>
      <c r="C171" s="251"/>
      <c r="D171" s="251"/>
      <c r="E171" s="251"/>
      <c r="F171" s="251"/>
      <c r="G171" s="251"/>
      <c r="H171" s="73">
        <v>0.025</v>
      </c>
      <c r="I171" s="74">
        <f>ROUND(($I$162/(1-$H$174))*H171,2)</f>
        <v>283.61</v>
      </c>
    </row>
    <row r="172" spans="1:9" ht="15.75" customHeight="1">
      <c r="A172" s="252" t="s">
        <v>67</v>
      </c>
      <c r="B172" s="252"/>
      <c r="C172" s="252"/>
      <c r="D172" s="252"/>
      <c r="E172" s="252"/>
      <c r="F172" s="252"/>
      <c r="G172" s="252"/>
      <c r="H172" s="252"/>
      <c r="I172" s="39">
        <f>SUM(I159+I161+I165+I166+I171)</f>
        <v>1938.94</v>
      </c>
    </row>
    <row r="173" spans="1:9" ht="6.75" customHeight="1">
      <c r="A173" s="264"/>
      <c r="B173" s="264"/>
      <c r="C173" s="264"/>
      <c r="D173" s="264"/>
      <c r="E173" s="264"/>
      <c r="F173" s="264"/>
      <c r="G173" s="264"/>
      <c r="H173" s="264"/>
      <c r="I173" s="264"/>
    </row>
    <row r="174" spans="1:9" ht="15.75" customHeight="1">
      <c r="A174" s="289" t="s">
        <v>96</v>
      </c>
      <c r="B174" s="289"/>
      <c r="C174" s="289"/>
      <c r="D174" s="289"/>
      <c r="E174" s="289"/>
      <c r="F174" s="289"/>
      <c r="G174" s="289"/>
      <c r="H174" s="78">
        <f>SUM(H165:H171)</f>
        <v>0.0615</v>
      </c>
      <c r="I174" s="79">
        <f>SUM(I165:I171)</f>
        <v>697.6800000000001</v>
      </c>
    </row>
    <row r="175" spans="1:9" ht="12.75" customHeight="1">
      <c r="A175" s="290" t="s">
        <v>97</v>
      </c>
      <c r="B175" s="290"/>
      <c r="C175" s="291" t="s">
        <v>98</v>
      </c>
      <c r="D175" s="291"/>
      <c r="E175" s="291"/>
      <c r="F175" s="291"/>
      <c r="G175" s="291"/>
      <c r="H175" s="291"/>
      <c r="I175" s="291"/>
    </row>
    <row r="176" spans="1:9" ht="12" customHeight="1">
      <c r="A176" s="290"/>
      <c r="B176" s="290"/>
      <c r="C176" s="292" t="s">
        <v>99</v>
      </c>
      <c r="D176" s="292"/>
      <c r="E176" s="292"/>
      <c r="F176" s="292"/>
      <c r="G176" s="292"/>
      <c r="H176" s="292"/>
      <c r="I176" s="292"/>
    </row>
    <row r="177" spans="1:9" ht="13.5" customHeight="1">
      <c r="A177" s="290"/>
      <c r="B177" s="290"/>
      <c r="C177" s="293" t="s">
        <v>100</v>
      </c>
      <c r="D177" s="293"/>
      <c r="E177" s="293"/>
      <c r="F177" s="293"/>
      <c r="G177" s="293"/>
      <c r="H177" s="293"/>
      <c r="I177" s="293"/>
    </row>
    <row r="178" spans="1:9" ht="6.75" customHeight="1">
      <c r="A178" s="294"/>
      <c r="B178" s="294"/>
      <c r="C178" s="294"/>
      <c r="D178" s="294"/>
      <c r="E178" s="294"/>
      <c r="F178" s="294"/>
      <c r="G178" s="294"/>
      <c r="H178" s="294"/>
      <c r="I178" s="294"/>
    </row>
    <row r="179" spans="1:9" ht="24" customHeight="1">
      <c r="A179" s="295" t="s">
        <v>101</v>
      </c>
      <c r="B179" s="295"/>
      <c r="C179" s="295"/>
      <c r="D179" s="295"/>
      <c r="E179" s="295"/>
      <c r="F179" s="295"/>
      <c r="G179" s="295"/>
      <c r="H179" s="295"/>
      <c r="I179" s="295"/>
    </row>
    <row r="180" spans="1:9" ht="5.25" customHeight="1">
      <c r="A180" s="264"/>
      <c r="B180" s="264"/>
      <c r="C180" s="264"/>
      <c r="D180" s="264"/>
      <c r="E180" s="264"/>
      <c r="F180" s="264"/>
      <c r="G180" s="264"/>
      <c r="H180" s="264"/>
      <c r="I180" s="264"/>
    </row>
    <row r="181" spans="1:9" ht="27.75" customHeight="1">
      <c r="A181" s="332" t="s">
        <v>136</v>
      </c>
      <c r="B181" s="332"/>
      <c r="C181" s="332"/>
      <c r="D181" s="332"/>
      <c r="E181" s="332"/>
      <c r="F181" s="332"/>
      <c r="G181" s="332"/>
      <c r="H181" s="332"/>
      <c r="I181" s="332"/>
    </row>
    <row r="182" spans="1:9" ht="15" customHeight="1">
      <c r="A182" s="189" t="s">
        <v>103</v>
      </c>
      <c r="B182" s="189"/>
      <c r="C182" s="189"/>
      <c r="D182" s="189"/>
      <c r="E182" s="189"/>
      <c r="F182" s="189"/>
      <c r="G182" s="189"/>
      <c r="H182" s="189"/>
      <c r="I182" s="5" t="s">
        <v>25</v>
      </c>
    </row>
    <row r="183" spans="1:11" ht="15" customHeight="1">
      <c r="A183" s="81" t="s">
        <v>292</v>
      </c>
      <c r="B183" s="297" t="s">
        <v>104</v>
      </c>
      <c r="C183" s="297"/>
      <c r="D183" s="297"/>
      <c r="E183" s="297"/>
      <c r="F183" s="297"/>
      <c r="G183" s="297"/>
      <c r="H183" s="297"/>
      <c r="I183" s="53">
        <f>I58</f>
        <v>4589.099999999999</v>
      </c>
      <c r="K183" s="80"/>
    </row>
    <row r="184" spans="1:9" ht="15" customHeight="1">
      <c r="A184" s="81" t="s">
        <v>294</v>
      </c>
      <c r="B184" s="297" t="s">
        <v>105</v>
      </c>
      <c r="C184" s="297"/>
      <c r="D184" s="297"/>
      <c r="E184" s="297"/>
      <c r="F184" s="297"/>
      <c r="G184" s="297"/>
      <c r="H184" s="297"/>
      <c r="I184" s="53">
        <f>I109</f>
        <v>3413.2699999999995</v>
      </c>
    </row>
    <row r="185" spans="1:9" ht="15" customHeight="1">
      <c r="A185" s="81" t="s">
        <v>297</v>
      </c>
      <c r="B185" s="297" t="s">
        <v>106</v>
      </c>
      <c r="C185" s="297"/>
      <c r="D185" s="297"/>
      <c r="E185" s="297"/>
      <c r="F185" s="297"/>
      <c r="G185" s="297"/>
      <c r="H185" s="297"/>
      <c r="I185" s="53">
        <f>I119</f>
        <v>366.45</v>
      </c>
    </row>
    <row r="186" spans="1:9" ht="15" customHeight="1">
      <c r="A186" s="81" t="s">
        <v>300</v>
      </c>
      <c r="B186" s="297" t="s">
        <v>107</v>
      </c>
      <c r="C186" s="297"/>
      <c r="D186" s="297"/>
      <c r="E186" s="297"/>
      <c r="F186" s="297"/>
      <c r="G186" s="297"/>
      <c r="H186" s="297"/>
      <c r="I186" s="53">
        <f>I145</f>
        <v>803.52</v>
      </c>
    </row>
    <row r="187" spans="1:9" ht="15" customHeight="1">
      <c r="A187" s="81" t="s">
        <v>16</v>
      </c>
      <c r="B187" s="297" t="s">
        <v>108</v>
      </c>
      <c r="C187" s="297"/>
      <c r="D187" s="297"/>
      <c r="E187" s="297"/>
      <c r="F187" s="297"/>
      <c r="G187" s="297"/>
      <c r="H187" s="297"/>
      <c r="I187" s="53">
        <f>I152</f>
        <v>233</v>
      </c>
    </row>
    <row r="188" spans="1:9" ht="15" customHeight="1">
      <c r="A188" s="298" t="s">
        <v>109</v>
      </c>
      <c r="B188" s="298"/>
      <c r="C188" s="298"/>
      <c r="D188" s="298"/>
      <c r="E188" s="298"/>
      <c r="F188" s="298"/>
      <c r="G188" s="298"/>
      <c r="H188" s="298"/>
      <c r="I188" s="53">
        <f>SUM(I183:I187)</f>
        <v>9405.34</v>
      </c>
    </row>
    <row r="189" spans="1:9" ht="15" customHeight="1">
      <c r="A189" s="82" t="s">
        <v>18</v>
      </c>
      <c r="B189" s="297" t="s">
        <v>80</v>
      </c>
      <c r="C189" s="297"/>
      <c r="D189" s="297"/>
      <c r="E189" s="297"/>
      <c r="F189" s="297"/>
      <c r="G189" s="297"/>
      <c r="H189" s="297"/>
      <c r="I189" s="63">
        <f>I172</f>
        <v>1938.94</v>
      </c>
    </row>
    <row r="190" spans="1:9" ht="15" customHeight="1">
      <c r="A190" s="298" t="s">
        <v>110</v>
      </c>
      <c r="B190" s="298"/>
      <c r="C190" s="298"/>
      <c r="D190" s="298"/>
      <c r="E190" s="298"/>
      <c r="F190" s="298"/>
      <c r="G190" s="298"/>
      <c r="H190" s="298"/>
      <c r="I190" s="53">
        <f>I188+I189</f>
        <v>11344.28</v>
      </c>
    </row>
    <row r="191" spans="1:9" ht="36.75" customHeight="1">
      <c r="A191" s="331" t="s">
        <v>111</v>
      </c>
      <c r="B191" s="331"/>
      <c r="C191" s="331"/>
      <c r="D191" s="331"/>
      <c r="E191" s="331"/>
      <c r="F191" s="331"/>
      <c r="G191" s="331"/>
      <c r="H191" s="331"/>
      <c r="I191" s="331"/>
    </row>
    <row r="192" spans="1:9" ht="7.5" customHeight="1">
      <c r="A192" s="300"/>
      <c r="B192" s="300"/>
      <c r="C192" s="300"/>
      <c r="D192" s="300"/>
      <c r="E192" s="300"/>
      <c r="F192" s="300"/>
      <c r="G192" s="300"/>
      <c r="H192" s="300"/>
      <c r="I192" s="300"/>
    </row>
    <row r="193" spans="1:13" ht="15" customHeight="1" hidden="1">
      <c r="A193" s="90"/>
      <c r="B193" s="90"/>
      <c r="C193" s="90"/>
      <c r="D193" s="90"/>
      <c r="E193" s="90"/>
      <c r="F193" s="90"/>
      <c r="G193" s="90"/>
      <c r="H193" s="91"/>
      <c r="I193" s="92"/>
      <c r="J193" s="83"/>
      <c r="K193" s="84"/>
      <c r="L193" s="85"/>
      <c r="M193" s="86"/>
    </row>
    <row r="194" spans="1:9" ht="31.5" customHeight="1">
      <c r="A194" s="301" t="s">
        <v>112</v>
      </c>
      <c r="B194" s="301"/>
      <c r="C194" s="301"/>
      <c r="D194" s="301"/>
      <c r="E194" s="301"/>
      <c r="F194" s="301"/>
      <c r="G194" s="301"/>
      <c r="H194" s="301"/>
      <c r="I194" s="301"/>
    </row>
    <row r="195" spans="1:256" ht="45" customHeight="1">
      <c r="A195" s="193" t="s">
        <v>113</v>
      </c>
      <c r="B195" s="193"/>
      <c r="C195" s="193"/>
      <c r="D195" s="193"/>
      <c r="E195" s="193" t="s">
        <v>114</v>
      </c>
      <c r="F195" s="193"/>
      <c r="G195" s="5" t="s">
        <v>115</v>
      </c>
      <c r="H195" s="193" t="s">
        <v>116</v>
      </c>
      <c r="I195" s="193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33" customHeight="1">
      <c r="A196" s="222" t="s">
        <v>117</v>
      </c>
      <c r="B196" s="222"/>
      <c r="C196" s="222"/>
      <c r="D196" s="222"/>
      <c r="E196" s="302">
        <v>0</v>
      </c>
      <c r="F196" s="302"/>
      <c r="G196" s="87">
        <f>D196*E196</f>
        <v>0</v>
      </c>
      <c r="H196" s="302">
        <f aca="true" t="shared" si="0" ref="H196:H201">E196*G196</f>
        <v>0</v>
      </c>
      <c r="I196" s="30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42.75" customHeight="1">
      <c r="A197" s="222" t="s">
        <v>118</v>
      </c>
      <c r="B197" s="222"/>
      <c r="C197" s="222"/>
      <c r="D197" s="222"/>
      <c r="E197" s="302">
        <v>0</v>
      </c>
      <c r="F197" s="302"/>
      <c r="G197" s="87">
        <f>D197*E197</f>
        <v>0</v>
      </c>
      <c r="H197" s="302">
        <f t="shared" si="0"/>
        <v>0</v>
      </c>
      <c r="I197" s="30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41.25" customHeight="1">
      <c r="A198" s="303" t="s">
        <v>119</v>
      </c>
      <c r="B198" s="303"/>
      <c r="C198" s="303"/>
      <c r="D198" s="303"/>
      <c r="E198" s="304">
        <f>I190</f>
        <v>11344.28</v>
      </c>
      <c r="F198" s="304"/>
      <c r="G198" s="88">
        <f>H17</f>
        <v>3</v>
      </c>
      <c r="H198" s="305">
        <f t="shared" si="0"/>
        <v>34032.840000000004</v>
      </c>
      <c r="I198" s="305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41.25" customHeight="1">
      <c r="A199" s="222" t="s">
        <v>120</v>
      </c>
      <c r="B199" s="222"/>
      <c r="C199" s="222"/>
      <c r="D199" s="222"/>
      <c r="E199" s="306">
        <v>0</v>
      </c>
      <c r="F199" s="306"/>
      <c r="G199" s="87">
        <f>D199*F199</f>
        <v>0</v>
      </c>
      <c r="H199" s="302">
        <f t="shared" si="0"/>
        <v>0</v>
      </c>
      <c r="I199" s="30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39.75" customHeight="1">
      <c r="A200" s="222" t="s">
        <v>121</v>
      </c>
      <c r="B200" s="222"/>
      <c r="C200" s="222"/>
      <c r="D200" s="222"/>
      <c r="E200" s="306">
        <v>0</v>
      </c>
      <c r="F200" s="306"/>
      <c r="G200" s="87">
        <f>D200*F200</f>
        <v>0</v>
      </c>
      <c r="H200" s="302">
        <f t="shared" si="0"/>
        <v>0</v>
      </c>
      <c r="I200" s="302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35.25" customHeight="1">
      <c r="A201" s="307" t="s">
        <v>122</v>
      </c>
      <c r="B201" s="307"/>
      <c r="C201" s="307"/>
      <c r="D201" s="307"/>
      <c r="E201" s="302">
        <v>0</v>
      </c>
      <c r="F201" s="302"/>
      <c r="G201" s="87">
        <f>D201*F201</f>
        <v>0</v>
      </c>
      <c r="H201" s="302">
        <f t="shared" si="0"/>
        <v>0</v>
      </c>
      <c r="I201" s="302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20.25" customHeight="1">
      <c r="A202" s="308" t="s">
        <v>123</v>
      </c>
      <c r="B202" s="308"/>
      <c r="C202" s="308"/>
      <c r="D202" s="308"/>
      <c r="E202" s="308"/>
      <c r="F202" s="308"/>
      <c r="G202" s="89">
        <f>SUM(G196:G201)</f>
        <v>3</v>
      </c>
      <c r="H202" s="309">
        <f>SUM(H196:I201)</f>
        <v>34032.840000000004</v>
      </c>
      <c r="I202" s="309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6.75" customHeight="1">
      <c r="A203" s="310"/>
      <c r="B203" s="310"/>
      <c r="C203" s="310"/>
      <c r="D203" s="310"/>
      <c r="E203" s="310"/>
      <c r="F203" s="310"/>
      <c r="G203" s="310"/>
      <c r="H203" s="310"/>
      <c r="I203" s="310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7.25" customHeight="1">
      <c r="A204" s="311" t="s">
        <v>124</v>
      </c>
      <c r="B204" s="311"/>
      <c r="C204" s="311"/>
      <c r="D204" s="311"/>
      <c r="E204" s="311"/>
      <c r="F204" s="311"/>
      <c r="G204" s="311"/>
      <c r="H204" s="311"/>
      <c r="I204" s="311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9" ht="6.75" customHeight="1">
      <c r="A205" s="312"/>
      <c r="B205" s="312"/>
      <c r="C205" s="312"/>
      <c r="D205" s="312"/>
      <c r="E205" s="312"/>
      <c r="F205" s="312"/>
      <c r="G205" s="312"/>
      <c r="H205" s="312"/>
      <c r="I205" s="312"/>
    </row>
    <row r="206" spans="1:9" ht="18.75" customHeight="1">
      <c r="A206" s="313" t="s">
        <v>125</v>
      </c>
      <c r="B206" s="313"/>
      <c r="C206" s="313"/>
      <c r="D206" s="313"/>
      <c r="E206" s="313"/>
      <c r="F206" s="313"/>
      <c r="G206" s="314">
        <f>$H$202</f>
        <v>34032.840000000004</v>
      </c>
      <c r="H206" s="314"/>
      <c r="I206" s="314"/>
    </row>
    <row r="207" spans="1:9" ht="8.25" customHeight="1">
      <c r="A207" s="315"/>
      <c r="B207" s="315"/>
      <c r="C207" s="315"/>
      <c r="D207" s="315"/>
      <c r="E207" s="315"/>
      <c r="F207" s="315"/>
      <c r="G207" s="315"/>
      <c r="H207" s="315"/>
      <c r="I207" s="315"/>
    </row>
    <row r="208" spans="1:9" ht="19.5" customHeight="1">
      <c r="A208" s="316" t="s">
        <v>126</v>
      </c>
      <c r="B208" s="316"/>
      <c r="C208" s="316"/>
      <c r="D208" s="316"/>
      <c r="E208" s="316"/>
      <c r="F208" s="316"/>
      <c r="G208" s="317">
        <f>$H$11</f>
        <v>12</v>
      </c>
      <c r="H208" s="317"/>
      <c r="I208" s="317"/>
    </row>
    <row r="209" spans="1:9" ht="8.25" customHeight="1">
      <c r="A209" s="318"/>
      <c r="B209" s="318"/>
      <c r="C209" s="318"/>
      <c r="D209" s="318"/>
      <c r="E209" s="318"/>
      <c r="F209" s="318"/>
      <c r="G209" s="318"/>
      <c r="H209" s="318"/>
      <c r="I209" s="318"/>
    </row>
    <row r="210" spans="1:9" ht="31.5" customHeight="1">
      <c r="A210" s="319" t="s">
        <v>127</v>
      </c>
      <c r="B210" s="319"/>
      <c r="C210" s="319"/>
      <c r="D210" s="319"/>
      <c r="E210" s="319"/>
      <c r="F210" s="319"/>
      <c r="G210" s="320">
        <f>ROUND(G206*G208,2)</f>
        <v>408394.08</v>
      </c>
      <c r="H210" s="320"/>
      <c r="I210" s="320"/>
    </row>
    <row r="211" spans="1:9" ht="8.25" customHeight="1">
      <c r="A211" s="321"/>
      <c r="B211" s="321"/>
      <c r="C211" s="321"/>
      <c r="D211" s="321"/>
      <c r="E211" s="321"/>
      <c r="F211" s="321"/>
      <c r="G211" s="321"/>
      <c r="H211" s="321"/>
      <c r="I211" s="321"/>
    </row>
    <row r="212" spans="1:9" ht="29.25" customHeight="1">
      <c r="A212" s="322" t="s">
        <v>128</v>
      </c>
      <c r="B212" s="322"/>
      <c r="C212" s="322"/>
      <c r="D212" s="322"/>
      <c r="E212" s="322"/>
      <c r="F212" s="322"/>
      <c r="G212" s="322"/>
      <c r="H212" s="322"/>
      <c r="I212" s="322"/>
    </row>
    <row r="213" spans="1:9" ht="12" customHeight="1">
      <c r="A213" s="323" t="s">
        <v>129</v>
      </c>
      <c r="B213" s="323"/>
      <c r="C213" s="323"/>
      <c r="D213" s="195" t="s">
        <v>130</v>
      </c>
      <c r="E213" s="195"/>
      <c r="F213" s="195"/>
      <c r="G213" s="195"/>
      <c r="H213" s="195"/>
      <c r="I213" s="195"/>
    </row>
    <row r="214" spans="1:9" ht="12">
      <c r="A214" s="323"/>
      <c r="B214" s="323"/>
      <c r="C214" s="323"/>
      <c r="D214" s="195"/>
      <c r="E214" s="195"/>
      <c r="F214" s="195"/>
      <c r="G214" s="195"/>
      <c r="H214" s="195"/>
      <c r="I214" s="195"/>
    </row>
    <row r="215" spans="1:9" ht="14.25" customHeight="1">
      <c r="A215" s="324" t="s">
        <v>131</v>
      </c>
      <c r="B215" s="324"/>
      <c r="C215" s="324"/>
      <c r="D215" s="325"/>
      <c r="E215" s="325"/>
      <c r="F215" s="325"/>
      <c r="G215" s="325"/>
      <c r="H215" s="325"/>
      <c r="I215" s="325"/>
    </row>
    <row r="216" spans="1:9" ht="12.75" customHeight="1">
      <c r="A216" s="324"/>
      <c r="B216" s="324"/>
      <c r="C216" s="324"/>
      <c r="D216" s="325"/>
      <c r="E216" s="325"/>
      <c r="F216" s="325"/>
      <c r="G216" s="325"/>
      <c r="H216" s="325"/>
      <c r="I216" s="325"/>
    </row>
    <row r="217" spans="1:9" ht="12.75" customHeight="1">
      <c r="A217" s="326"/>
      <c r="B217" s="326"/>
      <c r="C217" s="326"/>
      <c r="D217" s="325"/>
      <c r="E217" s="325"/>
      <c r="F217" s="325"/>
      <c r="G217" s="325"/>
      <c r="H217" s="325"/>
      <c r="I217" s="325"/>
    </row>
    <row r="218" spans="1:9" ht="15" customHeight="1">
      <c r="A218" s="327"/>
      <c r="B218" s="327"/>
      <c r="C218" s="327"/>
      <c r="D218" s="327"/>
      <c r="E218" s="327"/>
      <c r="F218" s="327"/>
      <c r="G218" s="327"/>
      <c r="H218" s="327"/>
      <c r="I218" s="327"/>
    </row>
    <row r="219" spans="1:9" ht="12" hidden="1">
      <c r="A219" s="327"/>
      <c r="B219" s="327"/>
      <c r="C219" s="327"/>
      <c r="D219" s="327"/>
      <c r="E219" s="327"/>
      <c r="F219" s="327"/>
      <c r="G219" s="327"/>
      <c r="H219" s="327"/>
      <c r="I219" s="327"/>
    </row>
    <row r="220" spans="1:9" ht="27" customHeight="1">
      <c r="A220" s="328" t="s">
        <v>137</v>
      </c>
      <c r="B220" s="328"/>
      <c r="C220" s="328"/>
      <c r="D220" s="328"/>
      <c r="E220" s="328"/>
      <c r="F220" s="328"/>
      <c r="G220" s="328"/>
      <c r="H220" s="328"/>
      <c r="I220" s="328"/>
    </row>
    <row r="221" spans="1:9" ht="12.75" customHeight="1">
      <c r="A221" s="195" t="s">
        <v>133</v>
      </c>
      <c r="B221" s="195"/>
      <c r="C221" s="195"/>
      <c r="D221" s="195"/>
      <c r="E221" s="195"/>
      <c r="F221" s="195"/>
      <c r="G221" s="195"/>
      <c r="H221" s="195" t="s">
        <v>134</v>
      </c>
      <c r="I221" s="195"/>
    </row>
    <row r="222" spans="1:9" ht="15" customHeight="1">
      <c r="A222" s="329"/>
      <c r="B222" s="329"/>
      <c r="C222" s="329"/>
      <c r="D222" s="329"/>
      <c r="E222" s="329"/>
      <c r="F222" s="329"/>
      <c r="G222" s="329"/>
      <c r="H222" s="195"/>
      <c r="I222" s="195"/>
    </row>
    <row r="223" spans="1:9" ht="12.75" customHeight="1">
      <c r="A223" s="324"/>
      <c r="B223" s="324"/>
      <c r="C223" s="324"/>
      <c r="D223" s="324"/>
      <c r="E223" s="324"/>
      <c r="F223" s="324"/>
      <c r="G223" s="324"/>
      <c r="H223" s="195"/>
      <c r="I223" s="195"/>
    </row>
    <row r="224" spans="1:9" ht="12.75" customHeight="1">
      <c r="A224" s="326"/>
      <c r="B224" s="326"/>
      <c r="C224" s="326"/>
      <c r="D224" s="326"/>
      <c r="E224" s="326"/>
      <c r="F224" s="326"/>
      <c r="G224" s="326"/>
      <c r="H224" s="195"/>
      <c r="I224" s="195"/>
    </row>
    <row r="234" ht="12.75" customHeight="1"/>
  </sheetData>
  <sheetProtection/>
  <mergeCells count="311">
    <mergeCell ref="A2:I2"/>
    <mergeCell ref="A3:I3"/>
    <mergeCell ref="A4:E4"/>
    <mergeCell ref="F4:I4"/>
    <mergeCell ref="B8:G8"/>
    <mergeCell ref="H8:I8"/>
    <mergeCell ref="B9:G9"/>
    <mergeCell ref="H9:I9"/>
    <mergeCell ref="A5:E5"/>
    <mergeCell ref="F5:I5"/>
    <mergeCell ref="A6:I6"/>
    <mergeCell ref="A7:I7"/>
    <mergeCell ref="A12:I12"/>
    <mergeCell ref="A13:E13"/>
    <mergeCell ref="F13:G13"/>
    <mergeCell ref="H13:I13"/>
    <mergeCell ref="B10:G10"/>
    <mergeCell ref="H10:I10"/>
    <mergeCell ref="B11:G11"/>
    <mergeCell ref="H11:I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3:I23"/>
    <mergeCell ref="A24:I24"/>
    <mergeCell ref="A25:I25"/>
    <mergeCell ref="A26:I26"/>
    <mergeCell ref="A20:G20"/>
    <mergeCell ref="H20:I20"/>
    <mergeCell ref="A21:I21"/>
    <mergeCell ref="A22:I22"/>
    <mergeCell ref="AO26:AV26"/>
    <mergeCell ref="AW26:BD26"/>
    <mergeCell ref="BE26:BL26"/>
    <mergeCell ref="BM26:BT26"/>
    <mergeCell ref="J26:P26"/>
    <mergeCell ref="Q26:X26"/>
    <mergeCell ref="Y26:AF26"/>
    <mergeCell ref="AG26:AN26"/>
    <mergeCell ref="FE26:FL26"/>
    <mergeCell ref="DA26:DH26"/>
    <mergeCell ref="DI26:DP26"/>
    <mergeCell ref="DQ26:DX26"/>
    <mergeCell ref="DY26:EF26"/>
    <mergeCell ref="BU26:CB26"/>
    <mergeCell ref="CC26:CJ26"/>
    <mergeCell ref="CK26:CR26"/>
    <mergeCell ref="CS26:CZ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FU26:GB26"/>
    <mergeCell ref="GC26:GJ26"/>
    <mergeCell ref="B28:G28"/>
    <mergeCell ref="H28:I28"/>
    <mergeCell ref="B29:G29"/>
    <mergeCell ref="H29:I29"/>
    <mergeCell ref="HY26:IF26"/>
    <mergeCell ref="IG26:IN26"/>
    <mergeCell ref="GK26:GR26"/>
    <mergeCell ref="EG26:EN26"/>
    <mergeCell ref="EO26:EV26"/>
    <mergeCell ref="EW26:FD26"/>
    <mergeCell ref="B32:G32"/>
    <mergeCell ref="H32:I32"/>
    <mergeCell ref="B33:G33"/>
    <mergeCell ref="H33:I33"/>
    <mergeCell ref="B30:G30"/>
    <mergeCell ref="H30:I30"/>
    <mergeCell ref="B31:G31"/>
    <mergeCell ref="H31:I31"/>
    <mergeCell ref="B36:G36"/>
    <mergeCell ref="H36:I36"/>
    <mergeCell ref="B37:G37"/>
    <mergeCell ref="H37:I37"/>
    <mergeCell ref="B34:G34"/>
    <mergeCell ref="H34:I34"/>
    <mergeCell ref="B35:G35"/>
    <mergeCell ref="H35:I35"/>
    <mergeCell ref="B40:G40"/>
    <mergeCell ref="H40:I40"/>
    <mergeCell ref="A41:I41"/>
    <mergeCell ref="A42:I42"/>
    <mergeCell ref="B38:G38"/>
    <mergeCell ref="H38:I38"/>
    <mergeCell ref="B39:G39"/>
    <mergeCell ref="H39:I39"/>
    <mergeCell ref="B47:G47"/>
    <mergeCell ref="B48:H48"/>
    <mergeCell ref="B49:H49"/>
    <mergeCell ref="B50:H50"/>
    <mergeCell ref="A43:I43"/>
    <mergeCell ref="A44:I44"/>
    <mergeCell ref="B45:G45"/>
    <mergeCell ref="B46:H46"/>
    <mergeCell ref="B55:H55"/>
    <mergeCell ref="A56:H56"/>
    <mergeCell ref="A57:I57"/>
    <mergeCell ref="A58:H58"/>
    <mergeCell ref="B51:H51"/>
    <mergeCell ref="B52:H52"/>
    <mergeCell ref="A53:H53"/>
    <mergeCell ref="B54:H54"/>
    <mergeCell ref="A63:I63"/>
    <mergeCell ref="B64:H64"/>
    <mergeCell ref="B65:H65"/>
    <mergeCell ref="B66:H66"/>
    <mergeCell ref="A59:I59"/>
    <mergeCell ref="A60:I60"/>
    <mergeCell ref="A61:I61"/>
    <mergeCell ref="A62:I62"/>
    <mergeCell ref="A71:I71"/>
    <mergeCell ref="B72:G72"/>
    <mergeCell ref="B73:G73"/>
    <mergeCell ref="B74:G74"/>
    <mergeCell ref="A67:H67"/>
    <mergeCell ref="A68:I68"/>
    <mergeCell ref="A69:I69"/>
    <mergeCell ref="A70:I70"/>
    <mergeCell ref="B79:G79"/>
    <mergeCell ref="B80:G80"/>
    <mergeCell ref="A81:G81"/>
    <mergeCell ref="A83:I83"/>
    <mergeCell ref="B75:C75"/>
    <mergeCell ref="B76:G76"/>
    <mergeCell ref="B77:G77"/>
    <mergeCell ref="B78:G78"/>
    <mergeCell ref="B88:G88"/>
    <mergeCell ref="B89:G89"/>
    <mergeCell ref="B90:G90"/>
    <mergeCell ref="B91:G91"/>
    <mergeCell ref="A84:I84"/>
    <mergeCell ref="A85:I85"/>
    <mergeCell ref="B86:H86"/>
    <mergeCell ref="B87:H87"/>
    <mergeCell ref="B96:H96"/>
    <mergeCell ref="B97:H97"/>
    <mergeCell ref="B98:H98"/>
    <mergeCell ref="B99:H99"/>
    <mergeCell ref="B92:H92"/>
    <mergeCell ref="B93:G93"/>
    <mergeCell ref="B94:G94"/>
    <mergeCell ref="B95:G95"/>
    <mergeCell ref="A104:I104"/>
    <mergeCell ref="B105:H105"/>
    <mergeCell ref="B106:H106"/>
    <mergeCell ref="B107:H107"/>
    <mergeCell ref="B100:H100"/>
    <mergeCell ref="A101:I101"/>
    <mergeCell ref="A102:I102"/>
    <mergeCell ref="A103:I103"/>
    <mergeCell ref="B112:H112"/>
    <mergeCell ref="B113:H113"/>
    <mergeCell ref="B114:H114"/>
    <mergeCell ref="B115:H115"/>
    <mergeCell ref="B108:H108"/>
    <mergeCell ref="A109:H109"/>
    <mergeCell ref="A110:I110"/>
    <mergeCell ref="A111:I111"/>
    <mergeCell ref="A120:I120"/>
    <mergeCell ref="A121:I121"/>
    <mergeCell ref="A122:I122"/>
    <mergeCell ref="B116:H116"/>
    <mergeCell ref="B117:H117"/>
    <mergeCell ref="B118:H118"/>
    <mergeCell ref="A119:H119"/>
    <mergeCell ref="B129:H129"/>
    <mergeCell ref="B130:H130"/>
    <mergeCell ref="B131:H131"/>
    <mergeCell ref="B132:H132"/>
    <mergeCell ref="A125:I125"/>
    <mergeCell ref="B127:H127"/>
    <mergeCell ref="B128:H128"/>
    <mergeCell ref="A135:I135"/>
    <mergeCell ref="A136:I136"/>
    <mergeCell ref="B137:H137"/>
    <mergeCell ref="B138:H138"/>
    <mergeCell ref="B133:H133"/>
    <mergeCell ref="A134:H134"/>
    <mergeCell ref="A141:I141"/>
    <mergeCell ref="B142:H142"/>
    <mergeCell ref="B143:H143"/>
    <mergeCell ref="B144:H144"/>
    <mergeCell ref="A139:H139"/>
    <mergeCell ref="A140:I140"/>
    <mergeCell ref="B149:H149"/>
    <mergeCell ref="B150:H150"/>
    <mergeCell ref="B151:H151"/>
    <mergeCell ref="A152:H152"/>
    <mergeCell ref="A145:H145"/>
    <mergeCell ref="A146:I146"/>
    <mergeCell ref="A147:I147"/>
    <mergeCell ref="B148:H148"/>
    <mergeCell ref="A158:G158"/>
    <mergeCell ref="B159:G159"/>
    <mergeCell ref="A160:G160"/>
    <mergeCell ref="B161:G161"/>
    <mergeCell ref="A153:I153"/>
    <mergeCell ref="A154:I154"/>
    <mergeCell ref="A156:I156"/>
    <mergeCell ref="B157:G157"/>
    <mergeCell ref="B166:G166"/>
    <mergeCell ref="B167:G167"/>
    <mergeCell ref="B168:G168"/>
    <mergeCell ref="B169:G169"/>
    <mergeCell ref="A162:G162"/>
    <mergeCell ref="B163:G163"/>
    <mergeCell ref="B164:G164"/>
    <mergeCell ref="B165:G165"/>
    <mergeCell ref="A174:G174"/>
    <mergeCell ref="A175:B177"/>
    <mergeCell ref="C175:I175"/>
    <mergeCell ref="C176:I176"/>
    <mergeCell ref="C177:I177"/>
    <mergeCell ref="B170:G170"/>
    <mergeCell ref="B171:G171"/>
    <mergeCell ref="A172:H172"/>
    <mergeCell ref="A173:I173"/>
    <mergeCell ref="A182:H182"/>
    <mergeCell ref="B183:H183"/>
    <mergeCell ref="B184:H184"/>
    <mergeCell ref="B185:H185"/>
    <mergeCell ref="A178:I178"/>
    <mergeCell ref="A179:I179"/>
    <mergeCell ref="A180:I180"/>
    <mergeCell ref="A181:I181"/>
    <mergeCell ref="A190:H190"/>
    <mergeCell ref="A191:I191"/>
    <mergeCell ref="A192:I192"/>
    <mergeCell ref="A194:I194"/>
    <mergeCell ref="B186:H186"/>
    <mergeCell ref="B187:H187"/>
    <mergeCell ref="A188:H188"/>
    <mergeCell ref="B189:H189"/>
    <mergeCell ref="A195:D195"/>
    <mergeCell ref="E195:F195"/>
    <mergeCell ref="H195:I195"/>
    <mergeCell ref="A196:D196"/>
    <mergeCell ref="E196:F196"/>
    <mergeCell ref="H196:I196"/>
    <mergeCell ref="H200:I200"/>
    <mergeCell ref="A197:D197"/>
    <mergeCell ref="E197:F197"/>
    <mergeCell ref="H197:I197"/>
    <mergeCell ref="A198:D198"/>
    <mergeCell ref="E198:F198"/>
    <mergeCell ref="H198:I198"/>
    <mergeCell ref="A201:D201"/>
    <mergeCell ref="E201:F201"/>
    <mergeCell ref="H201:I201"/>
    <mergeCell ref="A202:F202"/>
    <mergeCell ref="H202:I202"/>
    <mergeCell ref="A199:D199"/>
    <mergeCell ref="E199:F199"/>
    <mergeCell ref="H199:I199"/>
    <mergeCell ref="A200:D200"/>
    <mergeCell ref="E200:F200"/>
    <mergeCell ref="A207:I207"/>
    <mergeCell ref="A208:F208"/>
    <mergeCell ref="G208:I208"/>
    <mergeCell ref="A209:I209"/>
    <mergeCell ref="A203:I203"/>
    <mergeCell ref="A204:I204"/>
    <mergeCell ref="A205:I205"/>
    <mergeCell ref="A206:F206"/>
    <mergeCell ref="G206:I206"/>
    <mergeCell ref="A213:C214"/>
    <mergeCell ref="D213:I214"/>
    <mergeCell ref="A215:C215"/>
    <mergeCell ref="D215:I215"/>
    <mergeCell ref="A210:F210"/>
    <mergeCell ref="G210:I210"/>
    <mergeCell ref="A211:I211"/>
    <mergeCell ref="A212:I212"/>
    <mergeCell ref="A220:I220"/>
    <mergeCell ref="A221:G221"/>
    <mergeCell ref="H221:I221"/>
    <mergeCell ref="A216:C216"/>
    <mergeCell ref="D216:I216"/>
    <mergeCell ref="A217:C217"/>
    <mergeCell ref="D217:I217"/>
    <mergeCell ref="A224:G224"/>
    <mergeCell ref="H224:I224"/>
    <mergeCell ref="A123:I123"/>
    <mergeCell ref="A126:E126"/>
    <mergeCell ref="F126:G126"/>
    <mergeCell ref="A222:G222"/>
    <mergeCell ref="H222:I222"/>
    <mergeCell ref="A223:G223"/>
    <mergeCell ref="H223:I223"/>
    <mergeCell ref="A218:I219"/>
  </mergeCells>
  <printOptions/>
  <pageMargins left="0.787401575" right="0.787401575" top="0.984251969" bottom="0.984251969" header="0.492125985" footer="0.492125985"/>
  <pageSetup horizontalDpi="600" verticalDpi="600" orientation="portrait" paperSize="9" scale="52" r:id="rId1"/>
  <rowBreaks count="4" manualBreakCount="4">
    <brk id="43" max="8" man="1"/>
    <brk id="84" max="8" man="1"/>
    <brk id="120" max="8" man="1"/>
    <brk id="155" max="8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220"/>
  <sheetViews>
    <sheetView view="pageBreakPreview" zoomScale="130" zoomScaleNormal="130" zoomScaleSheetLayoutView="130" zoomScalePageLayoutView="0" workbookViewId="0" topLeftCell="A142">
      <selection activeCell="I148" sqref="I148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1.2812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28.5" customHeight="1">
      <c r="A2" s="185" t="s">
        <v>199</v>
      </c>
      <c r="B2" s="185"/>
      <c r="C2" s="185"/>
      <c r="D2" s="185"/>
      <c r="E2" s="185"/>
      <c r="F2" s="185"/>
      <c r="G2" s="185"/>
      <c r="H2" s="185"/>
      <c r="I2" s="185"/>
    </row>
    <row r="3" spans="1:9" ht="59.25" customHeight="1">
      <c r="A3" s="186" t="s">
        <v>190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288</v>
      </c>
      <c r="B4" s="187"/>
      <c r="C4" s="187"/>
      <c r="D4" s="187"/>
      <c r="E4" s="187"/>
      <c r="F4" s="188" t="s">
        <v>146</v>
      </c>
      <c r="G4" s="188"/>
      <c r="H4" s="188"/>
      <c r="I4" s="188"/>
    </row>
    <row r="5" spans="1:9" ht="15.75" customHeight="1">
      <c r="A5" s="187" t="s">
        <v>290</v>
      </c>
      <c r="B5" s="187"/>
      <c r="C5" s="187"/>
      <c r="D5" s="187"/>
      <c r="E5" s="187"/>
      <c r="F5" s="188" t="s">
        <v>147</v>
      </c>
      <c r="G5" s="188"/>
      <c r="H5" s="188"/>
      <c r="I5" s="188"/>
    </row>
    <row r="6" spans="1:9" ht="14.25" customHeight="1">
      <c r="A6" s="187" t="s">
        <v>145</v>
      </c>
      <c r="B6" s="187"/>
      <c r="C6" s="187"/>
      <c r="D6" s="187"/>
      <c r="E6" s="187"/>
      <c r="F6" s="187"/>
      <c r="G6" s="187"/>
      <c r="H6" s="187"/>
      <c r="I6" s="187"/>
    </row>
    <row r="7" spans="1:9" ht="20.25" customHeight="1">
      <c r="A7" s="189" t="s">
        <v>291</v>
      </c>
      <c r="B7" s="189"/>
      <c r="C7" s="189"/>
      <c r="D7" s="189"/>
      <c r="E7" s="189"/>
      <c r="F7" s="189"/>
      <c r="G7" s="189"/>
      <c r="H7" s="189"/>
      <c r="I7" s="189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>
        <v>43830</v>
      </c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296</v>
      </c>
      <c r="I9" s="188"/>
    </row>
    <row r="10" spans="1:9" ht="19.5" customHeight="1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11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  <c r="K11" s="4"/>
    </row>
    <row r="12" spans="1:9" ht="21" customHeight="1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2.75" customHeight="1">
      <c r="A14" s="187" t="s">
        <v>306</v>
      </c>
      <c r="B14" s="187"/>
      <c r="C14" s="187"/>
      <c r="D14" s="187"/>
      <c r="E14" s="187"/>
      <c r="F14" s="195" t="s">
        <v>307</v>
      </c>
      <c r="G14" s="195"/>
      <c r="H14" s="196" t="s">
        <v>308</v>
      </c>
      <c r="I14" s="196"/>
    </row>
    <row r="15" spans="1:9" ht="12.75" customHeight="1">
      <c r="A15" s="187" t="s">
        <v>309</v>
      </c>
      <c r="B15" s="187"/>
      <c r="C15" s="187"/>
      <c r="D15" s="187"/>
      <c r="E15" s="187"/>
      <c r="F15" s="195" t="s">
        <v>307</v>
      </c>
      <c r="G15" s="195"/>
      <c r="H15" s="196" t="s">
        <v>308</v>
      </c>
      <c r="I15" s="196"/>
    </row>
    <row r="16" spans="1:9" ht="12.75" customHeight="1">
      <c r="A16" s="187" t="s">
        <v>310</v>
      </c>
      <c r="B16" s="187"/>
      <c r="C16" s="187"/>
      <c r="D16" s="187"/>
      <c r="E16" s="187"/>
      <c r="F16" s="195" t="s">
        <v>307</v>
      </c>
      <c r="G16" s="195"/>
      <c r="H16" s="196" t="s">
        <v>308</v>
      </c>
      <c r="I16" s="196"/>
    </row>
    <row r="17" spans="1:9" ht="12.75" customHeight="1">
      <c r="A17" s="197" t="s">
        <v>311</v>
      </c>
      <c r="B17" s="197"/>
      <c r="C17" s="197"/>
      <c r="D17" s="197"/>
      <c r="E17" s="197"/>
      <c r="F17" s="193" t="s">
        <v>307</v>
      </c>
      <c r="G17" s="193"/>
      <c r="H17" s="198">
        <v>3</v>
      </c>
      <c r="I17" s="198"/>
    </row>
    <row r="18" spans="1:9" ht="12.75" customHeight="1">
      <c r="A18" s="187" t="s">
        <v>312</v>
      </c>
      <c r="B18" s="187"/>
      <c r="C18" s="187"/>
      <c r="D18" s="187"/>
      <c r="E18" s="187"/>
      <c r="F18" s="195" t="s">
        <v>307</v>
      </c>
      <c r="G18" s="195"/>
      <c r="H18" s="196" t="s">
        <v>308</v>
      </c>
      <c r="I18" s="196"/>
    </row>
    <row r="19" spans="1:9" ht="12.75" customHeight="1">
      <c r="A19" s="187" t="s">
        <v>313</v>
      </c>
      <c r="B19" s="187"/>
      <c r="C19" s="187"/>
      <c r="D19" s="187"/>
      <c r="E19" s="187"/>
      <c r="F19" s="195" t="s">
        <v>307</v>
      </c>
      <c r="G19" s="195"/>
      <c r="H19" s="196" t="s">
        <v>308</v>
      </c>
      <c r="I19" s="196"/>
    </row>
    <row r="20" spans="1:9" ht="12.75" customHeight="1">
      <c r="A20" s="199" t="s">
        <v>314</v>
      </c>
      <c r="B20" s="199"/>
      <c r="C20" s="199"/>
      <c r="D20" s="199"/>
      <c r="E20" s="199"/>
      <c r="F20" s="199"/>
      <c r="G20" s="199"/>
      <c r="H20" s="200">
        <f>SUM(H14:H19)</f>
        <v>3</v>
      </c>
      <c r="I20" s="200"/>
    </row>
    <row r="21" spans="1:9" ht="8.25" customHeight="1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12" ht="47.25" customHeight="1">
      <c r="A22" s="202" t="s">
        <v>315</v>
      </c>
      <c r="B22" s="202"/>
      <c r="C22" s="202"/>
      <c r="D22" s="202"/>
      <c r="E22" s="202"/>
      <c r="F22" s="202"/>
      <c r="G22" s="202"/>
      <c r="H22" s="202"/>
      <c r="I22" s="202"/>
      <c r="J22" s="6"/>
      <c r="K22" s="7"/>
      <c r="L22" s="8"/>
    </row>
    <row r="23" spans="1:12" ht="7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L23" s="8"/>
    </row>
    <row r="24" spans="1:12" ht="50.25" customHeight="1">
      <c r="A24" s="204" t="s">
        <v>316</v>
      </c>
      <c r="B24" s="204"/>
      <c r="C24" s="204"/>
      <c r="D24" s="204"/>
      <c r="E24" s="204"/>
      <c r="F24" s="204"/>
      <c r="G24" s="204"/>
      <c r="H24" s="204"/>
      <c r="I24" s="204"/>
      <c r="J24" s="6"/>
      <c r="K24" s="7"/>
      <c r="L24" s="8"/>
    </row>
    <row r="25" spans="1:12" ht="7.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6"/>
      <c r="K25" s="7"/>
      <c r="L25" s="8"/>
    </row>
    <row r="26" spans="1:256" s="9" customFormat="1" ht="21.75" customHeight="1">
      <c r="A26" s="189" t="s">
        <v>281</v>
      </c>
      <c r="B26" s="189"/>
      <c r="C26" s="189"/>
      <c r="D26" s="189"/>
      <c r="E26" s="189"/>
      <c r="F26" s="189"/>
      <c r="G26" s="189"/>
      <c r="H26" s="189"/>
      <c r="I26" s="18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9" ht="27" customHeight="1">
      <c r="A27" s="3">
        <v>1</v>
      </c>
      <c r="B27" s="187" t="s">
        <v>317</v>
      </c>
      <c r="C27" s="187"/>
      <c r="D27" s="187"/>
      <c r="E27" s="187"/>
      <c r="F27" s="187"/>
      <c r="G27" s="187"/>
      <c r="H27" s="207" t="s">
        <v>318</v>
      </c>
      <c r="I27" s="207"/>
    </row>
    <row r="28" spans="1:9" ht="19.5" customHeight="1">
      <c r="A28" s="10">
        <v>2</v>
      </c>
      <c r="B28" s="208" t="s">
        <v>319</v>
      </c>
      <c r="C28" s="208"/>
      <c r="D28" s="208"/>
      <c r="E28" s="208"/>
      <c r="F28" s="208"/>
      <c r="G28" s="208"/>
      <c r="H28" s="209" t="s">
        <v>0</v>
      </c>
      <c r="I28" s="209"/>
    </row>
    <row r="29" spans="1:9" ht="15.75" customHeight="1">
      <c r="A29" s="3">
        <v>3</v>
      </c>
      <c r="B29" s="187" t="s">
        <v>1</v>
      </c>
      <c r="C29" s="187"/>
      <c r="D29" s="187"/>
      <c r="E29" s="187"/>
      <c r="F29" s="187"/>
      <c r="G29" s="187"/>
      <c r="H29" s="210">
        <v>1447.6</v>
      </c>
      <c r="I29" s="210"/>
    </row>
    <row r="30" spans="1:9" ht="15.75" customHeight="1">
      <c r="A30" s="3">
        <v>4</v>
      </c>
      <c r="B30" s="187" t="s">
        <v>2</v>
      </c>
      <c r="C30" s="187"/>
      <c r="D30" s="187"/>
      <c r="E30" s="187"/>
      <c r="F30" s="187"/>
      <c r="G30" s="187"/>
      <c r="H30" s="211" t="s">
        <v>3</v>
      </c>
      <c r="I30" s="211"/>
    </row>
    <row r="31" spans="1:9" ht="15.75" customHeight="1">
      <c r="A31" s="3">
        <v>5</v>
      </c>
      <c r="B31" s="187" t="s">
        <v>4</v>
      </c>
      <c r="C31" s="187"/>
      <c r="D31" s="187"/>
      <c r="E31" s="187"/>
      <c r="F31" s="187"/>
      <c r="G31" s="187"/>
      <c r="H31" s="212" t="s">
        <v>148</v>
      </c>
      <c r="I31" s="212"/>
    </row>
    <row r="32" spans="1:256" ht="27" customHeight="1">
      <c r="A32" s="11">
        <v>6</v>
      </c>
      <c r="B32" s="213" t="s">
        <v>5</v>
      </c>
      <c r="C32" s="213"/>
      <c r="D32" s="213"/>
      <c r="E32" s="213"/>
      <c r="F32" s="213"/>
      <c r="G32" s="213"/>
      <c r="H32" s="214">
        <f>ROUND((H29/220),2)</f>
        <v>6.58</v>
      </c>
      <c r="I32" s="21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11">
        <v>7</v>
      </c>
      <c r="B33" s="213" t="s">
        <v>6</v>
      </c>
      <c r="C33" s="213"/>
      <c r="D33" s="213"/>
      <c r="E33" s="213"/>
      <c r="F33" s="213"/>
      <c r="G33" s="213"/>
      <c r="H33" s="215">
        <f>ROUND(H32*1.5,2)</f>
        <v>9.87</v>
      </c>
      <c r="I33" s="215"/>
      <c r="J33"/>
      <c r="K33">
        <f>H32+H32*0.5</f>
        <v>9.870000000000001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11">
        <v>8</v>
      </c>
      <c r="B34" s="213" t="s">
        <v>7</v>
      </c>
      <c r="C34" s="213"/>
      <c r="D34" s="213"/>
      <c r="E34" s="213"/>
      <c r="F34" s="213"/>
      <c r="G34" s="213"/>
      <c r="H34" s="214">
        <f>ROUND(H32*0.2,2)</f>
        <v>1.32</v>
      </c>
      <c r="I34" s="21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 customHeight="1">
      <c r="A35" s="11">
        <v>9</v>
      </c>
      <c r="B35" s="213" t="s">
        <v>283</v>
      </c>
      <c r="C35" s="213"/>
      <c r="D35" s="213"/>
      <c r="E35" s="213"/>
      <c r="F35" s="213"/>
      <c r="G35" s="213"/>
      <c r="H35" s="214">
        <f>ROUND(H32/6,2)</f>
        <v>1.1</v>
      </c>
      <c r="I35" s="21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1">
        <v>10</v>
      </c>
      <c r="B36" s="216" t="s">
        <v>8</v>
      </c>
      <c r="C36" s="216"/>
      <c r="D36" s="216"/>
      <c r="E36" s="216"/>
      <c r="F36" s="216"/>
      <c r="G36" s="216"/>
      <c r="H36" s="217">
        <v>2</v>
      </c>
      <c r="I36" s="21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ht="9" customHeight="1">
      <c r="A37" s="203"/>
      <c r="B37" s="203"/>
      <c r="C37" s="203"/>
      <c r="D37" s="203"/>
      <c r="E37" s="203"/>
      <c r="F37" s="203"/>
      <c r="G37" s="203"/>
      <c r="H37" s="203"/>
      <c r="I37" s="203"/>
    </row>
    <row r="38" spans="1:9" ht="21.75" customHeight="1">
      <c r="A38" s="218" t="s">
        <v>9</v>
      </c>
      <c r="B38" s="218"/>
      <c r="C38" s="218"/>
      <c r="D38" s="218"/>
      <c r="E38" s="218"/>
      <c r="F38" s="218"/>
      <c r="G38" s="218"/>
      <c r="H38" s="218"/>
      <c r="I38" s="218"/>
    </row>
    <row r="39" spans="1:9" ht="9" customHeight="1">
      <c r="A39" s="219"/>
      <c r="B39" s="219"/>
      <c r="C39" s="219"/>
      <c r="D39" s="219"/>
      <c r="E39" s="219"/>
      <c r="F39" s="219"/>
      <c r="G39" s="219"/>
      <c r="H39" s="219"/>
      <c r="I39" s="219"/>
    </row>
    <row r="40" spans="1:9" ht="20.25" customHeight="1">
      <c r="A40" s="220" t="s">
        <v>10</v>
      </c>
      <c r="B40" s="220"/>
      <c r="C40" s="220"/>
      <c r="D40" s="220"/>
      <c r="E40" s="220"/>
      <c r="F40" s="220"/>
      <c r="G40" s="220"/>
      <c r="H40" s="220"/>
      <c r="I40" s="220"/>
    </row>
    <row r="41" spans="1:9" s="15" customFormat="1" ht="30" customHeight="1">
      <c r="A41" s="12">
        <v>1</v>
      </c>
      <c r="B41" s="221" t="s">
        <v>11</v>
      </c>
      <c r="C41" s="221"/>
      <c r="D41" s="221"/>
      <c r="E41" s="221"/>
      <c r="F41" s="221"/>
      <c r="G41" s="221"/>
      <c r="H41" s="14" t="s">
        <v>12</v>
      </c>
      <c r="I41" s="12" t="s">
        <v>13</v>
      </c>
    </row>
    <row r="42" spans="1:9" ht="15.75" customHeight="1">
      <c r="A42" s="3" t="s">
        <v>292</v>
      </c>
      <c r="B42" s="187" t="s">
        <v>14</v>
      </c>
      <c r="C42" s="187"/>
      <c r="D42" s="187"/>
      <c r="E42" s="187"/>
      <c r="F42" s="187"/>
      <c r="G42" s="187"/>
      <c r="H42" s="187"/>
      <c r="I42" s="16">
        <f>H29*2</f>
        <v>2895.2</v>
      </c>
    </row>
    <row r="43" spans="1:9" ht="27.75" customHeight="1">
      <c r="A43" s="3" t="s">
        <v>294</v>
      </c>
      <c r="B43" s="187" t="s">
        <v>265</v>
      </c>
      <c r="C43" s="187"/>
      <c r="D43" s="187"/>
      <c r="E43" s="187"/>
      <c r="F43" s="187"/>
      <c r="G43" s="187"/>
      <c r="H43" s="187"/>
      <c r="I43" s="16">
        <f>ROUND(2*8*15*H34,2)</f>
        <v>316.8</v>
      </c>
    </row>
    <row r="44" spans="1:9" ht="37.5" customHeight="1">
      <c r="A44" s="3" t="s">
        <v>297</v>
      </c>
      <c r="B44" s="208" t="s">
        <v>15</v>
      </c>
      <c r="C44" s="208"/>
      <c r="D44" s="208"/>
      <c r="E44" s="208"/>
      <c r="F44" s="208"/>
      <c r="G44" s="208"/>
      <c r="H44" s="208"/>
      <c r="I44" s="16">
        <f>ROUND(H36*(((12*15)+15)-((44/6)*26))*H33,2)*0+ROUND(2*4.33*H33,2)</f>
        <v>85.47</v>
      </c>
    </row>
    <row r="45" spans="1:9" ht="29.25" customHeight="1">
      <c r="A45" s="3" t="s">
        <v>300</v>
      </c>
      <c r="B45" s="223" t="s">
        <v>280</v>
      </c>
      <c r="C45" s="224"/>
      <c r="D45" s="224"/>
      <c r="E45" s="224"/>
      <c r="F45" s="224"/>
      <c r="G45" s="224"/>
      <c r="H45" s="225"/>
      <c r="I45" s="16">
        <f>ROUND($H$35*H36*15,2)</f>
        <v>33</v>
      </c>
    </row>
    <row r="46" spans="1:9" ht="27" customHeight="1">
      <c r="A46" s="3" t="s">
        <v>16</v>
      </c>
      <c r="B46" s="187" t="s">
        <v>282</v>
      </c>
      <c r="C46" s="187"/>
      <c r="D46" s="187"/>
      <c r="E46" s="187"/>
      <c r="F46" s="187"/>
      <c r="G46" s="187"/>
      <c r="H46" s="187"/>
      <c r="I46" s="16">
        <f>ROUND(SUM(I43:I45)*0.2,2)</f>
        <v>87.05</v>
      </c>
    </row>
    <row r="47" spans="1:9" ht="26.25" customHeight="1">
      <c r="A47" s="3" t="s">
        <v>18</v>
      </c>
      <c r="B47" s="222" t="s">
        <v>17</v>
      </c>
      <c r="C47" s="222"/>
      <c r="D47" s="222"/>
      <c r="E47" s="222"/>
      <c r="F47" s="222"/>
      <c r="G47" s="222"/>
      <c r="H47" s="17">
        <v>0.3</v>
      </c>
      <c r="I47" s="16">
        <f>ROUND(H47*SUM(I42:I46),2)</f>
        <v>1025.26</v>
      </c>
    </row>
    <row r="48" spans="1:12" ht="15.75" customHeight="1">
      <c r="A48" s="3" t="s">
        <v>20</v>
      </c>
      <c r="B48" s="187" t="s">
        <v>19</v>
      </c>
      <c r="C48" s="187"/>
      <c r="D48" s="187"/>
      <c r="E48" s="187"/>
      <c r="F48" s="187"/>
      <c r="G48" s="187"/>
      <c r="H48" s="187"/>
      <c r="I48" s="18" t="s">
        <v>308</v>
      </c>
      <c r="L48" s="19"/>
    </row>
    <row r="49" spans="1:9" ht="58.5" customHeight="1">
      <c r="A49" s="226" t="s">
        <v>164</v>
      </c>
      <c r="B49" s="227"/>
      <c r="C49" s="227"/>
      <c r="D49" s="227"/>
      <c r="E49" s="227"/>
      <c r="F49" s="227"/>
      <c r="G49" s="227"/>
      <c r="H49" s="228"/>
      <c r="I49" s="95">
        <f>SUM(I42:I48)</f>
        <v>4442.78</v>
      </c>
    </row>
    <row r="50" spans="1:9" ht="11.25" customHeight="1">
      <c r="A50" s="229"/>
      <c r="B50" s="229"/>
      <c r="C50" s="229"/>
      <c r="D50" s="229"/>
      <c r="E50" s="229"/>
      <c r="F50" s="229"/>
      <c r="G50" s="229"/>
      <c r="H50" s="229"/>
      <c r="I50" s="229"/>
    </row>
    <row r="51" spans="1:9" ht="28.5" customHeight="1">
      <c r="A51" s="96" t="s">
        <v>22</v>
      </c>
      <c r="B51" s="230" t="s">
        <v>197</v>
      </c>
      <c r="C51" s="230"/>
      <c r="D51" s="230"/>
      <c r="E51" s="230"/>
      <c r="F51" s="230"/>
      <c r="G51" s="230"/>
      <c r="H51" s="230"/>
      <c r="I51" s="97">
        <f>ROUND(H33*15*H36*0.5,2)</f>
        <v>148.05</v>
      </c>
    </row>
    <row r="52" spans="1:9" ht="31.5" customHeight="1">
      <c r="A52" s="231" t="s">
        <v>158</v>
      </c>
      <c r="B52" s="231"/>
      <c r="C52" s="231"/>
      <c r="D52" s="231"/>
      <c r="E52" s="231"/>
      <c r="F52" s="231"/>
      <c r="G52" s="231"/>
      <c r="H52" s="231"/>
      <c r="I52" s="20">
        <f>I51</f>
        <v>148.05</v>
      </c>
    </row>
    <row r="53" spans="1:9" ht="11.25" customHeight="1">
      <c r="A53" s="201"/>
      <c r="B53" s="201"/>
      <c r="C53" s="201"/>
      <c r="D53" s="201"/>
      <c r="E53" s="201"/>
      <c r="F53" s="201"/>
      <c r="G53" s="201"/>
      <c r="H53" s="201"/>
      <c r="I53" s="201"/>
    </row>
    <row r="54" spans="1:9" ht="46.5" customHeight="1">
      <c r="A54" s="232" t="s">
        <v>163</v>
      </c>
      <c r="B54" s="233"/>
      <c r="C54" s="233"/>
      <c r="D54" s="233"/>
      <c r="E54" s="233"/>
      <c r="F54" s="233"/>
      <c r="G54" s="233"/>
      <c r="H54" s="234"/>
      <c r="I54" s="21">
        <f>I49+I52</f>
        <v>4590.83</v>
      </c>
    </row>
    <row r="55" spans="1:9" ht="6.75" customHeight="1">
      <c r="A55" s="235"/>
      <c r="B55" s="235"/>
      <c r="C55" s="235"/>
      <c r="D55" s="235"/>
      <c r="E55" s="235"/>
      <c r="F55" s="235"/>
      <c r="G55" s="235"/>
      <c r="H55" s="235"/>
      <c r="I55" s="235"/>
    </row>
    <row r="56" spans="1:9" ht="17.25" customHeight="1">
      <c r="A56" s="236" t="s">
        <v>268</v>
      </c>
      <c r="B56" s="236"/>
      <c r="C56" s="236"/>
      <c r="D56" s="236"/>
      <c r="E56" s="236"/>
      <c r="F56" s="236"/>
      <c r="G56" s="236"/>
      <c r="H56" s="236"/>
      <c r="I56" s="236"/>
    </row>
    <row r="57" spans="1:9" ht="6.75" customHeight="1">
      <c r="A57" s="235"/>
      <c r="B57" s="235"/>
      <c r="C57" s="235"/>
      <c r="D57" s="235"/>
      <c r="E57" s="235"/>
      <c r="F57" s="235"/>
      <c r="G57" s="235"/>
      <c r="H57" s="235"/>
      <c r="I57" s="235"/>
    </row>
    <row r="58" spans="1:9" ht="22.5" customHeight="1">
      <c r="A58" s="237" t="s">
        <v>23</v>
      </c>
      <c r="B58" s="237"/>
      <c r="C58" s="237"/>
      <c r="D58" s="237"/>
      <c r="E58" s="237"/>
      <c r="F58" s="237"/>
      <c r="G58" s="237"/>
      <c r="H58" s="237"/>
      <c r="I58" s="237"/>
    </row>
    <row r="59" spans="1:9" ht="19.5" customHeight="1">
      <c r="A59" s="238" t="s">
        <v>269</v>
      </c>
      <c r="B59" s="238"/>
      <c r="C59" s="238"/>
      <c r="D59" s="238"/>
      <c r="E59" s="238"/>
      <c r="F59" s="238"/>
      <c r="G59" s="238"/>
      <c r="H59" s="238"/>
      <c r="I59" s="238"/>
    </row>
    <row r="60" spans="1:9" ht="18.75" customHeight="1">
      <c r="A60" s="22" t="s">
        <v>24</v>
      </c>
      <c r="B60" s="239" t="s">
        <v>270</v>
      </c>
      <c r="C60" s="239"/>
      <c r="D60" s="239"/>
      <c r="E60" s="239"/>
      <c r="F60" s="239"/>
      <c r="G60" s="239"/>
      <c r="H60" s="239"/>
      <c r="I60" s="23" t="s">
        <v>25</v>
      </c>
    </row>
    <row r="61" spans="1:9" ht="15.75" customHeight="1">
      <c r="A61" s="24" t="s">
        <v>292</v>
      </c>
      <c r="B61" s="240" t="s">
        <v>26</v>
      </c>
      <c r="C61" s="240"/>
      <c r="D61" s="240"/>
      <c r="E61" s="240"/>
      <c r="F61" s="240"/>
      <c r="G61" s="240"/>
      <c r="H61" s="240"/>
      <c r="I61" s="25">
        <f>ROUND($I$49/12,2)</f>
        <v>370.23</v>
      </c>
    </row>
    <row r="62" spans="1:9" ht="15" customHeight="1">
      <c r="A62" s="24" t="s">
        <v>294</v>
      </c>
      <c r="B62" s="241" t="s">
        <v>271</v>
      </c>
      <c r="C62" s="242"/>
      <c r="D62" s="242"/>
      <c r="E62" s="242"/>
      <c r="F62" s="242"/>
      <c r="G62" s="242"/>
      <c r="H62" s="242"/>
      <c r="I62" s="25">
        <f>ROUND(($I$49+$I$49/3)/12,2)</f>
        <v>493.64</v>
      </c>
    </row>
    <row r="63" spans="1:9" ht="16.5" customHeight="1">
      <c r="A63" s="243" t="s">
        <v>27</v>
      </c>
      <c r="B63" s="243"/>
      <c r="C63" s="243"/>
      <c r="D63" s="243"/>
      <c r="E63" s="243"/>
      <c r="F63" s="243"/>
      <c r="G63" s="243"/>
      <c r="H63" s="243"/>
      <c r="I63" s="26">
        <f>SUM(I61+I62)</f>
        <v>863.87</v>
      </c>
    </row>
    <row r="64" spans="1:9" ht="7.5" customHeight="1">
      <c r="A64" s="244"/>
      <c r="B64" s="244"/>
      <c r="C64" s="244"/>
      <c r="D64" s="244"/>
      <c r="E64" s="244"/>
      <c r="F64" s="244"/>
      <c r="G64" s="244"/>
      <c r="H64" s="244"/>
      <c r="I64" s="244"/>
    </row>
    <row r="65" spans="1:9" s="27" customFormat="1" ht="83.25" customHeight="1">
      <c r="A65" s="245" t="s">
        <v>272</v>
      </c>
      <c r="B65" s="246"/>
      <c r="C65" s="246"/>
      <c r="D65" s="246"/>
      <c r="E65" s="246"/>
      <c r="F65" s="246"/>
      <c r="G65" s="246"/>
      <c r="H65" s="246"/>
      <c r="I65" s="247"/>
    </row>
    <row r="66" spans="1:9" s="27" customFormat="1" ht="8.25" customHeight="1">
      <c r="A66" s="248"/>
      <c r="B66" s="248"/>
      <c r="C66" s="248"/>
      <c r="D66" s="248"/>
      <c r="E66" s="248"/>
      <c r="F66" s="248"/>
      <c r="G66" s="248"/>
      <c r="H66" s="248"/>
      <c r="I66" s="248"/>
    </row>
    <row r="67" spans="1:9" s="27" customFormat="1" ht="29.25" customHeight="1">
      <c r="A67" s="249" t="s">
        <v>277</v>
      </c>
      <c r="B67" s="249"/>
      <c r="C67" s="249"/>
      <c r="D67" s="249"/>
      <c r="E67" s="249"/>
      <c r="F67" s="249"/>
      <c r="G67" s="249"/>
      <c r="H67" s="249"/>
      <c r="I67" s="249"/>
    </row>
    <row r="68" spans="1:9" s="27" customFormat="1" ht="26.25" customHeight="1">
      <c r="A68" s="28" t="s">
        <v>28</v>
      </c>
      <c r="B68" s="250" t="s">
        <v>29</v>
      </c>
      <c r="C68" s="250"/>
      <c r="D68" s="250"/>
      <c r="E68" s="250"/>
      <c r="F68" s="250"/>
      <c r="G68" s="250"/>
      <c r="H68" s="5" t="s">
        <v>12</v>
      </c>
      <c r="I68" s="13" t="s">
        <v>30</v>
      </c>
    </row>
    <row r="69" spans="1:9" s="27" customFormat="1" ht="16.5" customHeight="1">
      <c r="A69" s="30" t="s">
        <v>292</v>
      </c>
      <c r="B69" s="251" t="s">
        <v>31</v>
      </c>
      <c r="C69" s="251"/>
      <c r="D69" s="251"/>
      <c r="E69" s="251"/>
      <c r="F69" s="251"/>
      <c r="G69" s="251"/>
      <c r="H69" s="31">
        <v>0.2</v>
      </c>
      <c r="I69" s="32">
        <f>ROUND((I49+I63)*H69,2)</f>
        <v>1061.33</v>
      </c>
    </row>
    <row r="70" spans="1:9" s="27" customFormat="1" ht="19.5" customHeight="1">
      <c r="A70" s="30" t="s">
        <v>294</v>
      </c>
      <c r="B70" s="251" t="s">
        <v>32</v>
      </c>
      <c r="C70" s="251"/>
      <c r="D70" s="251"/>
      <c r="E70" s="251"/>
      <c r="F70" s="251"/>
      <c r="G70" s="251"/>
      <c r="H70" s="72" t="s">
        <v>308</v>
      </c>
      <c r="I70" s="18" t="s">
        <v>308</v>
      </c>
    </row>
    <row r="71" spans="1:9" s="27" customFormat="1" ht="44.25" customHeight="1">
      <c r="A71" s="30" t="s">
        <v>297</v>
      </c>
      <c r="B71" s="187" t="s">
        <v>33</v>
      </c>
      <c r="C71" s="187"/>
      <c r="D71" s="34" t="s">
        <v>36</v>
      </c>
      <c r="E71" s="35">
        <v>0.03</v>
      </c>
      <c r="F71" s="34" t="s">
        <v>37</v>
      </c>
      <c r="G71" s="36">
        <v>1</v>
      </c>
      <c r="H71" s="37">
        <f>ROUND((E71*G71),6)</f>
        <v>0.03</v>
      </c>
      <c r="I71" s="32">
        <f>ROUND((I49+I63)*H71,2)</f>
        <v>159.2</v>
      </c>
    </row>
    <row r="72" spans="1:9" s="27" customFormat="1" ht="15.75" customHeight="1">
      <c r="A72" s="30" t="s">
        <v>300</v>
      </c>
      <c r="B72" s="251" t="s">
        <v>38</v>
      </c>
      <c r="C72" s="251"/>
      <c r="D72" s="251"/>
      <c r="E72" s="251"/>
      <c r="F72" s="251"/>
      <c r="G72" s="251"/>
      <c r="H72" s="17" t="s">
        <v>308</v>
      </c>
      <c r="I72" s="18" t="s">
        <v>308</v>
      </c>
    </row>
    <row r="73" spans="1:9" s="27" customFormat="1" ht="15.75" customHeight="1">
      <c r="A73" s="30" t="s">
        <v>16</v>
      </c>
      <c r="B73" s="251" t="s">
        <v>39</v>
      </c>
      <c r="C73" s="251"/>
      <c r="D73" s="251"/>
      <c r="E73" s="251"/>
      <c r="F73" s="251"/>
      <c r="G73" s="251"/>
      <c r="H73" s="17" t="s">
        <v>308</v>
      </c>
      <c r="I73" s="18" t="s">
        <v>308</v>
      </c>
    </row>
    <row r="74" spans="1:9" ht="15.75" customHeight="1">
      <c r="A74" s="30" t="s">
        <v>18</v>
      </c>
      <c r="B74" s="187" t="s">
        <v>40</v>
      </c>
      <c r="C74" s="187"/>
      <c r="D74" s="187"/>
      <c r="E74" s="187"/>
      <c r="F74" s="187"/>
      <c r="G74" s="187"/>
      <c r="H74" s="17" t="s">
        <v>308</v>
      </c>
      <c r="I74" s="18" t="s">
        <v>308</v>
      </c>
    </row>
    <row r="75" spans="1:9" ht="15.75" customHeight="1">
      <c r="A75" s="30" t="s">
        <v>20</v>
      </c>
      <c r="B75" s="251" t="s">
        <v>41</v>
      </c>
      <c r="C75" s="251"/>
      <c r="D75" s="251"/>
      <c r="E75" s="251"/>
      <c r="F75" s="251"/>
      <c r="G75" s="251"/>
      <c r="H75" s="17" t="s">
        <v>308</v>
      </c>
      <c r="I75" s="18" t="s">
        <v>308</v>
      </c>
    </row>
    <row r="76" spans="1:9" ht="12.75" customHeight="1">
      <c r="A76" s="30" t="s">
        <v>22</v>
      </c>
      <c r="B76" s="187" t="s">
        <v>42</v>
      </c>
      <c r="C76" s="187"/>
      <c r="D76" s="187"/>
      <c r="E76" s="187"/>
      <c r="F76" s="187"/>
      <c r="G76" s="187"/>
      <c r="H76" s="33">
        <v>0.08</v>
      </c>
      <c r="I76" s="32">
        <f>ROUND((I49+I63)*H76,2)</f>
        <v>424.53</v>
      </c>
    </row>
    <row r="77" spans="1:9" ht="18" customHeight="1">
      <c r="A77" s="252" t="s">
        <v>27</v>
      </c>
      <c r="B77" s="252"/>
      <c r="C77" s="252"/>
      <c r="D77" s="252"/>
      <c r="E77" s="252"/>
      <c r="F77" s="252"/>
      <c r="G77" s="252"/>
      <c r="H77" s="38">
        <f>SUM(H69:H76)</f>
        <v>0.31</v>
      </c>
      <c r="I77" s="39">
        <f>SUM(I69:I76)</f>
        <v>1645.06</v>
      </c>
    </row>
    <row r="78" spans="1:9" ht="9.75" customHeight="1">
      <c r="A78" s="40"/>
      <c r="B78" s="41"/>
      <c r="C78" s="41"/>
      <c r="D78" s="41"/>
      <c r="E78" s="41"/>
      <c r="F78" s="41"/>
      <c r="G78" s="41"/>
      <c r="H78" s="42"/>
      <c r="I78" s="43"/>
    </row>
    <row r="79" spans="1:9" ht="39" customHeight="1">
      <c r="A79" s="218" t="s">
        <v>257</v>
      </c>
      <c r="B79" s="218"/>
      <c r="C79" s="218"/>
      <c r="D79" s="218"/>
      <c r="E79" s="218"/>
      <c r="F79" s="218"/>
      <c r="G79" s="218"/>
      <c r="H79" s="218"/>
      <c r="I79" s="218"/>
    </row>
    <row r="80" spans="1:9" ht="8.25" customHeight="1">
      <c r="A80" s="203"/>
      <c r="B80" s="203"/>
      <c r="C80" s="203"/>
      <c r="D80" s="203"/>
      <c r="E80" s="203"/>
      <c r="F80" s="203"/>
      <c r="G80" s="203"/>
      <c r="H80" s="203"/>
      <c r="I80" s="203"/>
    </row>
    <row r="81" spans="1:11" ht="23.25" customHeight="1">
      <c r="A81" s="253" t="s">
        <v>43</v>
      </c>
      <c r="B81" s="253"/>
      <c r="C81" s="253"/>
      <c r="D81" s="253"/>
      <c r="E81" s="253"/>
      <c r="F81" s="253"/>
      <c r="G81" s="253"/>
      <c r="H81" s="253"/>
      <c r="I81" s="253"/>
      <c r="K81" s="1">
        <f>1/12</f>
        <v>0.08333333333333333</v>
      </c>
    </row>
    <row r="82" spans="1:9" ht="21.75" customHeight="1">
      <c r="A82" s="44" t="s">
        <v>44</v>
      </c>
      <c r="B82" s="221" t="s">
        <v>45</v>
      </c>
      <c r="C82" s="221"/>
      <c r="D82" s="221"/>
      <c r="E82" s="221"/>
      <c r="F82" s="221"/>
      <c r="G82" s="221"/>
      <c r="H82" s="221"/>
      <c r="I82" s="13" t="s">
        <v>25</v>
      </c>
    </row>
    <row r="83" spans="1:9" ht="19.5" customHeight="1">
      <c r="A83" s="45" t="s">
        <v>292</v>
      </c>
      <c r="B83" s="254" t="s">
        <v>46</v>
      </c>
      <c r="C83" s="254"/>
      <c r="D83" s="254"/>
      <c r="E83" s="254"/>
      <c r="F83" s="254"/>
      <c r="G83" s="254"/>
      <c r="H83" s="254"/>
      <c r="I83" s="46">
        <f>IF(ROUND((H84*H86*H85)-(I42*H87),2)&lt;0,0,ROUND((H84*H86*H85)-(I42*H87),2))</f>
        <v>108.29</v>
      </c>
    </row>
    <row r="84" spans="1:9" ht="25.5" customHeight="1">
      <c r="A84" s="45"/>
      <c r="B84" s="254" t="s">
        <v>47</v>
      </c>
      <c r="C84" s="254"/>
      <c r="D84" s="254"/>
      <c r="E84" s="254"/>
      <c r="F84" s="254"/>
      <c r="G84" s="254"/>
      <c r="H84" s="47">
        <v>4.7</v>
      </c>
      <c r="I84" s="48" t="s">
        <v>308</v>
      </c>
    </row>
    <row r="85" spans="1:9" ht="19.5" customHeight="1">
      <c r="A85" s="45"/>
      <c r="B85" s="187" t="s">
        <v>48</v>
      </c>
      <c r="C85" s="187"/>
      <c r="D85" s="187"/>
      <c r="E85" s="187"/>
      <c r="F85" s="187"/>
      <c r="G85" s="187"/>
      <c r="H85" s="49">
        <v>2</v>
      </c>
      <c r="I85" s="48" t="s">
        <v>308</v>
      </c>
    </row>
    <row r="86" spans="1:9" ht="14.25" customHeight="1">
      <c r="A86" s="45"/>
      <c r="B86" s="213" t="s">
        <v>49</v>
      </c>
      <c r="C86" s="213"/>
      <c r="D86" s="213"/>
      <c r="E86" s="213"/>
      <c r="F86" s="213"/>
      <c r="G86" s="213"/>
      <c r="H86" s="50">
        <v>30</v>
      </c>
      <c r="I86" s="48"/>
    </row>
    <row r="87" spans="1:9" ht="15.75" customHeight="1">
      <c r="A87" s="45"/>
      <c r="B87" s="213" t="s">
        <v>50</v>
      </c>
      <c r="C87" s="213"/>
      <c r="D87" s="213"/>
      <c r="E87" s="213"/>
      <c r="F87" s="213"/>
      <c r="G87" s="213"/>
      <c r="H87" s="51">
        <v>0.06</v>
      </c>
      <c r="I87" s="48"/>
    </row>
    <row r="88" spans="1:9" ht="15.75" customHeight="1">
      <c r="A88" s="45" t="s">
        <v>294</v>
      </c>
      <c r="B88" s="254" t="s">
        <v>51</v>
      </c>
      <c r="C88" s="254"/>
      <c r="D88" s="254"/>
      <c r="E88" s="254"/>
      <c r="F88" s="254"/>
      <c r="G88" s="254"/>
      <c r="H88" s="254"/>
      <c r="I88" s="52">
        <f>ROUND(H90*H89*(1-H91),2)*1+ROUND(21.726*6*(1-H91),2)*0</f>
        <v>461.52</v>
      </c>
    </row>
    <row r="89" spans="1:9" ht="15.75" customHeight="1">
      <c r="A89" s="45"/>
      <c r="B89" s="254" t="s">
        <v>52</v>
      </c>
      <c r="C89" s="254"/>
      <c r="D89" s="254"/>
      <c r="E89" s="254"/>
      <c r="F89" s="254"/>
      <c r="G89" s="254"/>
      <c r="H89" s="47">
        <v>19.23</v>
      </c>
      <c r="I89" s="48" t="s">
        <v>308</v>
      </c>
    </row>
    <row r="90" spans="1:9" ht="15.75" customHeight="1">
      <c r="A90" s="45"/>
      <c r="B90" s="254" t="s">
        <v>53</v>
      </c>
      <c r="C90" s="254"/>
      <c r="D90" s="254"/>
      <c r="E90" s="254"/>
      <c r="F90" s="254"/>
      <c r="G90" s="254"/>
      <c r="H90" s="50">
        <v>30</v>
      </c>
      <c r="I90" s="48"/>
    </row>
    <row r="91" spans="1:9" ht="15" customHeight="1">
      <c r="A91" s="45"/>
      <c r="B91" s="213" t="s">
        <v>54</v>
      </c>
      <c r="C91" s="213"/>
      <c r="D91" s="213"/>
      <c r="E91" s="213"/>
      <c r="F91" s="213"/>
      <c r="G91" s="213"/>
      <c r="H91" s="51">
        <v>0.2</v>
      </c>
      <c r="I91" s="48"/>
    </row>
    <row r="92" spans="1:9" s="27" customFormat="1" ht="18.75" customHeight="1">
      <c r="A92" s="45" t="s">
        <v>297</v>
      </c>
      <c r="B92" s="254" t="s">
        <v>55</v>
      </c>
      <c r="C92" s="254"/>
      <c r="D92" s="254"/>
      <c r="E92" s="254"/>
      <c r="F92" s="254"/>
      <c r="G92" s="254"/>
      <c r="H92" s="254"/>
      <c r="I92" s="46">
        <v>0</v>
      </c>
    </row>
    <row r="93" spans="1:9" s="27" customFormat="1" ht="24" customHeight="1">
      <c r="A93" s="45" t="s">
        <v>300</v>
      </c>
      <c r="B93" s="254" t="s">
        <v>56</v>
      </c>
      <c r="C93" s="254"/>
      <c r="D93" s="254"/>
      <c r="E93" s="254"/>
      <c r="F93" s="254"/>
      <c r="G93" s="254"/>
      <c r="H93" s="254"/>
      <c r="I93" s="46">
        <f>ROUND($I$49*26*0.00023,2)</f>
        <v>26.57</v>
      </c>
    </row>
    <row r="94" spans="1:9" s="27" customFormat="1" ht="18" customHeight="1">
      <c r="A94" s="45" t="s">
        <v>16</v>
      </c>
      <c r="B94" s="187" t="s">
        <v>57</v>
      </c>
      <c r="C94" s="187"/>
      <c r="D94" s="187"/>
      <c r="E94" s="187"/>
      <c r="F94" s="187"/>
      <c r="G94" s="187"/>
      <c r="H94" s="187"/>
      <c r="I94" s="46">
        <f>ROUND(($I$42*0.0052066)/12,2)</f>
        <v>1.26</v>
      </c>
    </row>
    <row r="95" spans="1:9" s="27" customFormat="1" ht="15" customHeight="1">
      <c r="A95" s="45" t="s">
        <v>18</v>
      </c>
      <c r="B95" s="255" t="s">
        <v>58</v>
      </c>
      <c r="C95" s="255"/>
      <c r="D95" s="255"/>
      <c r="E95" s="255"/>
      <c r="F95" s="255"/>
      <c r="G95" s="255"/>
      <c r="H95" s="255"/>
      <c r="I95" s="53">
        <v>0</v>
      </c>
    </row>
    <row r="96" spans="1:9" s="27" customFormat="1" ht="19.5" customHeight="1">
      <c r="A96" s="54"/>
      <c r="B96" s="256" t="s">
        <v>27</v>
      </c>
      <c r="C96" s="256"/>
      <c r="D96" s="256"/>
      <c r="E96" s="256"/>
      <c r="F96" s="256"/>
      <c r="G96" s="256"/>
      <c r="H96" s="256"/>
      <c r="I96" s="39">
        <f>SUM(I83:I95)</f>
        <v>597.64</v>
      </c>
    </row>
    <row r="97" spans="1:9" s="27" customFormat="1" ht="14.25" customHeight="1">
      <c r="A97" s="203"/>
      <c r="B97" s="203"/>
      <c r="C97" s="203"/>
      <c r="D97" s="203"/>
      <c r="E97" s="203"/>
      <c r="F97" s="203"/>
      <c r="G97" s="203"/>
      <c r="H97" s="203"/>
      <c r="I97" s="203"/>
    </row>
    <row r="98" spans="1:9" s="27" customFormat="1" ht="34.5" customHeight="1">
      <c r="A98" s="218" t="s">
        <v>59</v>
      </c>
      <c r="B98" s="218"/>
      <c r="C98" s="218"/>
      <c r="D98" s="218"/>
      <c r="E98" s="218"/>
      <c r="F98" s="218"/>
      <c r="G98" s="218"/>
      <c r="H98" s="218"/>
      <c r="I98" s="218"/>
    </row>
    <row r="99" spans="1:9" s="27" customFormat="1" ht="15.75" customHeight="1">
      <c r="A99" s="201"/>
      <c r="B99" s="201"/>
      <c r="C99" s="201"/>
      <c r="D99" s="201"/>
      <c r="E99" s="201"/>
      <c r="F99" s="201"/>
      <c r="G99" s="201"/>
      <c r="H99" s="201"/>
      <c r="I99" s="201"/>
    </row>
    <row r="100" spans="1:9" s="27" customFormat="1" ht="14.25" customHeight="1">
      <c r="A100" s="257" t="s">
        <v>60</v>
      </c>
      <c r="B100" s="257"/>
      <c r="C100" s="257"/>
      <c r="D100" s="257"/>
      <c r="E100" s="257"/>
      <c r="F100" s="257"/>
      <c r="G100" s="257"/>
      <c r="H100" s="257"/>
      <c r="I100" s="257"/>
    </row>
    <row r="101" spans="1:9" s="27" customFormat="1" ht="14.25" customHeight="1">
      <c r="A101" s="29">
        <v>2</v>
      </c>
      <c r="B101" s="250" t="s">
        <v>61</v>
      </c>
      <c r="C101" s="250"/>
      <c r="D101" s="250"/>
      <c r="E101" s="250"/>
      <c r="F101" s="250"/>
      <c r="G101" s="250"/>
      <c r="H101" s="250"/>
      <c r="I101" s="29" t="s">
        <v>25</v>
      </c>
    </row>
    <row r="102" spans="1:9" s="27" customFormat="1" ht="15.75" customHeight="1">
      <c r="A102" s="55" t="s">
        <v>24</v>
      </c>
      <c r="B102" s="258" t="s">
        <v>273</v>
      </c>
      <c r="C102" s="258"/>
      <c r="D102" s="258"/>
      <c r="E102" s="258"/>
      <c r="F102" s="258"/>
      <c r="G102" s="258"/>
      <c r="H102" s="258"/>
      <c r="I102" s="56">
        <f>I63</f>
        <v>863.87</v>
      </c>
    </row>
    <row r="103" spans="1:9" s="27" customFormat="1" ht="15.75" customHeight="1">
      <c r="A103" s="55" t="s">
        <v>28</v>
      </c>
      <c r="B103" s="258" t="s">
        <v>29</v>
      </c>
      <c r="C103" s="258"/>
      <c r="D103" s="258"/>
      <c r="E103" s="258"/>
      <c r="F103" s="258"/>
      <c r="G103" s="258"/>
      <c r="H103" s="258"/>
      <c r="I103" s="56">
        <f>I77</f>
        <v>1645.06</v>
      </c>
    </row>
    <row r="104" spans="1:9" s="27" customFormat="1" ht="14.25" customHeight="1">
      <c r="A104" s="55" t="s">
        <v>44</v>
      </c>
      <c r="B104" s="258" t="s">
        <v>45</v>
      </c>
      <c r="C104" s="258"/>
      <c r="D104" s="258"/>
      <c r="E104" s="258"/>
      <c r="F104" s="258"/>
      <c r="G104" s="258"/>
      <c r="H104" s="258"/>
      <c r="I104" s="56">
        <f>I96</f>
        <v>597.64</v>
      </c>
    </row>
    <row r="105" spans="1:9" s="27" customFormat="1" ht="15" customHeight="1">
      <c r="A105" s="259" t="s">
        <v>27</v>
      </c>
      <c r="B105" s="259"/>
      <c r="C105" s="259"/>
      <c r="D105" s="259"/>
      <c r="E105" s="259"/>
      <c r="F105" s="259"/>
      <c r="G105" s="259"/>
      <c r="H105" s="259"/>
      <c r="I105" s="57">
        <f>SUM(I102+I103+I104)</f>
        <v>3106.5699999999997</v>
      </c>
    </row>
    <row r="106" spans="1:9" s="27" customFormat="1" ht="8.25" customHeight="1">
      <c r="A106" s="260"/>
      <c r="B106" s="260"/>
      <c r="C106" s="260"/>
      <c r="D106" s="260"/>
      <c r="E106" s="260"/>
      <c r="F106" s="260"/>
      <c r="G106" s="260"/>
      <c r="H106" s="260"/>
      <c r="I106" s="260"/>
    </row>
    <row r="107" spans="1:9" s="27" customFormat="1" ht="23.25" customHeight="1">
      <c r="A107" s="261" t="s">
        <v>62</v>
      </c>
      <c r="B107" s="261"/>
      <c r="C107" s="261"/>
      <c r="D107" s="261"/>
      <c r="E107" s="261"/>
      <c r="F107" s="261"/>
      <c r="G107" s="261"/>
      <c r="H107" s="261"/>
      <c r="I107" s="261"/>
    </row>
    <row r="108" spans="1:9" s="27" customFormat="1" ht="15">
      <c r="A108" s="44">
        <v>3</v>
      </c>
      <c r="B108" s="262" t="s">
        <v>63</v>
      </c>
      <c r="C108" s="262"/>
      <c r="D108" s="262"/>
      <c r="E108" s="262"/>
      <c r="F108" s="262"/>
      <c r="G108" s="262"/>
      <c r="H108" s="262"/>
      <c r="I108" s="44" t="s">
        <v>25</v>
      </c>
    </row>
    <row r="109" spans="1:9" s="27" customFormat="1" ht="45.75" customHeight="1">
      <c r="A109" s="45" t="s">
        <v>292</v>
      </c>
      <c r="B109" s="263" t="s">
        <v>64</v>
      </c>
      <c r="C109" s="263"/>
      <c r="D109" s="263"/>
      <c r="E109" s="263"/>
      <c r="F109" s="263"/>
      <c r="G109" s="263"/>
      <c r="H109" s="263"/>
      <c r="I109" s="32">
        <f>ROUND((($I$49/12)+($I$61/12)+($I$49/12/12)+($I$62/12))*(30/30)*0.05,2)</f>
        <v>23.65</v>
      </c>
    </row>
    <row r="110" spans="1:9" s="27" customFormat="1" ht="19.5" customHeight="1">
      <c r="A110" s="45" t="s">
        <v>294</v>
      </c>
      <c r="B110" s="241" t="s">
        <v>65</v>
      </c>
      <c r="C110" s="241"/>
      <c r="D110" s="241"/>
      <c r="E110" s="241"/>
      <c r="F110" s="241"/>
      <c r="G110" s="241"/>
      <c r="H110" s="241"/>
      <c r="I110" s="32">
        <f>ROUND($H$76*I109,2)</f>
        <v>1.89</v>
      </c>
    </row>
    <row r="111" spans="1:9" s="27" customFormat="1" ht="23.25" customHeight="1">
      <c r="A111" s="45" t="s">
        <v>297</v>
      </c>
      <c r="B111" s="251" t="s">
        <v>274</v>
      </c>
      <c r="C111" s="251"/>
      <c r="D111" s="251"/>
      <c r="E111" s="251"/>
      <c r="F111" s="251"/>
      <c r="G111" s="251"/>
      <c r="H111" s="251"/>
      <c r="I111" s="32">
        <f>ROUND((0.08*0.5*SUM($I$49+$I$61+$I$62)*0.05),2)</f>
        <v>10.61</v>
      </c>
    </row>
    <row r="112" spans="1:9" s="27" customFormat="1" ht="26.25" customHeight="1">
      <c r="A112" s="45" t="s">
        <v>300</v>
      </c>
      <c r="B112" s="251" t="s">
        <v>66</v>
      </c>
      <c r="C112" s="251"/>
      <c r="D112" s="251"/>
      <c r="E112" s="251"/>
      <c r="F112" s="251"/>
      <c r="G112" s="251"/>
      <c r="H112" s="251"/>
      <c r="I112" s="32">
        <f>ROUND(((7/30)/$H$11)*$I$49*1,2)</f>
        <v>86.39</v>
      </c>
    </row>
    <row r="113" spans="1:9" s="27" customFormat="1" ht="15.75" customHeight="1">
      <c r="A113" s="45" t="s">
        <v>16</v>
      </c>
      <c r="B113" s="241" t="s">
        <v>258</v>
      </c>
      <c r="C113" s="241"/>
      <c r="D113" s="241"/>
      <c r="E113" s="241"/>
      <c r="F113" s="241"/>
      <c r="G113" s="241"/>
      <c r="H113" s="241"/>
      <c r="I113" s="32">
        <f>ROUND($H$77*I112,2)</f>
        <v>26.78</v>
      </c>
    </row>
    <row r="114" spans="1:9" s="27" customFormat="1" ht="24" customHeight="1">
      <c r="A114" s="45" t="s">
        <v>18</v>
      </c>
      <c r="B114" s="251" t="s">
        <v>275</v>
      </c>
      <c r="C114" s="251"/>
      <c r="D114" s="251"/>
      <c r="E114" s="251"/>
      <c r="F114" s="251"/>
      <c r="G114" s="251"/>
      <c r="H114" s="251"/>
      <c r="I114" s="32">
        <f>ROUND(0.08*0.5*SUM($I$49+$I$61+$I$62)*1,2)</f>
        <v>212.27</v>
      </c>
    </row>
    <row r="115" spans="1:9" ht="16.5" customHeight="1">
      <c r="A115" s="252" t="s">
        <v>67</v>
      </c>
      <c r="B115" s="252"/>
      <c r="C115" s="252"/>
      <c r="D115" s="252"/>
      <c r="E115" s="252"/>
      <c r="F115" s="252"/>
      <c r="G115" s="252"/>
      <c r="H115" s="252"/>
      <c r="I115" s="39">
        <f>SUM(I109:I114)</f>
        <v>361.59000000000003</v>
      </c>
    </row>
    <row r="116" spans="1:9" ht="7.5" customHeight="1">
      <c r="A116" s="264"/>
      <c r="B116" s="264"/>
      <c r="C116" s="264"/>
      <c r="D116" s="264"/>
      <c r="E116" s="264"/>
      <c r="F116" s="264"/>
      <c r="G116" s="264"/>
      <c r="H116" s="264"/>
      <c r="I116" s="264"/>
    </row>
    <row r="117" spans="1:9" ht="21" customHeight="1">
      <c r="A117" s="265" t="s">
        <v>68</v>
      </c>
      <c r="B117" s="265"/>
      <c r="C117" s="265"/>
      <c r="D117" s="265"/>
      <c r="E117" s="265"/>
      <c r="F117" s="265"/>
      <c r="G117" s="265"/>
      <c r="H117" s="265"/>
      <c r="I117" s="265"/>
    </row>
    <row r="118" spans="1:9" ht="24" customHeight="1">
      <c r="A118" s="266" t="s">
        <v>259</v>
      </c>
      <c r="B118" s="266"/>
      <c r="C118" s="266"/>
      <c r="D118" s="266"/>
      <c r="E118" s="266"/>
      <c r="F118" s="266"/>
      <c r="G118" s="266"/>
      <c r="H118" s="266"/>
      <c r="I118" s="266"/>
    </row>
    <row r="119" spans="1:9" ht="42" customHeight="1">
      <c r="A119" s="268" t="s">
        <v>153</v>
      </c>
      <c r="B119" s="269"/>
      <c r="C119" s="269"/>
      <c r="D119" s="269"/>
      <c r="E119" s="269"/>
      <c r="F119" s="269"/>
      <c r="G119" s="269"/>
      <c r="H119" s="269"/>
      <c r="I119" s="270"/>
    </row>
    <row r="120" spans="1:9" ht="6.75" customHeight="1">
      <c r="A120" s="271"/>
      <c r="B120" s="272"/>
      <c r="C120" s="272"/>
      <c r="D120" s="272"/>
      <c r="E120" s="272"/>
      <c r="F120" s="272"/>
      <c r="G120" s="272"/>
      <c r="H120" s="272"/>
      <c r="I120" s="273"/>
    </row>
    <row r="121" spans="1:9" ht="42" customHeight="1">
      <c r="A121" s="98" t="s">
        <v>157</v>
      </c>
      <c r="B121" s="100">
        <f>I49</f>
        <v>4442.78</v>
      </c>
      <c r="C121" s="102" t="s">
        <v>155</v>
      </c>
      <c r="D121" s="98" t="s">
        <v>278</v>
      </c>
      <c r="E121" s="100">
        <f>I105</f>
        <v>3106.5699999999997</v>
      </c>
      <c r="F121" s="102" t="s">
        <v>155</v>
      </c>
      <c r="G121" s="98" t="s">
        <v>279</v>
      </c>
      <c r="H121" s="100">
        <f>I115</f>
        <v>361.59000000000003</v>
      </c>
      <c r="I121" s="99">
        <f>B121+E121+H121</f>
        <v>7910.94</v>
      </c>
    </row>
    <row r="122" spans="1:9" ht="7.5" customHeight="1">
      <c r="A122" s="267"/>
      <c r="B122" s="267"/>
      <c r="C122" s="267"/>
      <c r="D122" s="267"/>
      <c r="E122" s="267"/>
      <c r="F122" s="267"/>
      <c r="G122" s="267"/>
      <c r="H122" s="267"/>
      <c r="I122" s="267"/>
    </row>
    <row r="123" spans="1:9" ht="26.25" customHeight="1">
      <c r="A123" s="274" t="s">
        <v>276</v>
      </c>
      <c r="B123" s="275"/>
      <c r="C123" s="275"/>
      <c r="D123" s="275"/>
      <c r="E123" s="276"/>
      <c r="F123" s="274" t="s">
        <v>154</v>
      </c>
      <c r="G123" s="276"/>
      <c r="H123" s="103">
        <f>ROUND(I121/30,2)</f>
        <v>263.7</v>
      </c>
      <c r="I123" s="101"/>
    </row>
    <row r="124" spans="1:9" ht="14.25" customHeight="1">
      <c r="A124" s="58" t="s">
        <v>69</v>
      </c>
      <c r="B124" s="262" t="s">
        <v>261</v>
      </c>
      <c r="C124" s="262"/>
      <c r="D124" s="262"/>
      <c r="E124" s="262"/>
      <c r="F124" s="262"/>
      <c r="G124" s="262"/>
      <c r="H124" s="262"/>
      <c r="I124" s="58" t="s">
        <v>25</v>
      </c>
    </row>
    <row r="125" spans="1:9" ht="15.75" customHeight="1">
      <c r="A125" s="45" t="s">
        <v>292</v>
      </c>
      <c r="B125" s="241" t="s">
        <v>262</v>
      </c>
      <c r="C125" s="241"/>
      <c r="D125" s="241"/>
      <c r="E125" s="241"/>
      <c r="F125" s="241"/>
      <c r="G125" s="241"/>
      <c r="H125" s="241"/>
      <c r="I125" s="32">
        <f>ROUND($I$121/12,2)</f>
        <v>659.25</v>
      </c>
    </row>
    <row r="126" spans="1:9" ht="17.25" customHeight="1">
      <c r="A126" s="45" t="s">
        <v>294</v>
      </c>
      <c r="B126" s="251" t="s">
        <v>150</v>
      </c>
      <c r="C126" s="251"/>
      <c r="D126" s="251"/>
      <c r="E126" s="251"/>
      <c r="F126" s="251"/>
      <c r="G126" s="251"/>
      <c r="H126" s="251"/>
      <c r="I126" s="32">
        <f>ROUND((1/30)/12*($I$121),2)</f>
        <v>21.97</v>
      </c>
    </row>
    <row r="127" spans="1:9" ht="24.75" customHeight="1">
      <c r="A127" s="45" t="s">
        <v>297</v>
      </c>
      <c r="B127" s="251" t="s">
        <v>263</v>
      </c>
      <c r="C127" s="251"/>
      <c r="D127" s="251"/>
      <c r="E127" s="251"/>
      <c r="F127" s="251"/>
      <c r="G127" s="251"/>
      <c r="H127" s="251"/>
      <c r="I127" s="32">
        <f>ROUND((5/30)/12*0.015*($I$121),2)</f>
        <v>1.65</v>
      </c>
    </row>
    <row r="128" spans="1:9" ht="24.75" customHeight="1">
      <c r="A128" s="45" t="s">
        <v>300</v>
      </c>
      <c r="B128" s="251" t="s">
        <v>264</v>
      </c>
      <c r="C128" s="251"/>
      <c r="D128" s="251"/>
      <c r="E128" s="251"/>
      <c r="F128" s="251"/>
      <c r="G128" s="251"/>
      <c r="H128" s="251"/>
      <c r="I128" s="32">
        <f>ROUND(((15/30)/12)*0.0078*($I$121),2)</f>
        <v>2.57</v>
      </c>
    </row>
    <row r="129" spans="1:9" ht="24.75" customHeight="1">
      <c r="A129" s="45" t="s">
        <v>16</v>
      </c>
      <c r="B129" s="187" t="s">
        <v>160</v>
      </c>
      <c r="C129" s="187"/>
      <c r="D129" s="187"/>
      <c r="E129" s="187"/>
      <c r="F129" s="187"/>
      <c r="G129" s="187"/>
      <c r="H129" s="187"/>
      <c r="I129" s="32">
        <f>ROUND(((((I49+I49/3)/12)+(I77+I96+I115))*4/12)*0.02,2)</f>
        <v>20.65</v>
      </c>
    </row>
    <row r="130" spans="1:9" ht="27.75" customHeight="1">
      <c r="A130" s="45" t="s">
        <v>18</v>
      </c>
      <c r="B130" s="251" t="s">
        <v>156</v>
      </c>
      <c r="C130" s="251"/>
      <c r="D130" s="251"/>
      <c r="E130" s="251"/>
      <c r="F130" s="251"/>
      <c r="G130" s="251"/>
      <c r="H130" s="251"/>
      <c r="I130" s="32">
        <f>ROUND(((3/30)/12)*($I$121),2)</f>
        <v>65.92</v>
      </c>
    </row>
    <row r="131" spans="1:9" ht="15.75" customHeight="1">
      <c r="A131" s="252" t="s">
        <v>27</v>
      </c>
      <c r="B131" s="252"/>
      <c r="C131" s="252"/>
      <c r="D131" s="252"/>
      <c r="E131" s="252"/>
      <c r="F131" s="252"/>
      <c r="G131" s="252"/>
      <c r="H131" s="252"/>
      <c r="I131" s="39">
        <f>SUM(I125:I130)</f>
        <v>772.01</v>
      </c>
    </row>
    <row r="132" spans="1:9" ht="7.5" customHeight="1">
      <c r="A132" s="278"/>
      <c r="B132" s="278"/>
      <c r="C132" s="278"/>
      <c r="D132" s="278"/>
      <c r="E132" s="278"/>
      <c r="F132" s="278"/>
      <c r="G132" s="278"/>
      <c r="H132" s="278"/>
      <c r="I132" s="278"/>
    </row>
    <row r="133" spans="1:9" ht="15.75" customHeight="1">
      <c r="A133" s="253" t="s">
        <v>285</v>
      </c>
      <c r="B133" s="253"/>
      <c r="C133" s="253"/>
      <c r="D133" s="253"/>
      <c r="E133" s="253"/>
      <c r="F133" s="253"/>
      <c r="G133" s="253"/>
      <c r="H133" s="253"/>
      <c r="I133" s="253"/>
    </row>
    <row r="134" spans="1:9" ht="15.75" customHeight="1">
      <c r="A134" s="59" t="s">
        <v>70</v>
      </c>
      <c r="B134" s="279" t="s">
        <v>286</v>
      </c>
      <c r="C134" s="279"/>
      <c r="D134" s="279"/>
      <c r="E134" s="279"/>
      <c r="F134" s="279"/>
      <c r="G134" s="279"/>
      <c r="H134" s="279"/>
      <c r="I134" s="60" t="s">
        <v>25</v>
      </c>
    </row>
    <row r="135" spans="1:9" ht="15.75" customHeight="1">
      <c r="A135" s="24" t="s">
        <v>292</v>
      </c>
      <c r="B135" s="240" t="s">
        <v>287</v>
      </c>
      <c r="C135" s="240"/>
      <c r="D135" s="240"/>
      <c r="E135" s="240"/>
      <c r="F135" s="240"/>
      <c r="G135" s="240"/>
      <c r="H135" s="240"/>
      <c r="I135" s="61">
        <v>0</v>
      </c>
    </row>
    <row r="136" spans="1:9" ht="15.75" customHeight="1">
      <c r="A136" s="277" t="s">
        <v>27</v>
      </c>
      <c r="B136" s="277"/>
      <c r="C136" s="277"/>
      <c r="D136" s="277"/>
      <c r="E136" s="277"/>
      <c r="F136" s="277"/>
      <c r="G136" s="277"/>
      <c r="H136" s="277"/>
      <c r="I136" s="61">
        <v>0</v>
      </c>
    </row>
    <row r="137" spans="1:9" ht="9" customHeight="1">
      <c r="A137" s="278"/>
      <c r="B137" s="278"/>
      <c r="C137" s="278"/>
      <c r="D137" s="278"/>
      <c r="E137" s="278"/>
      <c r="F137" s="278"/>
      <c r="G137" s="278"/>
      <c r="H137" s="278"/>
      <c r="I137" s="278"/>
    </row>
    <row r="138" spans="1:9" ht="18.75" customHeight="1">
      <c r="A138" s="237" t="s">
        <v>71</v>
      </c>
      <c r="B138" s="237"/>
      <c r="C138" s="237"/>
      <c r="D138" s="237"/>
      <c r="E138" s="237"/>
      <c r="F138" s="237"/>
      <c r="G138" s="237"/>
      <c r="H138" s="237"/>
      <c r="I138" s="237"/>
    </row>
    <row r="139" spans="1:9" ht="21.75" customHeight="1">
      <c r="A139" s="29">
        <v>4</v>
      </c>
      <c r="B139" s="279" t="s">
        <v>72</v>
      </c>
      <c r="C139" s="279"/>
      <c r="D139" s="279"/>
      <c r="E139" s="279"/>
      <c r="F139" s="279"/>
      <c r="G139" s="279"/>
      <c r="H139" s="279"/>
      <c r="I139" s="60" t="s">
        <v>25</v>
      </c>
    </row>
    <row r="140" spans="1:9" ht="17.25" customHeight="1">
      <c r="A140" s="62" t="s">
        <v>69</v>
      </c>
      <c r="B140" s="240" t="s">
        <v>261</v>
      </c>
      <c r="C140" s="240"/>
      <c r="D140" s="240"/>
      <c r="E140" s="240"/>
      <c r="F140" s="240"/>
      <c r="G140" s="240"/>
      <c r="H140" s="240"/>
      <c r="I140" s="61">
        <f>I131</f>
        <v>772.01</v>
      </c>
    </row>
    <row r="141" spans="1:9" ht="16.5" customHeight="1">
      <c r="A141" s="62" t="s">
        <v>73</v>
      </c>
      <c r="B141" s="240" t="s">
        <v>286</v>
      </c>
      <c r="C141" s="240"/>
      <c r="D141" s="240"/>
      <c r="E141" s="240"/>
      <c r="F141" s="240"/>
      <c r="G141" s="240"/>
      <c r="H141" s="240"/>
      <c r="I141" s="61">
        <f>I136</f>
        <v>0</v>
      </c>
    </row>
    <row r="142" spans="1:9" s="27" customFormat="1" ht="14.25" customHeight="1">
      <c r="A142" s="280" t="s">
        <v>27</v>
      </c>
      <c r="B142" s="280"/>
      <c r="C142" s="280"/>
      <c r="D142" s="280"/>
      <c r="E142" s="280"/>
      <c r="F142" s="280"/>
      <c r="G142" s="280"/>
      <c r="H142" s="280"/>
      <c r="I142" s="26">
        <f>SUM(I140+I141)</f>
        <v>772.01</v>
      </c>
    </row>
    <row r="143" spans="1:9" ht="6.75" customHeight="1">
      <c r="A143" s="264"/>
      <c r="B143" s="264"/>
      <c r="C143" s="264"/>
      <c r="D143" s="264"/>
      <c r="E143" s="264"/>
      <c r="F143" s="264"/>
      <c r="G143" s="264"/>
      <c r="H143" s="264"/>
      <c r="I143" s="264"/>
    </row>
    <row r="144" spans="1:9" ht="27" customHeight="1">
      <c r="A144" s="265" t="s">
        <v>74</v>
      </c>
      <c r="B144" s="265"/>
      <c r="C144" s="265"/>
      <c r="D144" s="265"/>
      <c r="E144" s="265"/>
      <c r="F144" s="265"/>
      <c r="G144" s="265"/>
      <c r="H144" s="265"/>
      <c r="I144" s="265"/>
    </row>
    <row r="145" spans="1:9" ht="15.75" customHeight="1">
      <c r="A145" s="44">
        <v>3</v>
      </c>
      <c r="B145" s="221" t="s">
        <v>75</v>
      </c>
      <c r="C145" s="221"/>
      <c r="D145" s="221"/>
      <c r="E145" s="221"/>
      <c r="F145" s="221"/>
      <c r="G145" s="221"/>
      <c r="H145" s="221"/>
      <c r="I145" s="44" t="s">
        <v>25</v>
      </c>
    </row>
    <row r="146" spans="1:9" ht="27.75" customHeight="1">
      <c r="A146" s="45" t="s">
        <v>292</v>
      </c>
      <c r="B146" s="187" t="s">
        <v>34</v>
      </c>
      <c r="C146" s="187"/>
      <c r="D146" s="187"/>
      <c r="E146" s="187"/>
      <c r="F146" s="187"/>
      <c r="G146" s="187"/>
      <c r="H146" s="187"/>
      <c r="I146" s="46">
        <v>82</v>
      </c>
    </row>
    <row r="147" spans="1:9" ht="18.75" customHeight="1">
      <c r="A147" s="45" t="s">
        <v>294</v>
      </c>
      <c r="B147" s="187" t="s">
        <v>76</v>
      </c>
      <c r="C147" s="187"/>
      <c r="D147" s="187"/>
      <c r="E147" s="187"/>
      <c r="F147" s="187"/>
      <c r="G147" s="187"/>
      <c r="H147" s="187"/>
      <c r="I147" s="53">
        <v>151</v>
      </c>
    </row>
    <row r="148" spans="1:9" ht="15" customHeight="1">
      <c r="A148" s="45" t="s">
        <v>297</v>
      </c>
      <c r="B148" s="187" t="s">
        <v>58</v>
      </c>
      <c r="C148" s="187"/>
      <c r="D148" s="187"/>
      <c r="E148" s="187"/>
      <c r="F148" s="187"/>
      <c r="G148" s="187"/>
      <c r="H148" s="187"/>
      <c r="I148" s="53" t="s">
        <v>77</v>
      </c>
    </row>
    <row r="149" spans="1:9" ht="15.75" customHeight="1">
      <c r="A149" s="252" t="s">
        <v>78</v>
      </c>
      <c r="B149" s="252"/>
      <c r="C149" s="252"/>
      <c r="D149" s="252"/>
      <c r="E149" s="252"/>
      <c r="F149" s="252"/>
      <c r="G149" s="252"/>
      <c r="H149" s="252"/>
      <c r="I149" s="63">
        <f>ROUND(SUM(I146:I148),2)</f>
        <v>233</v>
      </c>
    </row>
    <row r="150" spans="1:9" ht="6.75" customHeight="1">
      <c r="A150" s="281"/>
      <c r="B150" s="281"/>
      <c r="C150" s="281"/>
      <c r="D150" s="281"/>
      <c r="E150" s="281"/>
      <c r="F150" s="281"/>
      <c r="G150" s="281"/>
      <c r="H150" s="281"/>
      <c r="I150" s="281"/>
    </row>
    <row r="151" spans="1:9" ht="12">
      <c r="A151" s="282" t="s">
        <v>79</v>
      </c>
      <c r="B151" s="282"/>
      <c r="C151" s="282"/>
      <c r="D151" s="282"/>
      <c r="E151" s="282"/>
      <c r="F151" s="282"/>
      <c r="G151" s="282"/>
      <c r="H151" s="282"/>
      <c r="I151" s="282"/>
    </row>
    <row r="152" spans="1:9" ht="6.75" customHeight="1">
      <c r="A152" s="64"/>
      <c r="B152" s="65"/>
      <c r="C152" s="65"/>
      <c r="D152" s="65"/>
      <c r="E152" s="65"/>
      <c r="F152" s="65"/>
      <c r="G152" s="65"/>
      <c r="H152" s="65"/>
      <c r="I152" s="66"/>
    </row>
    <row r="153" spans="1:9" ht="21" customHeight="1">
      <c r="A153" s="261" t="s">
        <v>80</v>
      </c>
      <c r="B153" s="261"/>
      <c r="C153" s="261"/>
      <c r="D153" s="261"/>
      <c r="E153" s="261"/>
      <c r="F153" s="261"/>
      <c r="G153" s="261"/>
      <c r="H153" s="261"/>
      <c r="I153" s="261"/>
    </row>
    <row r="154" spans="1:9" ht="30">
      <c r="A154" s="44">
        <v>6</v>
      </c>
      <c r="B154" s="262" t="s">
        <v>81</v>
      </c>
      <c r="C154" s="262"/>
      <c r="D154" s="262"/>
      <c r="E154" s="262"/>
      <c r="F154" s="262"/>
      <c r="G154" s="262"/>
      <c r="H154" s="5" t="s">
        <v>12</v>
      </c>
      <c r="I154" s="67" t="s">
        <v>30</v>
      </c>
    </row>
    <row r="155" spans="1:9" ht="50.25" customHeight="1">
      <c r="A155" s="283" t="s">
        <v>82</v>
      </c>
      <c r="B155" s="283"/>
      <c r="C155" s="283"/>
      <c r="D155" s="283"/>
      <c r="E155" s="283"/>
      <c r="F155" s="283"/>
      <c r="G155" s="283"/>
      <c r="H155" s="68" t="s">
        <v>308</v>
      </c>
      <c r="I155" s="69">
        <f>SUM(I54+I105+I115+I142+I149)</f>
        <v>9064</v>
      </c>
    </row>
    <row r="156" spans="1:9" ht="15">
      <c r="A156" s="45" t="s">
        <v>292</v>
      </c>
      <c r="B156" s="284" t="s">
        <v>83</v>
      </c>
      <c r="C156" s="284"/>
      <c r="D156" s="284"/>
      <c r="E156" s="284"/>
      <c r="F156" s="284"/>
      <c r="G156" s="284"/>
      <c r="H156" s="33">
        <v>0.06</v>
      </c>
      <c r="I156" s="32">
        <f>ROUND(H156*I155,2)</f>
        <v>543.84</v>
      </c>
    </row>
    <row r="157" spans="1:9" ht="48.75" customHeight="1">
      <c r="A157" s="283" t="s">
        <v>84</v>
      </c>
      <c r="B157" s="283"/>
      <c r="C157" s="283"/>
      <c r="D157" s="283"/>
      <c r="E157" s="283"/>
      <c r="F157" s="283"/>
      <c r="G157" s="283"/>
      <c r="H157" s="70" t="s">
        <v>308</v>
      </c>
      <c r="I157" s="69">
        <f>SUM(I54+I105+I115+I142+I149+I156)</f>
        <v>9607.84</v>
      </c>
    </row>
    <row r="158" spans="1:9" ht="15">
      <c r="A158" s="45" t="s">
        <v>294</v>
      </c>
      <c r="B158" s="284" t="s">
        <v>85</v>
      </c>
      <c r="C158" s="284"/>
      <c r="D158" s="284"/>
      <c r="E158" s="284"/>
      <c r="F158" s="284"/>
      <c r="G158" s="284"/>
      <c r="H158" s="33">
        <v>0.0679</v>
      </c>
      <c r="I158" s="32">
        <f>ROUND(H158*I157,2)</f>
        <v>652.37</v>
      </c>
    </row>
    <row r="159" spans="1:9" ht="52.5" customHeight="1">
      <c r="A159" s="283" t="s">
        <v>86</v>
      </c>
      <c r="B159" s="283"/>
      <c r="C159" s="283"/>
      <c r="D159" s="283"/>
      <c r="E159" s="283"/>
      <c r="F159" s="283"/>
      <c r="G159" s="283"/>
      <c r="H159" s="70" t="s">
        <v>308</v>
      </c>
      <c r="I159" s="69">
        <f>SUM(I54+I105+I115+I142+I149+I156+I158)</f>
        <v>10260.210000000001</v>
      </c>
    </row>
    <row r="160" spans="1:9" ht="22.5" customHeight="1">
      <c r="A160" s="71" t="s">
        <v>297</v>
      </c>
      <c r="B160" s="285" t="s">
        <v>87</v>
      </c>
      <c r="C160" s="285"/>
      <c r="D160" s="285"/>
      <c r="E160" s="285"/>
      <c r="F160" s="285"/>
      <c r="G160" s="285"/>
      <c r="H160" s="72" t="s">
        <v>308</v>
      </c>
      <c r="I160" s="18" t="s">
        <v>308</v>
      </c>
    </row>
    <row r="161" spans="1:9" ht="18" customHeight="1">
      <c r="A161" s="45"/>
      <c r="B161" s="286" t="s">
        <v>88</v>
      </c>
      <c r="C161" s="286"/>
      <c r="D161" s="286"/>
      <c r="E161" s="286"/>
      <c r="F161" s="286"/>
      <c r="G161" s="286"/>
      <c r="H161" s="72" t="s">
        <v>308</v>
      </c>
      <c r="I161" s="18" t="s">
        <v>308</v>
      </c>
    </row>
    <row r="162" spans="1:9" ht="25.5" customHeight="1">
      <c r="A162" s="45"/>
      <c r="B162" s="287" t="s">
        <v>89</v>
      </c>
      <c r="C162" s="287"/>
      <c r="D162" s="287"/>
      <c r="E162" s="287"/>
      <c r="F162" s="287"/>
      <c r="G162" s="287"/>
      <c r="H162" s="73">
        <v>0.0214</v>
      </c>
      <c r="I162" s="74">
        <f>ROUND(($I$159/(1-$H$171))*H162,2)</f>
        <v>236.48</v>
      </c>
    </row>
    <row r="163" spans="1:9" ht="27" customHeight="1">
      <c r="A163" s="45"/>
      <c r="B163" s="287" t="s">
        <v>90</v>
      </c>
      <c r="C163" s="287"/>
      <c r="D163" s="287"/>
      <c r="E163" s="287"/>
      <c r="F163" s="287"/>
      <c r="G163" s="287"/>
      <c r="H163" s="73">
        <v>0.0047</v>
      </c>
      <c r="I163" s="74">
        <f>ROUND(($I$159/(1-$H$171))*H163,2)</f>
        <v>51.94</v>
      </c>
    </row>
    <row r="164" spans="1:9" ht="23.25" customHeight="1">
      <c r="A164" s="45"/>
      <c r="B164" s="263" t="s">
        <v>91</v>
      </c>
      <c r="C164" s="263"/>
      <c r="D164" s="263"/>
      <c r="E164" s="263"/>
      <c r="F164" s="263"/>
      <c r="G164" s="263"/>
      <c r="H164" s="75" t="s">
        <v>308</v>
      </c>
      <c r="I164" s="18" t="s">
        <v>308</v>
      </c>
    </row>
    <row r="165" spans="1:9" ht="24" customHeight="1">
      <c r="A165" s="45"/>
      <c r="B165" s="263" t="s">
        <v>92</v>
      </c>
      <c r="C165" s="263"/>
      <c r="D165" s="263"/>
      <c r="E165" s="263"/>
      <c r="F165" s="263"/>
      <c r="G165" s="263"/>
      <c r="H165" s="75" t="s">
        <v>308</v>
      </c>
      <c r="I165" s="18" t="s">
        <v>308</v>
      </c>
    </row>
    <row r="166" spans="1:9" ht="15" customHeight="1">
      <c r="A166" s="45"/>
      <c r="B166" s="288" t="s">
        <v>93</v>
      </c>
      <c r="C166" s="288"/>
      <c r="D166" s="288"/>
      <c r="E166" s="288"/>
      <c r="F166" s="288"/>
      <c r="G166" s="288"/>
      <c r="H166" s="76" t="s">
        <v>308</v>
      </c>
      <c r="I166" s="77" t="s">
        <v>308</v>
      </c>
    </row>
    <row r="167" spans="1:9" ht="15.75" customHeight="1">
      <c r="A167" s="45"/>
      <c r="B167" s="288" t="s">
        <v>94</v>
      </c>
      <c r="C167" s="288"/>
      <c r="D167" s="288"/>
      <c r="E167" s="288"/>
      <c r="F167" s="288"/>
      <c r="G167" s="288"/>
      <c r="H167" s="76" t="s">
        <v>308</v>
      </c>
      <c r="I167" s="77" t="s">
        <v>308</v>
      </c>
    </row>
    <row r="168" spans="1:9" ht="14.25" customHeight="1">
      <c r="A168" s="45"/>
      <c r="B168" s="251" t="s">
        <v>95</v>
      </c>
      <c r="C168" s="251"/>
      <c r="D168" s="251"/>
      <c r="E168" s="251"/>
      <c r="F168" s="251"/>
      <c r="G168" s="251"/>
      <c r="H168" s="73">
        <v>0.0454</v>
      </c>
      <c r="I168" s="74">
        <f>ROUND(($I$159/(1-$H$171))*H168,2)</f>
        <v>501.68</v>
      </c>
    </row>
    <row r="169" spans="1:9" ht="15.75" customHeight="1">
      <c r="A169" s="252" t="s">
        <v>67</v>
      </c>
      <c r="B169" s="252"/>
      <c r="C169" s="252"/>
      <c r="D169" s="252"/>
      <c r="E169" s="252"/>
      <c r="F169" s="252"/>
      <c r="G169" s="252"/>
      <c r="H169" s="252"/>
      <c r="I169" s="39">
        <f>SUM(I156+I158+I162+I163+I168)</f>
        <v>1986.3100000000002</v>
      </c>
    </row>
    <row r="170" spans="1:9" ht="6.75" customHeight="1">
      <c r="A170" s="264"/>
      <c r="B170" s="264"/>
      <c r="C170" s="264"/>
      <c r="D170" s="264"/>
      <c r="E170" s="264"/>
      <c r="F170" s="264"/>
      <c r="G170" s="264"/>
      <c r="H170" s="264"/>
      <c r="I170" s="264"/>
    </row>
    <row r="171" spans="1:9" ht="18.75" customHeight="1">
      <c r="A171" s="289" t="s">
        <v>96</v>
      </c>
      <c r="B171" s="289"/>
      <c r="C171" s="289"/>
      <c r="D171" s="289"/>
      <c r="E171" s="289"/>
      <c r="F171" s="289"/>
      <c r="G171" s="289"/>
      <c r="H171" s="78">
        <f>SUM(H162:H168)</f>
        <v>0.07150000000000001</v>
      </c>
      <c r="I171" s="79">
        <f>SUM(I162:I168)</f>
        <v>790.0999999999999</v>
      </c>
    </row>
    <row r="172" spans="1:9" ht="13.5" customHeight="1">
      <c r="A172" s="290" t="s">
        <v>97</v>
      </c>
      <c r="B172" s="290"/>
      <c r="C172" s="291" t="s">
        <v>98</v>
      </c>
      <c r="D172" s="291"/>
      <c r="E172" s="291"/>
      <c r="F172" s="291"/>
      <c r="G172" s="291"/>
      <c r="H172" s="291"/>
      <c r="I172" s="291"/>
    </row>
    <row r="173" spans="1:9" ht="6.75" customHeight="1">
      <c r="A173" s="290"/>
      <c r="B173" s="290"/>
      <c r="C173" s="292" t="s">
        <v>99</v>
      </c>
      <c r="D173" s="292"/>
      <c r="E173" s="292"/>
      <c r="F173" s="292"/>
      <c r="G173" s="292"/>
      <c r="H173" s="292"/>
      <c r="I173" s="292"/>
    </row>
    <row r="174" spans="1:9" ht="24" customHeight="1">
      <c r="A174" s="290"/>
      <c r="B174" s="290"/>
      <c r="C174" s="293" t="s">
        <v>100</v>
      </c>
      <c r="D174" s="293"/>
      <c r="E174" s="293"/>
      <c r="F174" s="293"/>
      <c r="G174" s="293"/>
      <c r="H174" s="293"/>
      <c r="I174" s="293"/>
    </row>
    <row r="175" spans="1:9" ht="5.25" customHeight="1">
      <c r="A175" s="294"/>
      <c r="B175" s="294"/>
      <c r="C175" s="294"/>
      <c r="D175" s="294"/>
      <c r="E175" s="294"/>
      <c r="F175" s="294"/>
      <c r="G175" s="294"/>
      <c r="H175" s="294"/>
      <c r="I175" s="294"/>
    </row>
    <row r="176" spans="1:9" ht="27.75" customHeight="1">
      <c r="A176" s="295" t="s">
        <v>101</v>
      </c>
      <c r="B176" s="295"/>
      <c r="C176" s="295"/>
      <c r="D176" s="295"/>
      <c r="E176" s="295"/>
      <c r="F176" s="295"/>
      <c r="G176" s="295"/>
      <c r="H176" s="295"/>
      <c r="I176" s="295"/>
    </row>
    <row r="177" spans="1:9" ht="8.25" customHeight="1">
      <c r="A177" s="264"/>
      <c r="B177" s="264"/>
      <c r="C177" s="264"/>
      <c r="D177" s="264"/>
      <c r="E177" s="264"/>
      <c r="F177" s="264"/>
      <c r="G177" s="264"/>
      <c r="H177" s="264"/>
      <c r="I177" s="264"/>
    </row>
    <row r="178" spans="1:11" ht="20.25" customHeight="1">
      <c r="A178" s="296" t="s">
        <v>102</v>
      </c>
      <c r="B178" s="296"/>
      <c r="C178" s="296"/>
      <c r="D178" s="296"/>
      <c r="E178" s="296"/>
      <c r="F178" s="296"/>
      <c r="G178" s="296"/>
      <c r="H178" s="296"/>
      <c r="I178" s="296"/>
      <c r="K178" s="80"/>
    </row>
    <row r="179" spans="1:9" ht="15" customHeight="1">
      <c r="A179" s="189" t="s">
        <v>103</v>
      </c>
      <c r="B179" s="189"/>
      <c r="C179" s="189"/>
      <c r="D179" s="189"/>
      <c r="E179" s="189"/>
      <c r="F179" s="189"/>
      <c r="G179" s="189"/>
      <c r="H179" s="189"/>
      <c r="I179" s="5" t="s">
        <v>25</v>
      </c>
    </row>
    <row r="180" spans="1:9" ht="15" customHeight="1">
      <c r="A180" s="81" t="s">
        <v>292</v>
      </c>
      <c r="B180" s="297" t="s">
        <v>104</v>
      </c>
      <c r="C180" s="297"/>
      <c r="D180" s="297"/>
      <c r="E180" s="297"/>
      <c r="F180" s="297"/>
      <c r="G180" s="297"/>
      <c r="H180" s="297"/>
      <c r="I180" s="53">
        <f>I54</f>
        <v>4590.83</v>
      </c>
    </row>
    <row r="181" spans="1:9" ht="15" customHeight="1">
      <c r="A181" s="81" t="s">
        <v>294</v>
      </c>
      <c r="B181" s="297" t="s">
        <v>105</v>
      </c>
      <c r="C181" s="297"/>
      <c r="D181" s="297"/>
      <c r="E181" s="297"/>
      <c r="F181" s="297"/>
      <c r="G181" s="297"/>
      <c r="H181" s="297"/>
      <c r="I181" s="53">
        <f>I105</f>
        <v>3106.5699999999997</v>
      </c>
    </row>
    <row r="182" spans="1:9" ht="15" customHeight="1">
      <c r="A182" s="81" t="s">
        <v>297</v>
      </c>
      <c r="B182" s="297" t="s">
        <v>106</v>
      </c>
      <c r="C182" s="297"/>
      <c r="D182" s="297"/>
      <c r="E182" s="297"/>
      <c r="F182" s="297"/>
      <c r="G182" s="297"/>
      <c r="H182" s="297"/>
      <c r="I182" s="53">
        <f>I115</f>
        <v>361.59000000000003</v>
      </c>
    </row>
    <row r="183" spans="1:9" ht="15" customHeight="1">
      <c r="A183" s="81" t="s">
        <v>300</v>
      </c>
      <c r="B183" s="297" t="s">
        <v>107</v>
      </c>
      <c r="C183" s="297"/>
      <c r="D183" s="297"/>
      <c r="E183" s="297"/>
      <c r="F183" s="297"/>
      <c r="G183" s="297"/>
      <c r="H183" s="297"/>
      <c r="I183" s="53">
        <f>I142</f>
        <v>772.01</v>
      </c>
    </row>
    <row r="184" spans="1:9" ht="15" customHeight="1">
      <c r="A184" s="81" t="s">
        <v>16</v>
      </c>
      <c r="B184" s="297" t="s">
        <v>108</v>
      </c>
      <c r="C184" s="297"/>
      <c r="D184" s="297"/>
      <c r="E184" s="297"/>
      <c r="F184" s="297"/>
      <c r="G184" s="297"/>
      <c r="H184" s="297"/>
      <c r="I184" s="53">
        <f>I149</f>
        <v>233</v>
      </c>
    </row>
    <row r="185" spans="1:9" ht="15" customHeight="1">
      <c r="A185" s="298" t="s">
        <v>109</v>
      </c>
      <c r="B185" s="298"/>
      <c r="C185" s="298"/>
      <c r="D185" s="298"/>
      <c r="E185" s="298"/>
      <c r="F185" s="298"/>
      <c r="G185" s="298"/>
      <c r="H185" s="298"/>
      <c r="I185" s="53">
        <f>SUM(I180:I184)</f>
        <v>9064</v>
      </c>
    </row>
    <row r="186" spans="1:9" ht="15.75" customHeight="1">
      <c r="A186" s="82" t="s">
        <v>18</v>
      </c>
      <c r="B186" s="297" t="s">
        <v>80</v>
      </c>
      <c r="C186" s="297"/>
      <c r="D186" s="297"/>
      <c r="E186" s="297"/>
      <c r="F186" s="297"/>
      <c r="G186" s="297"/>
      <c r="H186" s="297"/>
      <c r="I186" s="63">
        <f>I169</f>
        <v>1986.3100000000002</v>
      </c>
    </row>
    <row r="187" spans="1:9" ht="16.5" customHeight="1">
      <c r="A187" s="298" t="s">
        <v>110</v>
      </c>
      <c r="B187" s="298"/>
      <c r="C187" s="298"/>
      <c r="D187" s="298"/>
      <c r="E187" s="298"/>
      <c r="F187" s="298"/>
      <c r="G187" s="298"/>
      <c r="H187" s="298"/>
      <c r="I187" s="53">
        <f>I185+I186</f>
        <v>11050.31</v>
      </c>
    </row>
    <row r="188" spans="1:13" ht="31.5" customHeight="1">
      <c r="A188" s="299" t="s">
        <v>111</v>
      </c>
      <c r="B188" s="299"/>
      <c r="C188" s="299"/>
      <c r="D188" s="299"/>
      <c r="E188" s="299"/>
      <c r="F188" s="299"/>
      <c r="G188" s="299"/>
      <c r="H188" s="299"/>
      <c r="I188" s="299"/>
      <c r="J188" s="83"/>
      <c r="K188" s="84"/>
      <c r="L188" s="85"/>
      <c r="M188" s="86"/>
    </row>
    <row r="189" spans="1:9" ht="8.25" customHeight="1">
      <c r="A189" s="300"/>
      <c r="B189" s="300"/>
      <c r="C189" s="300"/>
      <c r="D189" s="300"/>
      <c r="E189" s="300"/>
      <c r="F189" s="300"/>
      <c r="G189" s="300"/>
      <c r="H189" s="300"/>
      <c r="I189" s="300"/>
    </row>
    <row r="190" spans="1:256" ht="33" customHeight="1">
      <c r="A190" s="301" t="s">
        <v>112</v>
      </c>
      <c r="B190" s="301"/>
      <c r="C190" s="301"/>
      <c r="D190" s="301"/>
      <c r="E190" s="301"/>
      <c r="F190" s="301"/>
      <c r="G190" s="301"/>
      <c r="H190" s="301"/>
      <c r="I190" s="301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42.75" customHeight="1">
      <c r="A191" s="193" t="s">
        <v>113</v>
      </c>
      <c r="B191" s="193"/>
      <c r="C191" s="193"/>
      <c r="D191" s="193"/>
      <c r="E191" s="193" t="s">
        <v>114</v>
      </c>
      <c r="F191" s="193"/>
      <c r="G191" s="5" t="s">
        <v>115</v>
      </c>
      <c r="H191" s="193" t="s">
        <v>116</v>
      </c>
      <c r="I191" s="193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33" customHeight="1">
      <c r="A192" s="222" t="s">
        <v>117</v>
      </c>
      <c r="B192" s="222"/>
      <c r="C192" s="222"/>
      <c r="D192" s="222"/>
      <c r="E192" s="302">
        <v>0</v>
      </c>
      <c r="F192" s="302"/>
      <c r="G192" s="87">
        <f>D192*E192</f>
        <v>0</v>
      </c>
      <c r="H192" s="302">
        <f aca="true" t="shared" si="0" ref="H192:H197">E192*G192</f>
        <v>0</v>
      </c>
      <c r="I192" s="30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38.25" customHeight="1">
      <c r="A193" s="222" t="s">
        <v>118</v>
      </c>
      <c r="B193" s="222"/>
      <c r="C193" s="222"/>
      <c r="D193" s="222"/>
      <c r="E193" s="302">
        <v>0</v>
      </c>
      <c r="F193" s="302"/>
      <c r="G193" s="87">
        <f>D193*E193</f>
        <v>0</v>
      </c>
      <c r="H193" s="302">
        <f t="shared" si="0"/>
        <v>0</v>
      </c>
      <c r="I193" s="30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9.75" customHeight="1">
      <c r="A194" s="303" t="s">
        <v>119</v>
      </c>
      <c r="B194" s="303"/>
      <c r="C194" s="303"/>
      <c r="D194" s="303"/>
      <c r="E194" s="304">
        <f>I187</f>
        <v>11050.31</v>
      </c>
      <c r="F194" s="304"/>
      <c r="G194" s="88">
        <f>H17</f>
        <v>3</v>
      </c>
      <c r="H194" s="305">
        <f t="shared" si="0"/>
        <v>33150.93</v>
      </c>
      <c r="I194" s="305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9" customHeight="1">
      <c r="A195" s="222" t="s">
        <v>120</v>
      </c>
      <c r="B195" s="222"/>
      <c r="C195" s="222"/>
      <c r="D195" s="222"/>
      <c r="E195" s="306">
        <v>0</v>
      </c>
      <c r="F195" s="306"/>
      <c r="G195" s="87">
        <f>D195*F195</f>
        <v>0</v>
      </c>
      <c r="H195" s="302">
        <f t="shared" si="0"/>
        <v>0</v>
      </c>
      <c r="I195" s="302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40.5" customHeight="1">
      <c r="A196" s="222" t="s">
        <v>121</v>
      </c>
      <c r="B196" s="222"/>
      <c r="C196" s="222"/>
      <c r="D196" s="222"/>
      <c r="E196" s="306">
        <v>0</v>
      </c>
      <c r="F196" s="306"/>
      <c r="G196" s="87">
        <f>D196*F196</f>
        <v>0</v>
      </c>
      <c r="H196" s="302">
        <f t="shared" si="0"/>
        <v>0</v>
      </c>
      <c r="I196" s="30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35.25" customHeight="1">
      <c r="A197" s="307" t="s">
        <v>122</v>
      </c>
      <c r="B197" s="307"/>
      <c r="C197" s="307"/>
      <c r="D197" s="307"/>
      <c r="E197" s="302">
        <v>0</v>
      </c>
      <c r="F197" s="302"/>
      <c r="G197" s="87">
        <f>D197*F197</f>
        <v>0</v>
      </c>
      <c r="H197" s="302">
        <f t="shared" si="0"/>
        <v>0</v>
      </c>
      <c r="I197" s="30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7.25" customHeight="1">
      <c r="A198" s="308" t="s">
        <v>123</v>
      </c>
      <c r="B198" s="308"/>
      <c r="C198" s="308"/>
      <c r="D198" s="308"/>
      <c r="E198" s="308"/>
      <c r="F198" s="308"/>
      <c r="G198" s="89">
        <f>SUM(G192:G197)</f>
        <v>3</v>
      </c>
      <c r="H198" s="309">
        <f>SUM(H192:I197)</f>
        <v>33150.93</v>
      </c>
      <c r="I198" s="309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9" ht="6.75" customHeight="1">
      <c r="A199" s="310"/>
      <c r="B199" s="310"/>
      <c r="C199" s="310"/>
      <c r="D199" s="310"/>
      <c r="E199" s="310"/>
      <c r="F199" s="310"/>
      <c r="G199" s="310"/>
      <c r="H199" s="310"/>
      <c r="I199" s="310"/>
    </row>
    <row r="200" spans="1:9" ht="18.75" customHeight="1">
      <c r="A200" s="311" t="s">
        <v>124</v>
      </c>
      <c r="B200" s="311"/>
      <c r="C200" s="311"/>
      <c r="D200" s="311"/>
      <c r="E200" s="311"/>
      <c r="F200" s="311"/>
      <c r="G200" s="311"/>
      <c r="H200" s="311"/>
      <c r="I200" s="311"/>
    </row>
    <row r="201" spans="1:9" ht="8.25" customHeight="1">
      <c r="A201" s="312"/>
      <c r="B201" s="312"/>
      <c r="C201" s="312"/>
      <c r="D201" s="312"/>
      <c r="E201" s="312"/>
      <c r="F201" s="312"/>
      <c r="G201" s="312"/>
      <c r="H201" s="312"/>
      <c r="I201" s="312"/>
    </row>
    <row r="202" spans="1:9" ht="19.5" customHeight="1">
      <c r="A202" s="313" t="s">
        <v>125</v>
      </c>
      <c r="B202" s="313"/>
      <c r="C202" s="313"/>
      <c r="D202" s="313"/>
      <c r="E202" s="313"/>
      <c r="F202" s="313"/>
      <c r="G202" s="314">
        <f>$H$198</f>
        <v>33150.93</v>
      </c>
      <c r="H202" s="314"/>
      <c r="I202" s="314"/>
    </row>
    <row r="203" spans="1:9" ht="8.25" customHeight="1">
      <c r="A203" s="315"/>
      <c r="B203" s="315"/>
      <c r="C203" s="315"/>
      <c r="D203" s="315"/>
      <c r="E203" s="315"/>
      <c r="F203" s="315"/>
      <c r="G203" s="315"/>
      <c r="H203" s="315"/>
      <c r="I203" s="315"/>
    </row>
    <row r="204" spans="1:9" ht="31.5" customHeight="1">
      <c r="A204" s="316" t="s">
        <v>126</v>
      </c>
      <c r="B204" s="316"/>
      <c r="C204" s="316"/>
      <c r="D204" s="316"/>
      <c r="E204" s="316"/>
      <c r="F204" s="316"/>
      <c r="G204" s="317">
        <f>$H$11</f>
        <v>12</v>
      </c>
      <c r="H204" s="317"/>
      <c r="I204" s="317"/>
    </row>
    <row r="205" spans="1:9" ht="8.25" customHeight="1">
      <c r="A205" s="318"/>
      <c r="B205" s="318"/>
      <c r="C205" s="318"/>
      <c r="D205" s="318"/>
      <c r="E205" s="318"/>
      <c r="F205" s="318"/>
      <c r="G205" s="318"/>
      <c r="H205" s="318"/>
      <c r="I205" s="318"/>
    </row>
    <row r="206" spans="1:9" ht="29.25" customHeight="1">
      <c r="A206" s="319" t="s">
        <v>127</v>
      </c>
      <c r="B206" s="319"/>
      <c r="C206" s="319"/>
      <c r="D206" s="319"/>
      <c r="E206" s="319"/>
      <c r="F206" s="319"/>
      <c r="G206" s="320">
        <f>ROUND(G202*G204,2)</f>
        <v>397811.16</v>
      </c>
      <c r="H206" s="320"/>
      <c r="I206" s="320"/>
    </row>
    <row r="207" spans="1:9" ht="8.25" customHeight="1">
      <c r="A207" s="321"/>
      <c r="B207" s="321"/>
      <c r="C207" s="321"/>
      <c r="D207" s="321"/>
      <c r="E207" s="321"/>
      <c r="F207" s="321"/>
      <c r="G207" s="321"/>
      <c r="H207" s="321"/>
      <c r="I207" s="321"/>
    </row>
    <row r="208" spans="1:9" ht="27" customHeight="1">
      <c r="A208" s="322" t="s">
        <v>128</v>
      </c>
      <c r="B208" s="322"/>
      <c r="C208" s="322"/>
      <c r="D208" s="322"/>
      <c r="E208" s="322"/>
      <c r="F208" s="322"/>
      <c r="G208" s="322"/>
      <c r="H208" s="322"/>
      <c r="I208" s="322"/>
    </row>
    <row r="209" spans="1:9" ht="12" customHeight="1">
      <c r="A209" s="323" t="s">
        <v>129</v>
      </c>
      <c r="B209" s="323"/>
      <c r="C209" s="323"/>
      <c r="D209" s="195" t="s">
        <v>130</v>
      </c>
      <c r="E209" s="195"/>
      <c r="F209" s="195"/>
      <c r="G209" s="195"/>
      <c r="H209" s="195"/>
      <c r="I209" s="195"/>
    </row>
    <row r="210" spans="1:9" ht="12.75" customHeight="1">
      <c r="A210" s="323"/>
      <c r="B210" s="323"/>
      <c r="C210" s="323"/>
      <c r="D210" s="195"/>
      <c r="E210" s="195"/>
      <c r="F210" s="195"/>
      <c r="G210" s="195"/>
      <c r="H210" s="195"/>
      <c r="I210" s="195"/>
    </row>
    <row r="211" spans="1:9" ht="12.75" customHeight="1">
      <c r="A211" s="324" t="s">
        <v>131</v>
      </c>
      <c r="B211" s="324"/>
      <c r="C211" s="324"/>
      <c r="D211" s="325"/>
      <c r="E211" s="325"/>
      <c r="F211" s="325"/>
      <c r="G211" s="325"/>
      <c r="H211" s="325"/>
      <c r="I211" s="325"/>
    </row>
    <row r="212" spans="1:9" ht="15" customHeight="1">
      <c r="A212" s="324"/>
      <c r="B212" s="324"/>
      <c r="C212" s="324"/>
      <c r="D212" s="325"/>
      <c r="E212" s="325"/>
      <c r="F212" s="325"/>
      <c r="G212" s="325"/>
      <c r="H212" s="325"/>
      <c r="I212" s="325"/>
    </row>
    <row r="213" spans="1:9" ht="12.75" customHeight="1" hidden="1">
      <c r="A213" s="326"/>
      <c r="B213" s="326"/>
      <c r="C213" s="326"/>
      <c r="D213" s="325"/>
      <c r="E213" s="325"/>
      <c r="F213" s="325"/>
      <c r="G213" s="325"/>
      <c r="H213" s="325"/>
      <c r="I213" s="325"/>
    </row>
    <row r="214" spans="1:9" ht="6" customHeight="1">
      <c r="A214" s="327"/>
      <c r="B214" s="327"/>
      <c r="C214" s="327"/>
      <c r="D214" s="327"/>
      <c r="E214" s="327"/>
      <c r="F214" s="327"/>
      <c r="G214" s="327"/>
      <c r="H214" s="327"/>
      <c r="I214" s="327"/>
    </row>
    <row r="215" spans="1:9" ht="12.75" customHeight="1" hidden="1">
      <c r="A215" s="327"/>
      <c r="B215" s="327"/>
      <c r="C215" s="327"/>
      <c r="D215" s="327"/>
      <c r="E215" s="327"/>
      <c r="F215" s="327"/>
      <c r="G215" s="327"/>
      <c r="H215" s="327"/>
      <c r="I215" s="327"/>
    </row>
    <row r="216" spans="1:9" ht="15" customHeight="1">
      <c r="A216" s="328" t="s">
        <v>132</v>
      </c>
      <c r="B216" s="328"/>
      <c r="C216" s="328"/>
      <c r="D216" s="328"/>
      <c r="E216" s="328"/>
      <c r="F216" s="328"/>
      <c r="G216" s="328"/>
      <c r="H216" s="328"/>
      <c r="I216" s="328"/>
    </row>
    <row r="217" spans="1:9" ht="12.75" customHeight="1">
      <c r="A217" s="195" t="s">
        <v>133</v>
      </c>
      <c r="B217" s="195"/>
      <c r="C217" s="195"/>
      <c r="D217" s="195"/>
      <c r="E217" s="195"/>
      <c r="F217" s="195"/>
      <c r="G217" s="195"/>
      <c r="H217" s="195" t="s">
        <v>134</v>
      </c>
      <c r="I217" s="195"/>
    </row>
    <row r="218" spans="1:9" ht="12.75" customHeight="1">
      <c r="A218" s="329"/>
      <c r="B218" s="329"/>
      <c r="C218" s="329"/>
      <c r="D218" s="329"/>
      <c r="E218" s="329"/>
      <c r="F218" s="329"/>
      <c r="G218" s="329"/>
      <c r="H218" s="195"/>
      <c r="I218" s="195"/>
    </row>
    <row r="219" spans="1:9" ht="12.75" customHeight="1">
      <c r="A219" s="324"/>
      <c r="B219" s="324"/>
      <c r="C219" s="324"/>
      <c r="D219" s="324"/>
      <c r="E219" s="324"/>
      <c r="F219" s="324"/>
      <c r="G219" s="324"/>
      <c r="H219" s="195"/>
      <c r="I219" s="195"/>
    </row>
    <row r="220" spans="1:9" ht="12.75" customHeight="1">
      <c r="A220" s="326"/>
      <c r="B220" s="326"/>
      <c r="C220" s="326"/>
      <c r="D220" s="326"/>
      <c r="E220" s="326"/>
      <c r="F220" s="326"/>
      <c r="G220" s="326"/>
      <c r="H220" s="195"/>
      <c r="I220" s="195"/>
    </row>
    <row r="228" ht="12.75" customHeight="1"/>
  </sheetData>
  <sheetProtection/>
  <mergeCells count="304">
    <mergeCell ref="A2:I2"/>
    <mergeCell ref="A3:I3"/>
    <mergeCell ref="A4:E4"/>
    <mergeCell ref="F4:I4"/>
    <mergeCell ref="B8:G8"/>
    <mergeCell ref="H8:I8"/>
    <mergeCell ref="B9:G9"/>
    <mergeCell ref="H9:I9"/>
    <mergeCell ref="A5:E5"/>
    <mergeCell ref="F5:I5"/>
    <mergeCell ref="A6:I6"/>
    <mergeCell ref="A7:I7"/>
    <mergeCell ref="A12:I12"/>
    <mergeCell ref="A13:E13"/>
    <mergeCell ref="F13:G13"/>
    <mergeCell ref="H13:I13"/>
    <mergeCell ref="B10:G10"/>
    <mergeCell ref="H10:I10"/>
    <mergeCell ref="B11:G11"/>
    <mergeCell ref="H11:I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3:I23"/>
    <mergeCell ref="A24:I24"/>
    <mergeCell ref="A25:I25"/>
    <mergeCell ref="A26:I26"/>
    <mergeCell ref="A20:G20"/>
    <mergeCell ref="H20:I20"/>
    <mergeCell ref="A21:I21"/>
    <mergeCell ref="A22:I22"/>
    <mergeCell ref="AO26:AV26"/>
    <mergeCell ref="AW26:BD26"/>
    <mergeCell ref="BE26:BL26"/>
    <mergeCell ref="BM26:BT26"/>
    <mergeCell ref="J26:P26"/>
    <mergeCell ref="Q26:X26"/>
    <mergeCell ref="Y26:AF26"/>
    <mergeCell ref="AG26:AN26"/>
    <mergeCell ref="FE26:FL26"/>
    <mergeCell ref="DA26:DH26"/>
    <mergeCell ref="DI26:DP26"/>
    <mergeCell ref="DQ26:DX26"/>
    <mergeCell ref="DY26:EF26"/>
    <mergeCell ref="BU26:CB26"/>
    <mergeCell ref="CC26:CJ26"/>
    <mergeCell ref="CK26:CR26"/>
    <mergeCell ref="CS26:CZ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FU26:GB26"/>
    <mergeCell ref="GC26:GJ26"/>
    <mergeCell ref="B28:G28"/>
    <mergeCell ref="H28:I28"/>
    <mergeCell ref="B29:G29"/>
    <mergeCell ref="H29:I29"/>
    <mergeCell ref="HY26:IF26"/>
    <mergeCell ref="IG26:IN26"/>
    <mergeCell ref="GK26:GR26"/>
    <mergeCell ref="EG26:EN26"/>
    <mergeCell ref="EO26:EV26"/>
    <mergeCell ref="EW26:FD26"/>
    <mergeCell ref="B32:G32"/>
    <mergeCell ref="H32:I32"/>
    <mergeCell ref="B33:G33"/>
    <mergeCell ref="H33:I33"/>
    <mergeCell ref="B30:G30"/>
    <mergeCell ref="H30:I30"/>
    <mergeCell ref="B31:G31"/>
    <mergeCell ref="H31:I31"/>
    <mergeCell ref="B36:G36"/>
    <mergeCell ref="H36:I36"/>
    <mergeCell ref="A37:I37"/>
    <mergeCell ref="A38:I38"/>
    <mergeCell ref="B34:G34"/>
    <mergeCell ref="H34:I34"/>
    <mergeCell ref="B35:G35"/>
    <mergeCell ref="H35:I35"/>
    <mergeCell ref="B43:H43"/>
    <mergeCell ref="B44:H44"/>
    <mergeCell ref="B45:H45"/>
    <mergeCell ref="B46:H46"/>
    <mergeCell ref="A39:I39"/>
    <mergeCell ref="A40:I40"/>
    <mergeCell ref="B41:G41"/>
    <mergeCell ref="B42:H42"/>
    <mergeCell ref="B51:H51"/>
    <mergeCell ref="A52:H52"/>
    <mergeCell ref="A53:I53"/>
    <mergeCell ref="A54:H54"/>
    <mergeCell ref="B47:G47"/>
    <mergeCell ref="B48:H48"/>
    <mergeCell ref="A49:H49"/>
    <mergeCell ref="A50:I50"/>
    <mergeCell ref="A59:I59"/>
    <mergeCell ref="B60:H60"/>
    <mergeCell ref="B61:H61"/>
    <mergeCell ref="B62:H62"/>
    <mergeCell ref="A55:I55"/>
    <mergeCell ref="A56:I56"/>
    <mergeCell ref="A57:I57"/>
    <mergeCell ref="A58:I58"/>
    <mergeCell ref="A67:I67"/>
    <mergeCell ref="B68:G68"/>
    <mergeCell ref="B69:G69"/>
    <mergeCell ref="B70:G70"/>
    <mergeCell ref="A63:H63"/>
    <mergeCell ref="A64:I64"/>
    <mergeCell ref="A65:I65"/>
    <mergeCell ref="A66:I66"/>
    <mergeCell ref="B75:G75"/>
    <mergeCell ref="B76:G76"/>
    <mergeCell ref="A77:G77"/>
    <mergeCell ref="A79:I79"/>
    <mergeCell ref="B71:C71"/>
    <mergeCell ref="B72:G72"/>
    <mergeCell ref="B73:G73"/>
    <mergeCell ref="B74:G74"/>
    <mergeCell ref="B84:G84"/>
    <mergeCell ref="B85:G85"/>
    <mergeCell ref="B86:G86"/>
    <mergeCell ref="B87:G87"/>
    <mergeCell ref="A80:I80"/>
    <mergeCell ref="A81:I81"/>
    <mergeCell ref="B82:H82"/>
    <mergeCell ref="B83:H83"/>
    <mergeCell ref="B92:H92"/>
    <mergeCell ref="B93:H93"/>
    <mergeCell ref="B94:H94"/>
    <mergeCell ref="B95:H95"/>
    <mergeCell ref="B88:H88"/>
    <mergeCell ref="B89:G89"/>
    <mergeCell ref="B90:G90"/>
    <mergeCell ref="B91:G91"/>
    <mergeCell ref="A100:I100"/>
    <mergeCell ref="B101:H101"/>
    <mergeCell ref="B102:H102"/>
    <mergeCell ref="B103:H103"/>
    <mergeCell ref="B96:H96"/>
    <mergeCell ref="A97:I97"/>
    <mergeCell ref="A98:I98"/>
    <mergeCell ref="A99:I99"/>
    <mergeCell ref="B108:H108"/>
    <mergeCell ref="B109:H109"/>
    <mergeCell ref="B110:H110"/>
    <mergeCell ref="B111:H111"/>
    <mergeCell ref="B104:H104"/>
    <mergeCell ref="A105:H105"/>
    <mergeCell ref="A106:I106"/>
    <mergeCell ref="A107:I107"/>
    <mergeCell ref="A116:I116"/>
    <mergeCell ref="A117:I117"/>
    <mergeCell ref="A118:I118"/>
    <mergeCell ref="A119:I119"/>
    <mergeCell ref="B112:H112"/>
    <mergeCell ref="B113:H113"/>
    <mergeCell ref="B114:H114"/>
    <mergeCell ref="A115:H115"/>
    <mergeCell ref="B124:H124"/>
    <mergeCell ref="B125:H125"/>
    <mergeCell ref="B126:H126"/>
    <mergeCell ref="B127:H127"/>
    <mergeCell ref="A120:I120"/>
    <mergeCell ref="A122:I122"/>
    <mergeCell ref="A123:E123"/>
    <mergeCell ref="F123:G123"/>
    <mergeCell ref="A132:I132"/>
    <mergeCell ref="A133:I133"/>
    <mergeCell ref="B134:H134"/>
    <mergeCell ref="B135:H135"/>
    <mergeCell ref="B128:H128"/>
    <mergeCell ref="B129:H129"/>
    <mergeCell ref="B130:H130"/>
    <mergeCell ref="A131:H131"/>
    <mergeCell ref="B140:H140"/>
    <mergeCell ref="B141:H141"/>
    <mergeCell ref="A142:H142"/>
    <mergeCell ref="A143:I143"/>
    <mergeCell ref="A136:H136"/>
    <mergeCell ref="A137:I137"/>
    <mergeCell ref="A138:I138"/>
    <mergeCell ref="B139:H139"/>
    <mergeCell ref="B148:H148"/>
    <mergeCell ref="A149:H149"/>
    <mergeCell ref="A150:I150"/>
    <mergeCell ref="A151:I151"/>
    <mergeCell ref="A144:I144"/>
    <mergeCell ref="B145:H145"/>
    <mergeCell ref="B146:H146"/>
    <mergeCell ref="B147:H147"/>
    <mergeCell ref="A157:G157"/>
    <mergeCell ref="B158:G158"/>
    <mergeCell ref="A159:G159"/>
    <mergeCell ref="B160:G160"/>
    <mergeCell ref="A153:I153"/>
    <mergeCell ref="B154:G154"/>
    <mergeCell ref="A155:G155"/>
    <mergeCell ref="B156:G156"/>
    <mergeCell ref="B165:G165"/>
    <mergeCell ref="B166:G166"/>
    <mergeCell ref="B167:G167"/>
    <mergeCell ref="B168:G168"/>
    <mergeCell ref="B161:G161"/>
    <mergeCell ref="B162:G162"/>
    <mergeCell ref="B163:G163"/>
    <mergeCell ref="B164:G164"/>
    <mergeCell ref="A169:H169"/>
    <mergeCell ref="A170:I170"/>
    <mergeCell ref="A171:G171"/>
    <mergeCell ref="A172:B174"/>
    <mergeCell ref="C172:I172"/>
    <mergeCell ref="C173:I173"/>
    <mergeCell ref="C174:I174"/>
    <mergeCell ref="A179:H179"/>
    <mergeCell ref="B180:H180"/>
    <mergeCell ref="B181:H181"/>
    <mergeCell ref="B182:H182"/>
    <mergeCell ref="A175:I175"/>
    <mergeCell ref="A176:I176"/>
    <mergeCell ref="A177:I177"/>
    <mergeCell ref="A178:I178"/>
    <mergeCell ref="A187:H187"/>
    <mergeCell ref="A188:I188"/>
    <mergeCell ref="A189:I189"/>
    <mergeCell ref="A190:I190"/>
    <mergeCell ref="B183:H183"/>
    <mergeCell ref="B184:H184"/>
    <mergeCell ref="A185:H185"/>
    <mergeCell ref="B186:H186"/>
    <mergeCell ref="A191:D191"/>
    <mergeCell ref="E191:F191"/>
    <mergeCell ref="H191:I191"/>
    <mergeCell ref="A192:D192"/>
    <mergeCell ref="E192:F192"/>
    <mergeCell ref="H192:I192"/>
    <mergeCell ref="H196:I196"/>
    <mergeCell ref="A193:D193"/>
    <mergeCell ref="E193:F193"/>
    <mergeCell ref="H193:I193"/>
    <mergeCell ref="A194:D194"/>
    <mergeCell ref="E194:F194"/>
    <mergeCell ref="H194:I194"/>
    <mergeCell ref="A197:D197"/>
    <mergeCell ref="E197:F197"/>
    <mergeCell ref="H197:I197"/>
    <mergeCell ref="A198:F198"/>
    <mergeCell ref="H198:I198"/>
    <mergeCell ref="A195:D195"/>
    <mergeCell ref="E195:F195"/>
    <mergeCell ref="H195:I195"/>
    <mergeCell ref="A196:D196"/>
    <mergeCell ref="E196:F196"/>
    <mergeCell ref="A203:I203"/>
    <mergeCell ref="A204:F204"/>
    <mergeCell ref="G204:I204"/>
    <mergeCell ref="A205:I205"/>
    <mergeCell ref="A199:I199"/>
    <mergeCell ref="A200:I200"/>
    <mergeCell ref="A201:I201"/>
    <mergeCell ref="A202:F202"/>
    <mergeCell ref="G202:I202"/>
    <mergeCell ref="A209:C210"/>
    <mergeCell ref="D209:I210"/>
    <mergeCell ref="A211:C211"/>
    <mergeCell ref="D211:I211"/>
    <mergeCell ref="A206:F206"/>
    <mergeCell ref="G206:I206"/>
    <mergeCell ref="A207:I207"/>
    <mergeCell ref="A208:I208"/>
    <mergeCell ref="A214:I215"/>
    <mergeCell ref="A216:I216"/>
    <mergeCell ref="A217:G217"/>
    <mergeCell ref="H217:I217"/>
    <mergeCell ref="A212:C212"/>
    <mergeCell ref="D212:I212"/>
    <mergeCell ref="A213:C213"/>
    <mergeCell ref="D213:I213"/>
    <mergeCell ref="A220:G220"/>
    <mergeCell ref="H220:I220"/>
    <mergeCell ref="A218:G218"/>
    <mergeCell ref="H218:I218"/>
    <mergeCell ref="A219:G219"/>
    <mergeCell ref="H219:I219"/>
  </mergeCells>
  <printOptions/>
  <pageMargins left="0.787401575" right="0.787401575" top="0.984251969" bottom="0.984251969" header="0.492125985" footer="0.492125985"/>
  <pageSetup horizontalDpi="600" verticalDpi="600" orientation="portrait" paperSize="9" scale="67" r:id="rId1"/>
  <rowBreaks count="3" manualBreakCount="3">
    <brk id="49" max="8" man="1"/>
    <brk id="98" max="8" man="1"/>
    <brk id="151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222"/>
  <sheetViews>
    <sheetView view="pageBreakPreview" zoomScale="130" zoomScaleNormal="130" zoomScaleSheetLayoutView="130" zoomScalePageLayoutView="0" workbookViewId="0" topLeftCell="A139">
      <selection activeCell="K148" sqref="K148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1.2812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18.75" customHeight="1">
      <c r="A2" s="185" t="s">
        <v>255</v>
      </c>
      <c r="B2" s="185"/>
      <c r="C2" s="185"/>
      <c r="D2" s="185"/>
      <c r="E2" s="185"/>
      <c r="F2" s="185"/>
      <c r="G2" s="185"/>
      <c r="H2" s="185"/>
      <c r="I2" s="185"/>
    </row>
    <row r="3" spans="1:9" ht="64.5" customHeight="1">
      <c r="A3" s="186" t="s">
        <v>256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288</v>
      </c>
      <c r="B4" s="187"/>
      <c r="C4" s="187"/>
      <c r="D4" s="187"/>
      <c r="E4" s="187"/>
      <c r="F4" s="188" t="s">
        <v>146</v>
      </c>
      <c r="G4" s="188"/>
      <c r="H4" s="188"/>
      <c r="I4" s="188"/>
    </row>
    <row r="5" spans="1:9" ht="15.75" customHeight="1">
      <c r="A5" s="187" t="s">
        <v>290</v>
      </c>
      <c r="B5" s="187"/>
      <c r="C5" s="187"/>
      <c r="D5" s="187"/>
      <c r="E5" s="187"/>
      <c r="F5" s="188" t="s">
        <v>147</v>
      </c>
      <c r="G5" s="188"/>
      <c r="H5" s="188"/>
      <c r="I5" s="188"/>
    </row>
    <row r="6" spans="1:9" ht="14.25" customHeight="1">
      <c r="A6" s="187" t="s">
        <v>145</v>
      </c>
      <c r="B6" s="187"/>
      <c r="C6" s="187"/>
      <c r="D6" s="187"/>
      <c r="E6" s="187"/>
      <c r="F6" s="187"/>
      <c r="G6" s="187"/>
      <c r="H6" s="187"/>
      <c r="I6" s="187"/>
    </row>
    <row r="7" spans="1:9" ht="20.25" customHeight="1">
      <c r="A7" s="189" t="s">
        <v>291</v>
      </c>
      <c r="B7" s="189"/>
      <c r="C7" s="189"/>
      <c r="D7" s="189"/>
      <c r="E7" s="189"/>
      <c r="F7" s="189"/>
      <c r="G7" s="189"/>
      <c r="H7" s="189"/>
      <c r="I7" s="189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>
        <v>43830</v>
      </c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296</v>
      </c>
      <c r="I9" s="188"/>
    </row>
    <row r="10" spans="1:9" ht="19.5" customHeight="1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11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  <c r="K11" s="4"/>
    </row>
    <row r="12" spans="1:9" ht="21" customHeight="1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2.75" customHeight="1">
      <c r="A14" s="187" t="s">
        <v>306</v>
      </c>
      <c r="B14" s="187"/>
      <c r="C14" s="187"/>
      <c r="D14" s="187"/>
      <c r="E14" s="187"/>
      <c r="F14" s="195" t="s">
        <v>307</v>
      </c>
      <c r="G14" s="195"/>
      <c r="H14" s="196" t="s">
        <v>308</v>
      </c>
      <c r="I14" s="196"/>
    </row>
    <row r="15" spans="1:9" ht="12.75" customHeight="1">
      <c r="A15" s="187" t="s">
        <v>309</v>
      </c>
      <c r="B15" s="187"/>
      <c r="C15" s="187"/>
      <c r="D15" s="187"/>
      <c r="E15" s="187"/>
      <c r="F15" s="195" t="s">
        <v>307</v>
      </c>
      <c r="G15" s="195"/>
      <c r="H15" s="196" t="s">
        <v>308</v>
      </c>
      <c r="I15" s="196"/>
    </row>
    <row r="16" spans="1:9" ht="12.75" customHeight="1">
      <c r="A16" s="187" t="s">
        <v>310</v>
      </c>
      <c r="B16" s="187"/>
      <c r="C16" s="187"/>
      <c r="D16" s="187"/>
      <c r="E16" s="187"/>
      <c r="F16" s="195" t="s">
        <v>307</v>
      </c>
      <c r="G16" s="195"/>
      <c r="H16" s="196" t="s">
        <v>308</v>
      </c>
      <c r="I16" s="196"/>
    </row>
    <row r="17" spans="1:9" ht="12.75" customHeight="1">
      <c r="A17" s="197" t="s">
        <v>311</v>
      </c>
      <c r="B17" s="197"/>
      <c r="C17" s="197"/>
      <c r="D17" s="197"/>
      <c r="E17" s="197"/>
      <c r="F17" s="193" t="s">
        <v>307</v>
      </c>
      <c r="G17" s="193"/>
      <c r="H17" s="198">
        <v>3</v>
      </c>
      <c r="I17" s="198"/>
    </row>
    <row r="18" spans="1:9" ht="12.75" customHeight="1">
      <c r="A18" s="187" t="s">
        <v>312</v>
      </c>
      <c r="B18" s="187"/>
      <c r="C18" s="187"/>
      <c r="D18" s="187"/>
      <c r="E18" s="187"/>
      <c r="F18" s="195" t="s">
        <v>307</v>
      </c>
      <c r="G18" s="195"/>
      <c r="H18" s="196" t="s">
        <v>308</v>
      </c>
      <c r="I18" s="196"/>
    </row>
    <row r="19" spans="1:9" ht="12.75" customHeight="1">
      <c r="A19" s="187" t="s">
        <v>313</v>
      </c>
      <c r="B19" s="187"/>
      <c r="C19" s="187"/>
      <c r="D19" s="187"/>
      <c r="E19" s="187"/>
      <c r="F19" s="195" t="s">
        <v>307</v>
      </c>
      <c r="G19" s="195"/>
      <c r="H19" s="196" t="s">
        <v>308</v>
      </c>
      <c r="I19" s="196"/>
    </row>
    <row r="20" spans="1:9" ht="12.75" customHeight="1">
      <c r="A20" s="199" t="s">
        <v>314</v>
      </c>
      <c r="B20" s="199"/>
      <c r="C20" s="199"/>
      <c r="D20" s="199"/>
      <c r="E20" s="199"/>
      <c r="F20" s="199"/>
      <c r="G20" s="199"/>
      <c r="H20" s="200">
        <f>SUM(H14:H19)</f>
        <v>3</v>
      </c>
      <c r="I20" s="200"/>
    </row>
    <row r="21" spans="1:9" ht="8.25" customHeight="1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12" ht="47.25" customHeight="1">
      <c r="A22" s="202" t="s">
        <v>315</v>
      </c>
      <c r="B22" s="202"/>
      <c r="C22" s="202"/>
      <c r="D22" s="202"/>
      <c r="E22" s="202"/>
      <c r="F22" s="202"/>
      <c r="G22" s="202"/>
      <c r="H22" s="202"/>
      <c r="I22" s="202"/>
      <c r="J22" s="6"/>
      <c r="K22" s="7"/>
      <c r="L22" s="8"/>
    </row>
    <row r="23" spans="1:12" ht="7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L23" s="8"/>
    </row>
    <row r="24" spans="1:12" ht="51.75" customHeight="1">
      <c r="A24" s="204" t="s">
        <v>316</v>
      </c>
      <c r="B24" s="204"/>
      <c r="C24" s="204"/>
      <c r="D24" s="204"/>
      <c r="E24" s="204"/>
      <c r="F24" s="204"/>
      <c r="G24" s="204"/>
      <c r="H24" s="204"/>
      <c r="I24" s="204"/>
      <c r="J24" s="6"/>
      <c r="K24" s="7"/>
      <c r="L24" s="8"/>
    </row>
    <row r="25" spans="1:12" ht="9.7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6"/>
      <c r="K25" s="7"/>
      <c r="L25" s="8"/>
    </row>
    <row r="26" spans="1:256" s="9" customFormat="1" ht="21.75" customHeight="1">
      <c r="A26" s="189" t="s">
        <v>281</v>
      </c>
      <c r="B26" s="189"/>
      <c r="C26" s="189"/>
      <c r="D26" s="189"/>
      <c r="E26" s="189"/>
      <c r="F26" s="189"/>
      <c r="G26" s="189"/>
      <c r="H26" s="189"/>
      <c r="I26" s="18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9" ht="27" customHeight="1">
      <c r="A27" s="3">
        <v>1</v>
      </c>
      <c r="B27" s="187" t="s">
        <v>317</v>
      </c>
      <c r="C27" s="187"/>
      <c r="D27" s="187"/>
      <c r="E27" s="187"/>
      <c r="F27" s="187"/>
      <c r="G27" s="187"/>
      <c r="H27" s="207" t="s">
        <v>318</v>
      </c>
      <c r="I27" s="207"/>
    </row>
    <row r="28" spans="1:9" ht="19.5" customHeight="1">
      <c r="A28" s="10">
        <v>2</v>
      </c>
      <c r="B28" s="208" t="s">
        <v>319</v>
      </c>
      <c r="C28" s="208"/>
      <c r="D28" s="208"/>
      <c r="E28" s="208"/>
      <c r="F28" s="208"/>
      <c r="G28" s="208"/>
      <c r="H28" s="209" t="s">
        <v>0</v>
      </c>
      <c r="I28" s="209"/>
    </row>
    <row r="29" spans="1:9" ht="15.75" customHeight="1">
      <c r="A29" s="3">
        <v>3</v>
      </c>
      <c r="B29" s="187" t="s">
        <v>1</v>
      </c>
      <c r="C29" s="187"/>
      <c r="D29" s="187"/>
      <c r="E29" s="187"/>
      <c r="F29" s="187"/>
      <c r="G29" s="187"/>
      <c r="H29" s="210">
        <v>1447.6</v>
      </c>
      <c r="I29" s="210"/>
    </row>
    <row r="30" spans="1:9" ht="15.75" customHeight="1">
      <c r="A30" s="3">
        <v>4</v>
      </c>
      <c r="B30" s="187" t="s">
        <v>2</v>
      </c>
      <c r="C30" s="187"/>
      <c r="D30" s="187"/>
      <c r="E30" s="187"/>
      <c r="F30" s="187"/>
      <c r="G30" s="187"/>
      <c r="H30" s="211" t="s">
        <v>3</v>
      </c>
      <c r="I30" s="211"/>
    </row>
    <row r="31" spans="1:9" ht="15.75" customHeight="1">
      <c r="A31" s="3">
        <v>5</v>
      </c>
      <c r="B31" s="187" t="s">
        <v>4</v>
      </c>
      <c r="C31" s="187"/>
      <c r="D31" s="187"/>
      <c r="E31" s="187"/>
      <c r="F31" s="187"/>
      <c r="G31" s="187"/>
      <c r="H31" s="212" t="s">
        <v>148</v>
      </c>
      <c r="I31" s="212"/>
    </row>
    <row r="32" spans="1:9" ht="27" customHeight="1">
      <c r="A32" s="11">
        <v>6</v>
      </c>
      <c r="B32" s="213" t="s">
        <v>165</v>
      </c>
      <c r="C32" s="213"/>
      <c r="D32" s="213"/>
      <c r="E32" s="213"/>
      <c r="F32" s="213"/>
      <c r="G32" s="213"/>
      <c r="H32" s="214">
        <f>ROUND(H29/220,2)</f>
        <v>6.58</v>
      </c>
      <c r="I32" s="214"/>
    </row>
    <row r="33" spans="1:256" ht="27" customHeight="1">
      <c r="A33" s="11">
        <v>7</v>
      </c>
      <c r="B33" s="213" t="s">
        <v>166</v>
      </c>
      <c r="C33" s="213"/>
      <c r="D33" s="213"/>
      <c r="E33" s="213"/>
      <c r="F33" s="213"/>
      <c r="G33" s="213"/>
      <c r="H33" s="214">
        <f>SUM(H32+H37)</f>
        <v>8.55</v>
      </c>
      <c r="I33" s="21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7" customHeight="1">
      <c r="A34" s="11">
        <v>8</v>
      </c>
      <c r="B34" s="213" t="s">
        <v>170</v>
      </c>
      <c r="C34" s="213"/>
      <c r="D34" s="213"/>
      <c r="E34" s="213"/>
      <c r="F34" s="213"/>
      <c r="G34" s="213"/>
      <c r="H34" s="214">
        <f>ROUND(H32*1.5,2)</f>
        <v>9.87</v>
      </c>
      <c r="I34" s="21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 s="11">
        <v>9</v>
      </c>
      <c r="B35" s="213" t="s">
        <v>171</v>
      </c>
      <c r="C35" s="213"/>
      <c r="D35" s="213"/>
      <c r="E35" s="213"/>
      <c r="F35" s="213"/>
      <c r="G35" s="213"/>
      <c r="H35" s="215">
        <f>ROUND(1.3*H32*1.5,2)</f>
        <v>12.83</v>
      </c>
      <c r="I35" s="215"/>
      <c r="J35"/>
      <c r="K35">
        <f>H33+H33*0.5</f>
        <v>12.825000000000001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11">
        <v>10</v>
      </c>
      <c r="B36" s="213" t="s">
        <v>172</v>
      </c>
      <c r="C36" s="213"/>
      <c r="D36" s="213"/>
      <c r="E36" s="213"/>
      <c r="F36" s="213"/>
      <c r="G36" s="213"/>
      <c r="H36" s="214">
        <f>ROUND(1.3*H32*0.2,2)</f>
        <v>1.71</v>
      </c>
      <c r="I36" s="21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" customHeight="1">
      <c r="A37" s="105">
        <v>11</v>
      </c>
      <c r="B37" s="337" t="s">
        <v>173</v>
      </c>
      <c r="C37" s="337"/>
      <c r="D37" s="337"/>
      <c r="E37" s="337"/>
      <c r="F37" s="337"/>
      <c r="G37" s="337"/>
      <c r="H37" s="214">
        <f>ROUND(H32*0.3,2)</f>
        <v>1.97</v>
      </c>
      <c r="I37" s="21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11">
        <v>12</v>
      </c>
      <c r="B38" s="213" t="s">
        <v>174</v>
      </c>
      <c r="C38" s="213"/>
      <c r="D38" s="213"/>
      <c r="E38" s="213"/>
      <c r="F38" s="213"/>
      <c r="G38" s="213"/>
      <c r="H38" s="214">
        <f>H29*0.3</f>
        <v>434.28000000000003</v>
      </c>
      <c r="I38" s="21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 s="11">
        <v>13</v>
      </c>
      <c r="B39" s="213" t="s">
        <v>175</v>
      </c>
      <c r="C39" s="213"/>
      <c r="D39" s="213"/>
      <c r="E39" s="213"/>
      <c r="F39" s="213"/>
      <c r="G39" s="213"/>
      <c r="H39" s="214">
        <f>ROUND(H32/6,2)*1.3</f>
        <v>1.4300000000000002</v>
      </c>
      <c r="I39" s="21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customHeight="1">
      <c r="A40" s="11">
        <v>14</v>
      </c>
      <c r="B40" s="216" t="s">
        <v>8</v>
      </c>
      <c r="C40" s="216"/>
      <c r="D40" s="216"/>
      <c r="E40" s="216"/>
      <c r="F40" s="216"/>
      <c r="G40" s="216"/>
      <c r="H40" s="217">
        <v>2</v>
      </c>
      <c r="I40" s="21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9" ht="9" customHeight="1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21.75" customHeight="1">
      <c r="A42" s="218" t="s">
        <v>9</v>
      </c>
      <c r="B42" s="218"/>
      <c r="C42" s="218"/>
      <c r="D42" s="218"/>
      <c r="E42" s="218"/>
      <c r="F42" s="218"/>
      <c r="G42" s="218"/>
      <c r="H42" s="218"/>
      <c r="I42" s="218"/>
    </row>
    <row r="43" spans="1:9" ht="9" customHeight="1">
      <c r="A43" s="219"/>
      <c r="B43" s="219"/>
      <c r="C43" s="219"/>
      <c r="D43" s="219"/>
      <c r="E43" s="219"/>
      <c r="F43" s="219"/>
      <c r="G43" s="219"/>
      <c r="H43" s="219"/>
      <c r="I43" s="219"/>
    </row>
    <row r="44" spans="1:9" ht="20.25" customHeight="1">
      <c r="A44" s="220" t="s">
        <v>10</v>
      </c>
      <c r="B44" s="220"/>
      <c r="C44" s="220"/>
      <c r="D44" s="220"/>
      <c r="E44" s="220"/>
      <c r="F44" s="220"/>
      <c r="G44" s="220"/>
      <c r="H44" s="220"/>
      <c r="I44" s="220"/>
    </row>
    <row r="45" spans="1:9" s="15" customFormat="1" ht="30" customHeight="1">
      <c r="A45" s="108">
        <v>1</v>
      </c>
      <c r="B45" s="351" t="s">
        <v>11</v>
      </c>
      <c r="C45" s="351"/>
      <c r="D45" s="351"/>
      <c r="E45" s="351"/>
      <c r="F45" s="351"/>
      <c r="G45" s="351"/>
      <c r="H45" s="14" t="s">
        <v>12</v>
      </c>
      <c r="I45" s="12" t="s">
        <v>13</v>
      </c>
    </row>
    <row r="46" spans="1:9" ht="15.75" customHeight="1">
      <c r="A46" s="3" t="s">
        <v>292</v>
      </c>
      <c r="B46" s="187" t="s">
        <v>14</v>
      </c>
      <c r="C46" s="187"/>
      <c r="D46" s="187"/>
      <c r="E46" s="187"/>
      <c r="F46" s="187"/>
      <c r="G46" s="187"/>
      <c r="H46" s="187"/>
      <c r="I46" s="16">
        <f>H29*2</f>
        <v>2895.2</v>
      </c>
    </row>
    <row r="47" spans="1:9" ht="23.25" customHeight="1">
      <c r="A47" s="3" t="s">
        <v>294</v>
      </c>
      <c r="B47" s="222" t="s">
        <v>176</v>
      </c>
      <c r="C47" s="222"/>
      <c r="D47" s="222"/>
      <c r="E47" s="222"/>
      <c r="F47" s="222"/>
      <c r="G47" s="222"/>
      <c r="H47" s="17">
        <v>0.3</v>
      </c>
      <c r="I47" s="16">
        <f>ROUND(I46*H47,2)</f>
        <v>868.56</v>
      </c>
    </row>
    <row r="48" spans="1:9" ht="37.5" customHeight="1">
      <c r="A48" s="3" t="s">
        <v>297</v>
      </c>
      <c r="B48" s="187" t="s">
        <v>202</v>
      </c>
      <c r="C48" s="187"/>
      <c r="D48" s="187"/>
      <c r="E48" s="187"/>
      <c r="F48" s="187"/>
      <c r="G48" s="187"/>
      <c r="H48" s="187"/>
      <c r="I48" s="16">
        <f>ROUND(2*7.42857115*15*H36,2)</f>
        <v>381.09</v>
      </c>
    </row>
    <row r="49" spans="1:9" ht="53.25" customHeight="1">
      <c r="A49" s="3" t="s">
        <v>300</v>
      </c>
      <c r="B49" s="187" t="s">
        <v>151</v>
      </c>
      <c r="C49" s="187"/>
      <c r="D49" s="187"/>
      <c r="E49" s="187"/>
      <c r="F49" s="187"/>
      <c r="G49" s="187"/>
      <c r="H49" s="187"/>
      <c r="I49" s="16">
        <f>ROUND(H35*3.26*2,2)</f>
        <v>83.65</v>
      </c>
    </row>
    <row r="50" spans="1:9" ht="29.25" customHeight="1">
      <c r="A50" s="3" t="s">
        <v>300</v>
      </c>
      <c r="B50" s="187" t="s">
        <v>210</v>
      </c>
      <c r="C50" s="187"/>
      <c r="D50" s="187"/>
      <c r="E50" s="187"/>
      <c r="F50" s="187"/>
      <c r="G50" s="187"/>
      <c r="H50" s="187"/>
      <c r="I50" s="16">
        <f>ROUND(H39*H40*15,2)</f>
        <v>42.9</v>
      </c>
    </row>
    <row r="51" spans="1:9" s="109" customFormat="1" ht="27" customHeight="1">
      <c r="A51" s="3" t="s">
        <v>16</v>
      </c>
      <c r="B51" s="187" t="s">
        <v>282</v>
      </c>
      <c r="C51" s="187"/>
      <c r="D51" s="187"/>
      <c r="E51" s="187"/>
      <c r="F51" s="187"/>
      <c r="G51" s="187"/>
      <c r="H51" s="187"/>
      <c r="I51" s="16">
        <f>ROUND(SUM(I48:I50)*0.2,2)</f>
        <v>101.53</v>
      </c>
    </row>
    <row r="52" spans="1:9" ht="24.75" customHeight="1">
      <c r="A52" s="3" t="s">
        <v>18</v>
      </c>
      <c r="B52" s="187" t="s">
        <v>19</v>
      </c>
      <c r="C52" s="187"/>
      <c r="D52" s="187"/>
      <c r="E52" s="187"/>
      <c r="F52" s="187"/>
      <c r="G52" s="187"/>
      <c r="H52" s="187"/>
      <c r="I52" s="18" t="s">
        <v>308</v>
      </c>
    </row>
    <row r="53" spans="1:9" ht="44.25" customHeight="1">
      <c r="A53" s="348" t="s">
        <v>242</v>
      </c>
      <c r="B53" s="349"/>
      <c r="C53" s="349"/>
      <c r="D53" s="349"/>
      <c r="E53" s="349"/>
      <c r="F53" s="349"/>
      <c r="G53" s="349"/>
      <c r="H53" s="350"/>
      <c r="I53" s="110">
        <f>SUM(I46:I52)</f>
        <v>4372.9299999999985</v>
      </c>
    </row>
    <row r="54" spans="1:9" ht="10.5" customHeight="1">
      <c r="A54" s="235"/>
      <c r="B54" s="235"/>
      <c r="C54" s="235"/>
      <c r="D54" s="235"/>
      <c r="E54" s="235"/>
      <c r="F54" s="235"/>
      <c r="G54" s="235"/>
      <c r="H54" s="235"/>
      <c r="I54" s="235"/>
    </row>
    <row r="55" spans="1:9" ht="18" customHeight="1">
      <c r="A55" s="236" t="s">
        <v>268</v>
      </c>
      <c r="B55" s="236"/>
      <c r="C55" s="236"/>
      <c r="D55" s="236"/>
      <c r="E55" s="236"/>
      <c r="F55" s="236"/>
      <c r="G55" s="236"/>
      <c r="H55" s="236"/>
      <c r="I55" s="236"/>
    </row>
    <row r="56" spans="1:9" ht="8.25" customHeight="1">
      <c r="A56" s="347"/>
      <c r="B56" s="347"/>
      <c r="C56" s="347"/>
      <c r="D56" s="347"/>
      <c r="E56" s="347"/>
      <c r="F56" s="347"/>
      <c r="G56" s="347"/>
      <c r="H56" s="347"/>
      <c r="I56" s="347"/>
    </row>
    <row r="57" spans="1:9" ht="27" customHeight="1">
      <c r="A57" s="237" t="s">
        <v>23</v>
      </c>
      <c r="B57" s="237"/>
      <c r="C57" s="237"/>
      <c r="D57" s="237"/>
      <c r="E57" s="237"/>
      <c r="F57" s="237"/>
      <c r="G57" s="237"/>
      <c r="H57" s="237"/>
      <c r="I57" s="237"/>
    </row>
    <row r="58" spans="1:9" ht="27" customHeight="1">
      <c r="A58" s="238" t="s">
        <v>238</v>
      </c>
      <c r="B58" s="238"/>
      <c r="C58" s="238"/>
      <c r="D58" s="238"/>
      <c r="E58" s="238"/>
      <c r="F58" s="238"/>
      <c r="G58" s="238"/>
      <c r="H58" s="238"/>
      <c r="I58" s="238"/>
    </row>
    <row r="59" spans="1:9" ht="22.5" customHeight="1">
      <c r="A59" s="22" t="s">
        <v>24</v>
      </c>
      <c r="B59" s="239" t="s">
        <v>239</v>
      </c>
      <c r="C59" s="239"/>
      <c r="D59" s="239"/>
      <c r="E59" s="239"/>
      <c r="F59" s="239"/>
      <c r="G59" s="239"/>
      <c r="H59" s="239"/>
      <c r="I59" s="23" t="s">
        <v>25</v>
      </c>
    </row>
    <row r="60" spans="1:9" ht="19.5" customHeight="1">
      <c r="A60" s="24" t="s">
        <v>292</v>
      </c>
      <c r="B60" s="240" t="s">
        <v>26</v>
      </c>
      <c r="C60" s="240"/>
      <c r="D60" s="240"/>
      <c r="E60" s="240"/>
      <c r="F60" s="240"/>
      <c r="G60" s="240"/>
      <c r="H60" s="240"/>
      <c r="I60" s="25">
        <f>ROUND(I53/12,2)</f>
        <v>364.41</v>
      </c>
    </row>
    <row r="61" spans="1:9" ht="18.75" customHeight="1">
      <c r="A61" s="24" t="s">
        <v>294</v>
      </c>
      <c r="B61" s="241" t="s">
        <v>240</v>
      </c>
      <c r="C61" s="242"/>
      <c r="D61" s="242"/>
      <c r="E61" s="242"/>
      <c r="F61" s="242"/>
      <c r="G61" s="242"/>
      <c r="H61" s="242"/>
      <c r="I61" s="25">
        <f>ROUND((I53+I53/3)/12,2)</f>
        <v>485.88</v>
      </c>
    </row>
    <row r="62" spans="1:9" ht="15.75" customHeight="1">
      <c r="A62" s="252" t="s">
        <v>27</v>
      </c>
      <c r="B62" s="252"/>
      <c r="C62" s="252"/>
      <c r="D62" s="252"/>
      <c r="E62" s="252"/>
      <c r="F62" s="252"/>
      <c r="G62" s="252"/>
      <c r="H62" s="252"/>
      <c r="I62" s="39">
        <f>SUM(I60:I61)</f>
        <v>850.29</v>
      </c>
    </row>
    <row r="63" spans="1:9" ht="7.5" customHeight="1">
      <c r="A63" s="346"/>
      <c r="B63" s="346"/>
      <c r="C63" s="346"/>
      <c r="D63" s="346"/>
      <c r="E63" s="346"/>
      <c r="F63" s="346"/>
      <c r="G63" s="346"/>
      <c r="H63" s="346"/>
      <c r="I63" s="346"/>
    </row>
    <row r="64" spans="1:11" ht="87" customHeight="1">
      <c r="A64" s="245" t="s">
        <v>241</v>
      </c>
      <c r="B64" s="246"/>
      <c r="C64" s="246"/>
      <c r="D64" s="246"/>
      <c r="E64" s="246"/>
      <c r="F64" s="246"/>
      <c r="G64" s="246"/>
      <c r="H64" s="246"/>
      <c r="I64" s="247"/>
      <c r="K64" s="1">
        <f>5169.85/3</f>
        <v>1723.2833333333335</v>
      </c>
    </row>
    <row r="65" spans="1:11" ht="18.75" customHeight="1">
      <c r="A65" s="333"/>
      <c r="B65" s="333"/>
      <c r="C65" s="333"/>
      <c r="D65" s="333"/>
      <c r="E65" s="333"/>
      <c r="F65" s="333"/>
      <c r="G65" s="333"/>
      <c r="H65" s="333"/>
      <c r="I65" s="333"/>
      <c r="K65" s="1">
        <f>5169.85/12+5169.85+430.82+143.61</f>
        <v>6175.100833333333</v>
      </c>
    </row>
    <row r="66" spans="1:11" s="27" customFormat="1" ht="32.25" customHeight="1">
      <c r="A66" s="249" t="s">
        <v>211</v>
      </c>
      <c r="B66" s="249"/>
      <c r="C66" s="249"/>
      <c r="D66" s="249"/>
      <c r="E66" s="249"/>
      <c r="F66" s="249"/>
      <c r="G66" s="249"/>
      <c r="H66" s="249"/>
      <c r="I66" s="249"/>
      <c r="K66" s="27">
        <v>430.82</v>
      </c>
    </row>
    <row r="67" spans="1:11" s="27" customFormat="1" ht="27" customHeight="1">
      <c r="A67" s="28" t="s">
        <v>28</v>
      </c>
      <c r="B67" s="250" t="s">
        <v>212</v>
      </c>
      <c r="C67" s="250"/>
      <c r="D67" s="250"/>
      <c r="E67" s="250"/>
      <c r="F67" s="250"/>
      <c r="G67" s="250"/>
      <c r="H67" s="107" t="s">
        <v>12</v>
      </c>
      <c r="I67" s="29" t="s">
        <v>30</v>
      </c>
      <c r="K67" s="27">
        <v>143.61</v>
      </c>
    </row>
    <row r="68" spans="1:9" s="27" customFormat="1" ht="18.75" customHeight="1">
      <c r="A68" s="30" t="s">
        <v>292</v>
      </c>
      <c r="B68" s="251" t="s">
        <v>31</v>
      </c>
      <c r="C68" s="251"/>
      <c r="D68" s="251"/>
      <c r="E68" s="251"/>
      <c r="F68" s="251"/>
      <c r="G68" s="251"/>
      <c r="H68" s="31">
        <v>0.2</v>
      </c>
      <c r="I68" s="32">
        <f>ROUND((I53+I62)*H68,2)</f>
        <v>1044.64</v>
      </c>
    </row>
    <row r="69" spans="1:9" s="27" customFormat="1" ht="18.75" customHeight="1">
      <c r="A69" s="30" t="s">
        <v>294</v>
      </c>
      <c r="B69" s="251" t="s">
        <v>32</v>
      </c>
      <c r="C69" s="251"/>
      <c r="D69" s="251"/>
      <c r="E69" s="251"/>
      <c r="F69" s="251"/>
      <c r="G69" s="251"/>
      <c r="H69" s="33">
        <v>0.025</v>
      </c>
      <c r="I69" s="32">
        <f>ROUND((I53+I62)*H69,2)</f>
        <v>130.58</v>
      </c>
    </row>
    <row r="70" spans="1:9" s="27" customFormat="1" ht="55.5" customHeight="1">
      <c r="A70" s="30" t="s">
        <v>297</v>
      </c>
      <c r="B70" s="187" t="s">
        <v>33</v>
      </c>
      <c r="C70" s="187"/>
      <c r="D70" s="34" t="s">
        <v>36</v>
      </c>
      <c r="E70" s="35">
        <v>0.03</v>
      </c>
      <c r="F70" s="34" t="s">
        <v>37</v>
      </c>
      <c r="G70" s="36">
        <v>1</v>
      </c>
      <c r="H70" s="37">
        <f>ROUND((E70*G70),6)</f>
        <v>0.03</v>
      </c>
      <c r="I70" s="32">
        <f>ROUND((I53+I62)*H70,2)</f>
        <v>156.7</v>
      </c>
    </row>
    <row r="71" spans="1:9" s="27" customFormat="1" ht="15.75" customHeight="1">
      <c r="A71" s="30" t="s">
        <v>300</v>
      </c>
      <c r="B71" s="251" t="s">
        <v>38</v>
      </c>
      <c r="C71" s="251"/>
      <c r="D71" s="251"/>
      <c r="E71" s="251"/>
      <c r="F71" s="251"/>
      <c r="G71" s="251"/>
      <c r="H71" s="31">
        <v>0.015</v>
      </c>
      <c r="I71" s="32">
        <f>ROUND((I53+I62)*H71,2)</f>
        <v>78.35</v>
      </c>
    </row>
    <row r="72" spans="1:9" s="27" customFormat="1" ht="15.75" customHeight="1">
      <c r="A72" s="30" t="s">
        <v>16</v>
      </c>
      <c r="B72" s="251" t="s">
        <v>39</v>
      </c>
      <c r="C72" s="251"/>
      <c r="D72" s="251"/>
      <c r="E72" s="251"/>
      <c r="F72" s="251"/>
      <c r="G72" s="251"/>
      <c r="H72" s="31">
        <v>0.01</v>
      </c>
      <c r="I72" s="32">
        <f>ROUND((I53+I62)*H72,2)</f>
        <v>52.23</v>
      </c>
    </row>
    <row r="73" spans="1:9" s="27" customFormat="1" ht="15.75" customHeight="1">
      <c r="A73" s="30" t="s">
        <v>18</v>
      </c>
      <c r="B73" s="187" t="s">
        <v>40</v>
      </c>
      <c r="C73" s="187"/>
      <c r="D73" s="187"/>
      <c r="E73" s="187"/>
      <c r="F73" s="187"/>
      <c r="G73" s="187"/>
      <c r="H73" s="33">
        <v>0.006</v>
      </c>
      <c r="I73" s="32">
        <f>ROUND((I53+I62)*H73,2)</f>
        <v>31.34</v>
      </c>
    </row>
    <row r="74" spans="1:9" s="27" customFormat="1" ht="15.75" customHeight="1">
      <c r="A74" s="30" t="s">
        <v>20</v>
      </c>
      <c r="B74" s="251" t="s">
        <v>41</v>
      </c>
      <c r="C74" s="251"/>
      <c r="D74" s="251"/>
      <c r="E74" s="251"/>
      <c r="F74" s="251"/>
      <c r="G74" s="251"/>
      <c r="H74" s="31">
        <v>0.002</v>
      </c>
      <c r="I74" s="32">
        <f>ROUND((I53+I62)*H74,2)</f>
        <v>10.45</v>
      </c>
    </row>
    <row r="75" spans="1:9" ht="15.75" customHeight="1">
      <c r="A75" s="30" t="s">
        <v>22</v>
      </c>
      <c r="B75" s="187" t="s">
        <v>42</v>
      </c>
      <c r="C75" s="187"/>
      <c r="D75" s="187"/>
      <c r="E75" s="187"/>
      <c r="F75" s="187"/>
      <c r="G75" s="187"/>
      <c r="H75" s="33">
        <v>0.08</v>
      </c>
      <c r="I75" s="32">
        <f>ROUND((I53+I62)*H75,2)</f>
        <v>417.86</v>
      </c>
    </row>
    <row r="76" spans="1:9" ht="15.75" customHeight="1">
      <c r="A76" s="252" t="s">
        <v>27</v>
      </c>
      <c r="B76" s="252"/>
      <c r="C76" s="252"/>
      <c r="D76" s="252"/>
      <c r="E76" s="252"/>
      <c r="F76" s="252"/>
      <c r="G76" s="252"/>
      <c r="H76" s="38">
        <f>SUM(H68:H75)</f>
        <v>0.36800000000000005</v>
      </c>
      <c r="I76" s="39">
        <f>SUM(I68:I75)</f>
        <v>1922.15</v>
      </c>
    </row>
    <row r="77" spans="1:9" ht="8.25" customHeight="1">
      <c r="A77" s="40"/>
      <c r="B77" s="41"/>
      <c r="C77" s="41"/>
      <c r="D77" s="41"/>
      <c r="E77" s="41"/>
      <c r="F77" s="41"/>
      <c r="G77" s="41"/>
      <c r="H77" s="42"/>
      <c r="I77" s="43"/>
    </row>
    <row r="78" spans="1:9" ht="35.25" customHeight="1">
      <c r="A78" s="218" t="s">
        <v>257</v>
      </c>
      <c r="B78" s="218"/>
      <c r="C78" s="218"/>
      <c r="D78" s="218"/>
      <c r="E78" s="218"/>
      <c r="F78" s="218"/>
      <c r="G78" s="218"/>
      <c r="H78" s="218"/>
      <c r="I78" s="218"/>
    </row>
    <row r="79" spans="1:9" ht="9.75" customHeight="1">
      <c r="A79" s="203"/>
      <c r="B79" s="203"/>
      <c r="C79" s="203"/>
      <c r="D79" s="203"/>
      <c r="E79" s="203"/>
      <c r="F79" s="203"/>
      <c r="G79" s="203"/>
      <c r="H79" s="203"/>
      <c r="I79" s="203"/>
    </row>
    <row r="80" spans="1:9" ht="20.25" customHeight="1">
      <c r="A80" s="253" t="s">
        <v>43</v>
      </c>
      <c r="B80" s="253"/>
      <c r="C80" s="253"/>
      <c r="D80" s="253"/>
      <c r="E80" s="253"/>
      <c r="F80" s="253"/>
      <c r="G80" s="253"/>
      <c r="H80" s="253"/>
      <c r="I80" s="253"/>
    </row>
    <row r="81" spans="1:9" ht="27" customHeight="1">
      <c r="A81" s="44" t="s">
        <v>44</v>
      </c>
      <c r="B81" s="221" t="s">
        <v>45</v>
      </c>
      <c r="C81" s="221"/>
      <c r="D81" s="221"/>
      <c r="E81" s="221"/>
      <c r="F81" s="221"/>
      <c r="G81" s="221"/>
      <c r="H81" s="221"/>
      <c r="I81" s="13" t="s">
        <v>25</v>
      </c>
    </row>
    <row r="82" spans="1:9" ht="27" customHeight="1">
      <c r="A82" s="94" t="s">
        <v>213</v>
      </c>
      <c r="B82" s="254" t="s">
        <v>46</v>
      </c>
      <c r="C82" s="254"/>
      <c r="D82" s="254"/>
      <c r="E82" s="254"/>
      <c r="F82" s="254"/>
      <c r="G82" s="254"/>
      <c r="H82" s="254"/>
      <c r="I82" s="46">
        <f>IF(ROUND((H83*H85*H84)-(I46*H86),2)&lt;0,0,ROUND((H83*H85*H84)-(I46*H86),2))</f>
        <v>108.29</v>
      </c>
    </row>
    <row r="83" spans="1:11" ht="27" customHeight="1">
      <c r="A83" s="45"/>
      <c r="B83" s="254" t="s">
        <v>47</v>
      </c>
      <c r="C83" s="254"/>
      <c r="D83" s="254"/>
      <c r="E83" s="254"/>
      <c r="F83" s="254"/>
      <c r="G83" s="254"/>
      <c r="H83" s="47">
        <v>4.7</v>
      </c>
      <c r="I83" s="48" t="s">
        <v>308</v>
      </c>
      <c r="K83" s="1">
        <f>1/12</f>
        <v>0.08333333333333333</v>
      </c>
    </row>
    <row r="84" spans="1:9" ht="18.75" customHeight="1">
      <c r="A84" s="45"/>
      <c r="B84" s="187" t="s">
        <v>48</v>
      </c>
      <c r="C84" s="187"/>
      <c r="D84" s="187"/>
      <c r="E84" s="187"/>
      <c r="F84" s="187"/>
      <c r="G84" s="187"/>
      <c r="H84" s="49">
        <v>2</v>
      </c>
      <c r="I84" s="48" t="s">
        <v>308</v>
      </c>
    </row>
    <row r="85" spans="1:9" ht="19.5" customHeight="1">
      <c r="A85" s="45"/>
      <c r="B85" s="213" t="s">
        <v>49</v>
      </c>
      <c r="C85" s="213"/>
      <c r="D85" s="213"/>
      <c r="E85" s="213"/>
      <c r="F85" s="213"/>
      <c r="G85" s="213"/>
      <c r="H85" s="50">
        <v>30</v>
      </c>
      <c r="I85" s="48"/>
    </row>
    <row r="86" spans="1:9" ht="19.5" customHeight="1">
      <c r="A86" s="45"/>
      <c r="B86" s="213" t="s">
        <v>50</v>
      </c>
      <c r="C86" s="213"/>
      <c r="D86" s="213"/>
      <c r="E86" s="213"/>
      <c r="F86" s="213"/>
      <c r="G86" s="213"/>
      <c r="H86" s="51">
        <v>0.06</v>
      </c>
      <c r="I86" s="48"/>
    </row>
    <row r="87" spans="1:9" ht="19.5" customHeight="1">
      <c r="A87" s="45"/>
      <c r="B87" s="254" t="s">
        <v>51</v>
      </c>
      <c r="C87" s="254"/>
      <c r="D87" s="254"/>
      <c r="E87" s="254"/>
      <c r="F87" s="254"/>
      <c r="G87" s="254"/>
      <c r="H87" s="254"/>
      <c r="I87" s="52">
        <f>ROUND(H89*H88*(1-H90),2)*1+ROUND(21.726*6*(1-H90),2)*0</f>
        <v>461.52</v>
      </c>
    </row>
    <row r="88" spans="1:9" ht="14.25" customHeight="1">
      <c r="A88" s="45" t="s">
        <v>294</v>
      </c>
      <c r="B88" s="254" t="s">
        <v>52</v>
      </c>
      <c r="C88" s="254"/>
      <c r="D88" s="254"/>
      <c r="E88" s="254"/>
      <c r="F88" s="254"/>
      <c r="G88" s="254"/>
      <c r="H88" s="47">
        <v>19.23</v>
      </c>
      <c r="I88" s="48" t="s">
        <v>308</v>
      </c>
    </row>
    <row r="89" spans="1:9" ht="15.75" customHeight="1">
      <c r="A89" s="45"/>
      <c r="B89" s="254" t="s">
        <v>53</v>
      </c>
      <c r="C89" s="254"/>
      <c r="D89" s="254"/>
      <c r="E89" s="254"/>
      <c r="F89" s="254"/>
      <c r="G89" s="254"/>
      <c r="H89" s="50">
        <v>30</v>
      </c>
      <c r="I89" s="48"/>
    </row>
    <row r="90" spans="1:9" ht="15.75" customHeight="1">
      <c r="A90" s="45"/>
      <c r="B90" s="213" t="s">
        <v>54</v>
      </c>
      <c r="C90" s="213"/>
      <c r="D90" s="213"/>
      <c r="E90" s="213"/>
      <c r="F90" s="213"/>
      <c r="G90" s="213"/>
      <c r="H90" s="51">
        <v>0.2</v>
      </c>
      <c r="I90" s="48"/>
    </row>
    <row r="91" spans="1:9" ht="15.75" customHeight="1">
      <c r="A91" s="45" t="s">
        <v>297</v>
      </c>
      <c r="B91" s="254" t="s">
        <v>55</v>
      </c>
      <c r="C91" s="254"/>
      <c r="D91" s="254"/>
      <c r="E91" s="254"/>
      <c r="F91" s="254"/>
      <c r="G91" s="254"/>
      <c r="H91" s="254"/>
      <c r="I91" s="46">
        <v>0</v>
      </c>
    </row>
    <row r="92" spans="1:9" ht="26.25" customHeight="1">
      <c r="A92" s="45" t="s">
        <v>300</v>
      </c>
      <c r="B92" s="254" t="s">
        <v>244</v>
      </c>
      <c r="C92" s="254"/>
      <c r="D92" s="254"/>
      <c r="E92" s="254"/>
      <c r="F92" s="254"/>
      <c r="G92" s="254"/>
      <c r="H92" s="254"/>
      <c r="I92" s="46">
        <f>ROUND((I53)*26*0.00023,2)</f>
        <v>26.15</v>
      </c>
    </row>
    <row r="93" spans="1:9" s="27" customFormat="1" ht="24.75" customHeight="1">
      <c r="A93" s="45" t="s">
        <v>16</v>
      </c>
      <c r="B93" s="187" t="s">
        <v>245</v>
      </c>
      <c r="C93" s="187"/>
      <c r="D93" s="187"/>
      <c r="E93" s="187"/>
      <c r="F93" s="187"/>
      <c r="G93" s="187"/>
      <c r="H93" s="187"/>
      <c r="I93" s="46">
        <f>ROUND(((($I$46))*0.0052066)/12,2)</f>
        <v>1.26</v>
      </c>
    </row>
    <row r="94" spans="1:9" s="27" customFormat="1" ht="15.75" customHeight="1">
      <c r="A94" s="45" t="s">
        <v>18</v>
      </c>
      <c r="B94" s="255" t="s">
        <v>58</v>
      </c>
      <c r="C94" s="255"/>
      <c r="D94" s="255"/>
      <c r="E94" s="255"/>
      <c r="F94" s="255"/>
      <c r="G94" s="255"/>
      <c r="H94" s="255"/>
      <c r="I94" s="53">
        <v>0</v>
      </c>
    </row>
    <row r="95" spans="1:9" s="27" customFormat="1" ht="18" customHeight="1">
      <c r="A95" s="54"/>
      <c r="B95" s="256" t="s">
        <v>27</v>
      </c>
      <c r="C95" s="256"/>
      <c r="D95" s="256"/>
      <c r="E95" s="256"/>
      <c r="F95" s="256"/>
      <c r="G95" s="256"/>
      <c r="H95" s="256"/>
      <c r="I95" s="39">
        <f>SUM(I82:I94)</f>
        <v>597.2199999999999</v>
      </c>
    </row>
    <row r="96" spans="1:9" s="27" customFormat="1" ht="9" customHeight="1">
      <c r="A96" s="203"/>
      <c r="B96" s="203"/>
      <c r="C96" s="203"/>
      <c r="D96" s="203"/>
      <c r="E96" s="203"/>
      <c r="F96" s="203"/>
      <c r="G96" s="203"/>
      <c r="H96" s="203"/>
      <c r="I96" s="203"/>
    </row>
    <row r="97" spans="1:9" s="27" customFormat="1" ht="32.25" customHeight="1">
      <c r="A97" s="218" t="s">
        <v>59</v>
      </c>
      <c r="B97" s="218"/>
      <c r="C97" s="218"/>
      <c r="D97" s="218"/>
      <c r="E97" s="218"/>
      <c r="F97" s="218"/>
      <c r="G97" s="218"/>
      <c r="H97" s="218"/>
      <c r="I97" s="218"/>
    </row>
    <row r="98" spans="1:9" s="27" customFormat="1" ht="8.25" customHeight="1">
      <c r="A98" s="345"/>
      <c r="B98" s="345"/>
      <c r="C98" s="345"/>
      <c r="D98" s="345"/>
      <c r="E98" s="345"/>
      <c r="F98" s="345"/>
      <c r="G98" s="345"/>
      <c r="H98" s="345"/>
      <c r="I98" s="345"/>
    </row>
    <row r="99" spans="1:9" s="27" customFormat="1" ht="17.25" customHeight="1">
      <c r="A99" s="257" t="s">
        <v>60</v>
      </c>
      <c r="B99" s="257"/>
      <c r="C99" s="257"/>
      <c r="D99" s="257"/>
      <c r="E99" s="257"/>
      <c r="F99" s="257"/>
      <c r="G99" s="257"/>
      <c r="H99" s="257"/>
      <c r="I99" s="257"/>
    </row>
    <row r="100" spans="1:9" s="27" customFormat="1" ht="15.75" customHeight="1">
      <c r="A100" s="29">
        <v>2</v>
      </c>
      <c r="B100" s="250" t="s">
        <v>61</v>
      </c>
      <c r="C100" s="250"/>
      <c r="D100" s="250"/>
      <c r="E100" s="250"/>
      <c r="F100" s="250"/>
      <c r="G100" s="250"/>
      <c r="H100" s="250"/>
      <c r="I100" s="29" t="s">
        <v>25</v>
      </c>
    </row>
    <row r="101" spans="1:9" s="27" customFormat="1" ht="14.25" customHeight="1">
      <c r="A101" s="55" t="s">
        <v>24</v>
      </c>
      <c r="B101" s="258" t="s">
        <v>168</v>
      </c>
      <c r="C101" s="258"/>
      <c r="D101" s="258"/>
      <c r="E101" s="258"/>
      <c r="F101" s="258"/>
      <c r="G101" s="258"/>
      <c r="H101" s="258"/>
      <c r="I101" s="56">
        <f>I62</f>
        <v>850.29</v>
      </c>
    </row>
    <row r="102" spans="1:9" s="27" customFormat="1" ht="14.25" customHeight="1">
      <c r="A102" s="55" t="s">
        <v>28</v>
      </c>
      <c r="B102" s="258" t="s">
        <v>29</v>
      </c>
      <c r="C102" s="258"/>
      <c r="D102" s="258"/>
      <c r="E102" s="258"/>
      <c r="F102" s="258"/>
      <c r="G102" s="258"/>
      <c r="H102" s="258"/>
      <c r="I102" s="56">
        <f>I76</f>
        <v>1922.15</v>
      </c>
    </row>
    <row r="103" spans="1:9" s="27" customFormat="1" ht="14.25" customHeight="1">
      <c r="A103" s="55" t="s">
        <v>44</v>
      </c>
      <c r="B103" s="258" t="s">
        <v>45</v>
      </c>
      <c r="C103" s="258"/>
      <c r="D103" s="258"/>
      <c r="E103" s="258"/>
      <c r="F103" s="258"/>
      <c r="G103" s="258"/>
      <c r="H103" s="258"/>
      <c r="I103" s="56">
        <f>I95</f>
        <v>597.2199999999999</v>
      </c>
    </row>
    <row r="104" spans="1:9" s="27" customFormat="1" ht="14.25" customHeight="1">
      <c r="A104" s="259" t="s">
        <v>27</v>
      </c>
      <c r="B104" s="259"/>
      <c r="C104" s="259"/>
      <c r="D104" s="259"/>
      <c r="E104" s="259"/>
      <c r="F104" s="259"/>
      <c r="G104" s="259"/>
      <c r="H104" s="259"/>
      <c r="I104" s="57">
        <f>SUM(I101+I102+I103)</f>
        <v>3369.66</v>
      </c>
    </row>
    <row r="105" spans="1:9" s="27" customFormat="1" ht="8.25" customHeight="1">
      <c r="A105" s="260"/>
      <c r="B105" s="260"/>
      <c r="C105" s="260"/>
      <c r="D105" s="260"/>
      <c r="E105" s="260"/>
      <c r="F105" s="260"/>
      <c r="G105" s="260"/>
      <c r="H105" s="260"/>
      <c r="I105" s="260"/>
    </row>
    <row r="106" spans="1:9" s="27" customFormat="1" ht="20.25" customHeight="1">
      <c r="A106" s="261" t="s">
        <v>62</v>
      </c>
      <c r="B106" s="261"/>
      <c r="C106" s="261"/>
      <c r="D106" s="261"/>
      <c r="E106" s="261"/>
      <c r="F106" s="261"/>
      <c r="G106" s="261"/>
      <c r="H106" s="261"/>
      <c r="I106" s="261"/>
    </row>
    <row r="107" spans="1:9" s="27" customFormat="1" ht="15.75" customHeight="1">
      <c r="A107" s="44">
        <v>3</v>
      </c>
      <c r="B107" s="262" t="s">
        <v>248</v>
      </c>
      <c r="C107" s="262"/>
      <c r="D107" s="262"/>
      <c r="E107" s="262"/>
      <c r="F107" s="262"/>
      <c r="G107" s="262"/>
      <c r="H107" s="262"/>
      <c r="I107" s="44" t="s">
        <v>25</v>
      </c>
    </row>
    <row r="108" spans="1:9" s="27" customFormat="1" ht="45" customHeight="1">
      <c r="A108" s="45" t="s">
        <v>292</v>
      </c>
      <c r="B108" s="263" t="s">
        <v>64</v>
      </c>
      <c r="C108" s="263"/>
      <c r="D108" s="263"/>
      <c r="E108" s="263"/>
      <c r="F108" s="263"/>
      <c r="G108" s="263"/>
      <c r="H108" s="263"/>
      <c r="I108" s="32">
        <f>ROUND(((I53/12)+($I$60/12)+(I53/12/12)+($I$61/12))*(30/30)*0.05,2)</f>
        <v>23.28</v>
      </c>
    </row>
    <row r="109" spans="1:9" s="27" customFormat="1" ht="14.25" customHeight="1">
      <c r="A109" s="45" t="s">
        <v>294</v>
      </c>
      <c r="B109" s="241" t="s">
        <v>65</v>
      </c>
      <c r="C109" s="241"/>
      <c r="D109" s="241"/>
      <c r="E109" s="241"/>
      <c r="F109" s="241"/>
      <c r="G109" s="241"/>
      <c r="H109" s="241"/>
      <c r="I109" s="32">
        <f>ROUND($H$75*I108,2)</f>
        <v>1.86</v>
      </c>
    </row>
    <row r="110" spans="1:9" s="27" customFormat="1" ht="35.25" customHeight="1">
      <c r="A110" s="45" t="s">
        <v>297</v>
      </c>
      <c r="B110" s="251" t="s">
        <v>187</v>
      </c>
      <c r="C110" s="251"/>
      <c r="D110" s="251"/>
      <c r="E110" s="251"/>
      <c r="F110" s="251"/>
      <c r="G110" s="251"/>
      <c r="H110" s="251"/>
      <c r="I110" s="32">
        <f>ROUND((0.08*0.5*SUM(I53+$I$60+$I$61)*0.05),2)</f>
        <v>10.45</v>
      </c>
    </row>
    <row r="111" spans="1:9" s="27" customFormat="1" ht="33" customHeight="1">
      <c r="A111" s="45" t="s">
        <v>300</v>
      </c>
      <c r="B111" s="251" t="s">
        <v>249</v>
      </c>
      <c r="C111" s="251"/>
      <c r="D111" s="251"/>
      <c r="E111" s="251"/>
      <c r="F111" s="251"/>
      <c r="G111" s="251"/>
      <c r="H111" s="251"/>
      <c r="I111" s="32">
        <f>ROUND(((7/30)/$H$11)*I53*1,2)</f>
        <v>85.03</v>
      </c>
    </row>
    <row r="112" spans="1:9" s="27" customFormat="1" ht="23.25" customHeight="1">
      <c r="A112" s="45" t="s">
        <v>16</v>
      </c>
      <c r="B112" s="241" t="s">
        <v>258</v>
      </c>
      <c r="C112" s="241"/>
      <c r="D112" s="241"/>
      <c r="E112" s="241"/>
      <c r="F112" s="241"/>
      <c r="G112" s="241"/>
      <c r="H112" s="241"/>
      <c r="I112" s="32">
        <f>ROUND($H$76*I111,2)</f>
        <v>31.29</v>
      </c>
    </row>
    <row r="113" spans="1:9" s="27" customFormat="1" ht="29.25" customHeight="1">
      <c r="A113" s="45" t="s">
        <v>18</v>
      </c>
      <c r="B113" s="251" t="s">
        <v>250</v>
      </c>
      <c r="C113" s="251"/>
      <c r="D113" s="251"/>
      <c r="E113" s="251"/>
      <c r="F113" s="251"/>
      <c r="G113" s="251"/>
      <c r="H113" s="251"/>
      <c r="I113" s="32">
        <f>ROUND(0.08*0.5*SUM(I53+$I$60+$I$61)*1,2)</f>
        <v>208.93</v>
      </c>
    </row>
    <row r="114" spans="1:9" s="27" customFormat="1" ht="15.75" customHeight="1">
      <c r="A114" s="252" t="s">
        <v>67</v>
      </c>
      <c r="B114" s="252"/>
      <c r="C114" s="252"/>
      <c r="D114" s="252"/>
      <c r="E114" s="252"/>
      <c r="F114" s="252"/>
      <c r="G114" s="252"/>
      <c r="H114" s="252"/>
      <c r="I114" s="39">
        <f>SUM(I108:I113)</f>
        <v>360.84000000000003</v>
      </c>
    </row>
    <row r="115" spans="1:9" s="27" customFormat="1" ht="9" customHeight="1">
      <c r="A115" s="264"/>
      <c r="B115" s="264"/>
      <c r="C115" s="264"/>
      <c r="D115" s="264"/>
      <c r="E115" s="264"/>
      <c r="F115" s="264"/>
      <c r="G115" s="264"/>
      <c r="H115" s="264"/>
      <c r="I115" s="264"/>
    </row>
    <row r="116" spans="1:9" ht="24" customHeight="1">
      <c r="A116" s="265" t="s">
        <v>68</v>
      </c>
      <c r="B116" s="265"/>
      <c r="C116" s="265"/>
      <c r="D116" s="265"/>
      <c r="E116" s="265"/>
      <c r="F116" s="265"/>
      <c r="G116" s="265"/>
      <c r="H116" s="265"/>
      <c r="I116" s="265"/>
    </row>
    <row r="117" spans="1:9" ht="24.75" customHeight="1">
      <c r="A117" s="266" t="s">
        <v>259</v>
      </c>
      <c r="B117" s="266"/>
      <c r="C117" s="266"/>
      <c r="D117" s="266"/>
      <c r="E117" s="266"/>
      <c r="F117" s="266"/>
      <c r="G117" s="266"/>
      <c r="H117" s="266"/>
      <c r="I117" s="266"/>
    </row>
    <row r="118" spans="1:9" ht="45" customHeight="1">
      <c r="A118" s="268" t="s">
        <v>243</v>
      </c>
      <c r="B118" s="344"/>
      <c r="C118" s="344"/>
      <c r="D118" s="344"/>
      <c r="E118" s="344"/>
      <c r="F118" s="344"/>
      <c r="G118" s="344"/>
      <c r="H118" s="344"/>
      <c r="I118" s="273"/>
    </row>
    <row r="119" spans="1:12" ht="41.25" customHeight="1">
      <c r="A119" s="98" t="s">
        <v>157</v>
      </c>
      <c r="B119" s="100">
        <f>I53</f>
        <v>4372.9299999999985</v>
      </c>
      <c r="C119" s="102" t="s">
        <v>155</v>
      </c>
      <c r="D119" s="98" t="s">
        <v>278</v>
      </c>
      <c r="E119" s="100">
        <f>I104</f>
        <v>3369.66</v>
      </c>
      <c r="F119" s="102" t="s">
        <v>155</v>
      </c>
      <c r="G119" s="98" t="s">
        <v>279</v>
      </c>
      <c r="H119" s="100">
        <f>I114</f>
        <v>360.84000000000003</v>
      </c>
      <c r="I119" s="99">
        <f>B119+E119+H119</f>
        <v>8103.4299999999985</v>
      </c>
      <c r="K119" s="1">
        <f>I119/30</f>
        <v>270.11433333333326</v>
      </c>
      <c r="L119" s="1">
        <f>K119/12</f>
        <v>22.509527777777773</v>
      </c>
    </row>
    <row r="120" spans="1:9" ht="7.5" customHeight="1">
      <c r="A120" s="267"/>
      <c r="B120" s="267"/>
      <c r="C120" s="267"/>
      <c r="D120" s="267"/>
      <c r="E120" s="267"/>
      <c r="F120" s="267"/>
      <c r="G120" s="267"/>
      <c r="H120" s="267"/>
      <c r="I120" s="267"/>
    </row>
    <row r="121" spans="1:12" ht="30" customHeight="1">
      <c r="A121" s="274" t="s">
        <v>276</v>
      </c>
      <c r="B121" s="275"/>
      <c r="C121" s="275"/>
      <c r="D121" s="275"/>
      <c r="E121" s="276"/>
      <c r="F121" s="274" t="s">
        <v>154</v>
      </c>
      <c r="G121" s="276"/>
      <c r="H121" s="103">
        <f>ROUND(I119/30,2)</f>
        <v>270.11</v>
      </c>
      <c r="I121" s="101"/>
      <c r="L121" s="1">
        <f>L119*30</f>
        <v>675.2858333333332</v>
      </c>
    </row>
    <row r="122" spans="1:12" ht="24" customHeight="1">
      <c r="A122" s="58" t="s">
        <v>69</v>
      </c>
      <c r="B122" s="262" t="s">
        <v>251</v>
      </c>
      <c r="C122" s="262"/>
      <c r="D122" s="262"/>
      <c r="E122" s="262"/>
      <c r="F122" s="262"/>
      <c r="G122" s="262"/>
      <c r="H122" s="262"/>
      <c r="I122" s="58" t="s">
        <v>25</v>
      </c>
      <c r="K122" s="1">
        <f>H121/12</f>
        <v>22.50916666666667</v>
      </c>
      <c r="L122" s="19">
        <f>L121-I82-I87</f>
        <v>105.4758333333333</v>
      </c>
    </row>
    <row r="123" spans="1:11" ht="14.25" customHeight="1">
      <c r="A123" s="45" t="s">
        <v>292</v>
      </c>
      <c r="B123" s="241" t="s">
        <v>262</v>
      </c>
      <c r="C123" s="241"/>
      <c r="D123" s="241"/>
      <c r="E123" s="241"/>
      <c r="F123" s="241"/>
      <c r="G123" s="241"/>
      <c r="H123" s="241"/>
      <c r="I123" s="32">
        <f>ROUND($I$119/12,2)</f>
        <v>675.29</v>
      </c>
      <c r="K123" s="1">
        <f>K122*30</f>
        <v>675.2750000000001</v>
      </c>
    </row>
    <row r="124" spans="1:9" ht="14.25" customHeight="1">
      <c r="A124" s="45" t="s">
        <v>294</v>
      </c>
      <c r="B124" s="251" t="s">
        <v>208</v>
      </c>
      <c r="C124" s="251"/>
      <c r="D124" s="251"/>
      <c r="E124" s="251"/>
      <c r="F124" s="251"/>
      <c r="G124" s="251"/>
      <c r="H124" s="251"/>
      <c r="I124" s="32">
        <f>ROUND((1/30)/12*($I$119),2)</f>
        <v>22.51</v>
      </c>
    </row>
    <row r="125" spans="1:11" ht="24.75" customHeight="1">
      <c r="A125" s="45" t="s">
        <v>297</v>
      </c>
      <c r="B125" s="251" t="s">
        <v>263</v>
      </c>
      <c r="C125" s="251"/>
      <c r="D125" s="251"/>
      <c r="E125" s="251"/>
      <c r="F125" s="251"/>
      <c r="G125" s="251"/>
      <c r="H125" s="251"/>
      <c r="I125" s="32">
        <f>ROUND((5/30)/12*0.015*($I$119),2)</f>
        <v>1.69</v>
      </c>
      <c r="K125" s="1">
        <f>H121/12</f>
        <v>22.50916666666667</v>
      </c>
    </row>
    <row r="126" spans="1:11" ht="27" customHeight="1">
      <c r="A126" s="45" t="s">
        <v>300</v>
      </c>
      <c r="B126" s="251" t="s">
        <v>264</v>
      </c>
      <c r="C126" s="251"/>
      <c r="D126" s="251"/>
      <c r="E126" s="251"/>
      <c r="F126" s="251"/>
      <c r="G126" s="251"/>
      <c r="H126" s="251"/>
      <c r="I126" s="32">
        <f>ROUND(((15/30)/12)*0.0078*($I$119),2)</f>
        <v>2.63</v>
      </c>
      <c r="K126" s="1">
        <f>K125*30</f>
        <v>675.2750000000001</v>
      </c>
    </row>
    <row r="127" spans="1:9" ht="27" customHeight="1">
      <c r="A127" s="45" t="s">
        <v>16</v>
      </c>
      <c r="B127" s="187" t="s">
        <v>160</v>
      </c>
      <c r="C127" s="187"/>
      <c r="D127" s="187"/>
      <c r="E127" s="187"/>
      <c r="F127" s="187"/>
      <c r="G127" s="187"/>
      <c r="H127" s="187"/>
      <c r="I127" s="32">
        <f>ROUND(((((I53+I53/3)/12)+(I76+I95+I114))*4/12)*0.02,2)</f>
        <v>22.44</v>
      </c>
    </row>
    <row r="128" spans="1:9" ht="28.5" customHeight="1">
      <c r="A128" s="45" t="s">
        <v>18</v>
      </c>
      <c r="B128" s="251" t="s">
        <v>152</v>
      </c>
      <c r="C128" s="251"/>
      <c r="D128" s="251"/>
      <c r="E128" s="251"/>
      <c r="F128" s="251"/>
      <c r="G128" s="251"/>
      <c r="H128" s="251"/>
      <c r="I128" s="32">
        <f>ROUND(((3/30)/12)*($I$119),2)</f>
        <v>67.53</v>
      </c>
    </row>
    <row r="129" spans="1:9" ht="15.75" customHeight="1">
      <c r="A129" s="252" t="s">
        <v>27</v>
      </c>
      <c r="B129" s="252"/>
      <c r="C129" s="252"/>
      <c r="D129" s="252"/>
      <c r="E129" s="252"/>
      <c r="F129" s="252"/>
      <c r="G129" s="252"/>
      <c r="H129" s="252"/>
      <c r="I129" s="39">
        <f>SUM(I123:I128)</f>
        <v>792.09</v>
      </c>
    </row>
    <row r="130" spans="1:9" ht="9" customHeight="1">
      <c r="A130" s="278"/>
      <c r="B130" s="278"/>
      <c r="C130" s="278"/>
      <c r="D130" s="278"/>
      <c r="E130" s="278"/>
      <c r="F130" s="278"/>
      <c r="G130" s="278"/>
      <c r="H130" s="278"/>
      <c r="I130" s="278"/>
    </row>
    <row r="131" spans="1:9" ht="15.75" customHeight="1">
      <c r="A131" s="253" t="s">
        <v>285</v>
      </c>
      <c r="B131" s="253"/>
      <c r="C131" s="253"/>
      <c r="D131" s="253"/>
      <c r="E131" s="253"/>
      <c r="F131" s="253"/>
      <c r="G131" s="253"/>
      <c r="H131" s="253"/>
      <c r="I131" s="253"/>
    </row>
    <row r="132" spans="1:9" ht="15.75" customHeight="1">
      <c r="A132" s="59" t="s">
        <v>70</v>
      </c>
      <c r="B132" s="279" t="s">
        <v>286</v>
      </c>
      <c r="C132" s="279"/>
      <c r="D132" s="279"/>
      <c r="E132" s="279"/>
      <c r="F132" s="279"/>
      <c r="G132" s="279"/>
      <c r="H132" s="279"/>
      <c r="I132" s="60" t="s">
        <v>25</v>
      </c>
    </row>
    <row r="133" spans="1:9" ht="52.5" customHeight="1">
      <c r="A133" s="24" t="s">
        <v>292</v>
      </c>
      <c r="B133" s="258" t="s">
        <v>167</v>
      </c>
      <c r="C133" s="258"/>
      <c r="D133" s="258"/>
      <c r="E133" s="258"/>
      <c r="F133" s="258"/>
      <c r="G133" s="258"/>
      <c r="H133" s="258"/>
      <c r="I133" s="61">
        <f>ROUND(H33*0.5*1.1428571*30*1.2*1.2+H39*30,2)</f>
        <v>253.96</v>
      </c>
    </row>
    <row r="134" spans="1:9" ht="32.25" customHeight="1">
      <c r="A134" s="24" t="s">
        <v>294</v>
      </c>
      <c r="B134" s="258" t="s">
        <v>196</v>
      </c>
      <c r="C134" s="258"/>
      <c r="D134" s="258"/>
      <c r="E134" s="258"/>
      <c r="F134" s="258"/>
      <c r="G134" s="258"/>
      <c r="H134" s="258"/>
      <c r="I134" s="61">
        <f>ROUND(I133/12,2)+ROUND(I133/12,2)+ROUND(I133/3/12,2)</f>
        <v>49.37</v>
      </c>
    </row>
    <row r="135" spans="1:9" ht="15.75" customHeight="1">
      <c r="A135" s="122" t="s">
        <v>297</v>
      </c>
      <c r="B135" s="208" t="s">
        <v>195</v>
      </c>
      <c r="C135" s="208"/>
      <c r="D135" s="208"/>
      <c r="E135" s="208"/>
      <c r="F135" s="208"/>
      <c r="G135" s="208"/>
      <c r="H135" s="208"/>
      <c r="I135" s="61">
        <f>ROUND(H76*SUM(I133:I134),2)</f>
        <v>111.63</v>
      </c>
    </row>
    <row r="136" spans="1:9" ht="51" customHeight="1">
      <c r="A136" s="45" t="s">
        <v>300</v>
      </c>
      <c r="B136" s="187" t="s">
        <v>206</v>
      </c>
      <c r="C136" s="187"/>
      <c r="D136" s="187"/>
      <c r="E136" s="187"/>
      <c r="F136" s="187"/>
      <c r="G136" s="187"/>
      <c r="H136" s="187"/>
      <c r="I136" s="46">
        <f>IF(ROUND((H137*H145*H144)-(H85*30*0.5*1.2*H146),2)&lt;0,0,ROUND((H83*H84*H85)-((H32*30*0.5*1.2)*H86),2))</f>
        <v>274.89</v>
      </c>
    </row>
    <row r="137" spans="1:9" ht="39.75" customHeight="1">
      <c r="A137" s="45" t="s">
        <v>16</v>
      </c>
      <c r="B137" s="187" t="s">
        <v>252</v>
      </c>
      <c r="C137" s="187"/>
      <c r="D137" s="187"/>
      <c r="E137" s="187"/>
      <c r="F137" s="187"/>
      <c r="G137" s="187"/>
      <c r="H137" s="187"/>
      <c r="I137" s="46">
        <f>ROUND(I147/2,2)</f>
        <v>41</v>
      </c>
    </row>
    <row r="138" spans="1:9" ht="21" customHeight="1">
      <c r="A138" s="338" t="s">
        <v>27</v>
      </c>
      <c r="B138" s="339"/>
      <c r="C138" s="339"/>
      <c r="D138" s="339"/>
      <c r="E138" s="339"/>
      <c r="F138" s="339"/>
      <c r="G138" s="339"/>
      <c r="H138" s="340"/>
      <c r="I138" s="26">
        <f>SUM(I133:I137)</f>
        <v>730.8499999999999</v>
      </c>
    </row>
    <row r="139" spans="1:9" ht="8.25" customHeight="1">
      <c r="A139" s="341"/>
      <c r="B139" s="342"/>
      <c r="C139" s="342"/>
      <c r="D139" s="342"/>
      <c r="E139" s="342"/>
      <c r="F139" s="342"/>
      <c r="G139" s="342"/>
      <c r="H139" s="342"/>
      <c r="I139" s="343"/>
    </row>
    <row r="140" spans="1:9" ht="23.25" customHeight="1">
      <c r="A140" s="29">
        <v>4</v>
      </c>
      <c r="B140" s="279" t="s">
        <v>72</v>
      </c>
      <c r="C140" s="279"/>
      <c r="D140" s="279"/>
      <c r="E140" s="279"/>
      <c r="F140" s="279"/>
      <c r="G140" s="279"/>
      <c r="H140" s="279"/>
      <c r="I140" s="60" t="s">
        <v>25</v>
      </c>
    </row>
    <row r="141" spans="1:9" ht="18.75" customHeight="1">
      <c r="A141" s="62" t="s">
        <v>69</v>
      </c>
      <c r="B141" s="240" t="s">
        <v>261</v>
      </c>
      <c r="C141" s="240"/>
      <c r="D141" s="240"/>
      <c r="E141" s="240"/>
      <c r="F141" s="240"/>
      <c r="G141" s="240"/>
      <c r="H141" s="240"/>
      <c r="I141" s="61">
        <f>I129</f>
        <v>792.09</v>
      </c>
    </row>
    <row r="142" spans="1:9" ht="21.75" customHeight="1">
      <c r="A142" s="62" t="s">
        <v>73</v>
      </c>
      <c r="B142" s="240" t="s">
        <v>286</v>
      </c>
      <c r="C142" s="240"/>
      <c r="D142" s="240"/>
      <c r="E142" s="240"/>
      <c r="F142" s="240"/>
      <c r="G142" s="240"/>
      <c r="H142" s="240"/>
      <c r="I142" s="61">
        <f>I138</f>
        <v>730.8499999999999</v>
      </c>
    </row>
    <row r="143" spans="1:9" ht="23.25" customHeight="1">
      <c r="A143" s="280" t="s">
        <v>27</v>
      </c>
      <c r="B143" s="280"/>
      <c r="C143" s="280"/>
      <c r="D143" s="280"/>
      <c r="E143" s="280"/>
      <c r="F143" s="280"/>
      <c r="G143" s="280"/>
      <c r="H143" s="280"/>
      <c r="I143" s="26">
        <f>SUM(I141+I142)</f>
        <v>1522.94</v>
      </c>
    </row>
    <row r="144" spans="1:9" ht="7.5" customHeight="1">
      <c r="A144" s="264"/>
      <c r="B144" s="264"/>
      <c r="C144" s="264"/>
      <c r="D144" s="264"/>
      <c r="E144" s="264"/>
      <c r="F144" s="264"/>
      <c r="G144" s="264"/>
      <c r="H144" s="264"/>
      <c r="I144" s="264"/>
    </row>
    <row r="145" spans="1:9" s="27" customFormat="1" ht="27.75" customHeight="1">
      <c r="A145" s="265" t="s">
        <v>74</v>
      </c>
      <c r="B145" s="265"/>
      <c r="C145" s="265"/>
      <c r="D145" s="265"/>
      <c r="E145" s="265"/>
      <c r="F145" s="265"/>
      <c r="G145" s="265"/>
      <c r="H145" s="265"/>
      <c r="I145" s="265"/>
    </row>
    <row r="146" spans="1:9" ht="27" customHeight="1">
      <c r="A146" s="44">
        <v>3</v>
      </c>
      <c r="B146" s="221" t="s">
        <v>75</v>
      </c>
      <c r="C146" s="221"/>
      <c r="D146" s="221"/>
      <c r="E146" s="221"/>
      <c r="F146" s="221"/>
      <c r="G146" s="221"/>
      <c r="H146" s="221"/>
      <c r="I146" s="44" t="s">
        <v>25</v>
      </c>
    </row>
    <row r="147" spans="1:9" ht="27" customHeight="1">
      <c r="A147" s="45" t="s">
        <v>292</v>
      </c>
      <c r="B147" s="187" t="s">
        <v>35</v>
      </c>
      <c r="C147" s="187"/>
      <c r="D147" s="187"/>
      <c r="E147" s="187"/>
      <c r="F147" s="187"/>
      <c r="G147" s="187"/>
      <c r="H147" s="187"/>
      <c r="I147" s="46">
        <v>82</v>
      </c>
    </row>
    <row r="148" spans="1:9" ht="15.75" customHeight="1">
      <c r="A148" s="45" t="s">
        <v>294</v>
      </c>
      <c r="B148" s="187" t="s">
        <v>253</v>
      </c>
      <c r="C148" s="187"/>
      <c r="D148" s="187"/>
      <c r="E148" s="187"/>
      <c r="F148" s="187"/>
      <c r="G148" s="187"/>
      <c r="H148" s="187"/>
      <c r="I148" s="53">
        <v>151</v>
      </c>
    </row>
    <row r="149" spans="1:9" ht="17.25" customHeight="1">
      <c r="A149" s="45" t="s">
        <v>297</v>
      </c>
      <c r="B149" s="187" t="s">
        <v>58</v>
      </c>
      <c r="C149" s="187"/>
      <c r="D149" s="187"/>
      <c r="E149" s="187"/>
      <c r="F149" s="187"/>
      <c r="G149" s="187"/>
      <c r="H149" s="187"/>
      <c r="I149" s="53" t="s">
        <v>77</v>
      </c>
    </row>
    <row r="150" spans="1:9" ht="15.75" customHeight="1">
      <c r="A150" s="252" t="s">
        <v>78</v>
      </c>
      <c r="B150" s="252"/>
      <c r="C150" s="252"/>
      <c r="D150" s="252"/>
      <c r="E150" s="252"/>
      <c r="F150" s="252"/>
      <c r="G150" s="252"/>
      <c r="H150" s="252"/>
      <c r="I150" s="63">
        <f>ROUND(SUM(I147:I149),2)</f>
        <v>233</v>
      </c>
    </row>
    <row r="151" spans="1:9" ht="7.5" customHeight="1">
      <c r="A151" s="281"/>
      <c r="B151" s="281"/>
      <c r="C151" s="281"/>
      <c r="D151" s="281"/>
      <c r="E151" s="281"/>
      <c r="F151" s="281"/>
      <c r="G151" s="281"/>
      <c r="H151" s="281"/>
      <c r="I151" s="281"/>
    </row>
    <row r="152" spans="1:9" ht="15.75" customHeight="1">
      <c r="A152" s="282" t="s">
        <v>79</v>
      </c>
      <c r="B152" s="282"/>
      <c r="C152" s="282"/>
      <c r="D152" s="282"/>
      <c r="E152" s="282"/>
      <c r="F152" s="282"/>
      <c r="G152" s="282"/>
      <c r="H152" s="282"/>
      <c r="I152" s="282"/>
    </row>
    <row r="153" spans="1:9" ht="6.75" customHeight="1">
      <c r="A153" s="64"/>
      <c r="B153" s="65"/>
      <c r="C153" s="65"/>
      <c r="D153" s="65"/>
      <c r="E153" s="65"/>
      <c r="F153" s="65"/>
      <c r="G153" s="65"/>
      <c r="H153" s="65"/>
      <c r="I153" s="66"/>
    </row>
    <row r="154" spans="1:9" ht="16.5" customHeight="1">
      <c r="A154" s="261" t="s">
        <v>80</v>
      </c>
      <c r="B154" s="261"/>
      <c r="C154" s="261"/>
      <c r="D154" s="261"/>
      <c r="E154" s="261"/>
      <c r="F154" s="261"/>
      <c r="G154" s="261"/>
      <c r="H154" s="261"/>
      <c r="I154" s="261"/>
    </row>
    <row r="155" spans="1:9" ht="30" customHeight="1">
      <c r="A155" s="44">
        <v>6</v>
      </c>
      <c r="B155" s="262" t="s">
        <v>81</v>
      </c>
      <c r="C155" s="262"/>
      <c r="D155" s="262"/>
      <c r="E155" s="262"/>
      <c r="F155" s="262"/>
      <c r="G155" s="262"/>
      <c r="H155" s="5" t="s">
        <v>12</v>
      </c>
      <c r="I155" s="67" t="s">
        <v>30</v>
      </c>
    </row>
    <row r="156" spans="1:9" ht="50.25" customHeight="1">
      <c r="A156" s="283" t="s">
        <v>82</v>
      </c>
      <c r="B156" s="283"/>
      <c r="C156" s="283"/>
      <c r="D156" s="283"/>
      <c r="E156" s="283"/>
      <c r="F156" s="283"/>
      <c r="G156" s="283"/>
      <c r="H156" s="68" t="s">
        <v>308</v>
      </c>
      <c r="I156" s="69">
        <f>SUM(I53+I104+I114+I143+I150)</f>
        <v>9859.369999999999</v>
      </c>
    </row>
    <row r="157" spans="1:9" ht="15.75" customHeight="1">
      <c r="A157" s="45" t="s">
        <v>292</v>
      </c>
      <c r="B157" s="284" t="s">
        <v>83</v>
      </c>
      <c r="C157" s="284"/>
      <c r="D157" s="284"/>
      <c r="E157" s="284"/>
      <c r="F157" s="284"/>
      <c r="G157" s="284"/>
      <c r="H157" s="33">
        <v>0.06</v>
      </c>
      <c r="I157" s="32">
        <f>ROUND(H157*I156,2)</f>
        <v>591.56</v>
      </c>
    </row>
    <row r="158" spans="1:9" ht="50.25" customHeight="1">
      <c r="A158" s="283" t="s">
        <v>84</v>
      </c>
      <c r="B158" s="283"/>
      <c r="C158" s="283"/>
      <c r="D158" s="283"/>
      <c r="E158" s="283"/>
      <c r="F158" s="283"/>
      <c r="G158" s="283"/>
      <c r="H158" s="70" t="s">
        <v>308</v>
      </c>
      <c r="I158" s="69">
        <f>SUM(I53+I104+I114+I143+I150+I157)</f>
        <v>10450.929999999998</v>
      </c>
    </row>
    <row r="159" spans="1:9" ht="15.75" customHeight="1">
      <c r="A159" s="45" t="s">
        <v>294</v>
      </c>
      <c r="B159" s="284" t="s">
        <v>85</v>
      </c>
      <c r="C159" s="284"/>
      <c r="D159" s="284"/>
      <c r="E159" s="284"/>
      <c r="F159" s="284"/>
      <c r="G159" s="284"/>
      <c r="H159" s="33">
        <v>0.0679</v>
      </c>
      <c r="I159" s="32">
        <f>ROUND(H159*I158,2)</f>
        <v>709.62</v>
      </c>
    </row>
    <row r="160" spans="1:9" ht="48.75" customHeight="1">
      <c r="A160" s="283" t="s">
        <v>86</v>
      </c>
      <c r="B160" s="283"/>
      <c r="C160" s="283"/>
      <c r="D160" s="283"/>
      <c r="E160" s="283"/>
      <c r="F160" s="283"/>
      <c r="G160" s="283"/>
      <c r="H160" s="70" t="s">
        <v>308</v>
      </c>
      <c r="I160" s="69">
        <f>SUM(I53+I104+I114+I143+I150+I157+I159)</f>
        <v>11160.55</v>
      </c>
    </row>
    <row r="161" spans="1:9" ht="16.5" customHeight="1">
      <c r="A161" s="71" t="s">
        <v>297</v>
      </c>
      <c r="B161" s="285" t="s">
        <v>87</v>
      </c>
      <c r="C161" s="285"/>
      <c r="D161" s="285"/>
      <c r="E161" s="285"/>
      <c r="F161" s="285"/>
      <c r="G161" s="285"/>
      <c r="H161" s="72" t="s">
        <v>308</v>
      </c>
      <c r="I161" s="18" t="s">
        <v>308</v>
      </c>
    </row>
    <row r="162" spans="1:9" ht="14.25" customHeight="1">
      <c r="A162" s="45"/>
      <c r="B162" s="286" t="s">
        <v>88</v>
      </c>
      <c r="C162" s="286"/>
      <c r="D162" s="286"/>
      <c r="E162" s="286"/>
      <c r="F162" s="286"/>
      <c r="G162" s="286"/>
      <c r="H162" s="72" t="s">
        <v>308</v>
      </c>
      <c r="I162" s="18" t="s">
        <v>308</v>
      </c>
    </row>
    <row r="163" spans="1:9" ht="22.5" customHeight="1">
      <c r="A163" s="45"/>
      <c r="B163" s="287" t="s">
        <v>89</v>
      </c>
      <c r="C163" s="287"/>
      <c r="D163" s="287"/>
      <c r="E163" s="287"/>
      <c r="F163" s="287"/>
      <c r="G163" s="287"/>
      <c r="H163" s="73">
        <v>0.03</v>
      </c>
      <c r="I163" s="74">
        <f>ROUND(($I$160/(1-$H$172))*H163,2)</f>
        <v>356.76</v>
      </c>
    </row>
    <row r="164" spans="1:9" ht="22.5" customHeight="1">
      <c r="A164" s="45"/>
      <c r="B164" s="287" t="s">
        <v>90</v>
      </c>
      <c r="C164" s="287"/>
      <c r="D164" s="287"/>
      <c r="E164" s="287"/>
      <c r="F164" s="287"/>
      <c r="G164" s="287"/>
      <c r="H164" s="73">
        <v>0.0065</v>
      </c>
      <c r="I164" s="74">
        <f>ROUND(($I$160/(1-$H$172))*H164,2)</f>
        <v>77.3</v>
      </c>
    </row>
    <row r="165" spans="1:9" ht="29.25" customHeight="1">
      <c r="A165" s="45"/>
      <c r="B165" s="263" t="s">
        <v>138</v>
      </c>
      <c r="C165" s="263"/>
      <c r="D165" s="263"/>
      <c r="E165" s="263"/>
      <c r="F165" s="263"/>
      <c r="G165" s="263"/>
      <c r="H165" s="75" t="s">
        <v>308</v>
      </c>
      <c r="I165" s="18" t="s">
        <v>308</v>
      </c>
    </row>
    <row r="166" spans="1:9" ht="29.25" customHeight="1">
      <c r="A166" s="45"/>
      <c r="B166" s="263" t="s">
        <v>139</v>
      </c>
      <c r="C166" s="263"/>
      <c r="D166" s="263"/>
      <c r="E166" s="263"/>
      <c r="F166" s="263"/>
      <c r="G166" s="263"/>
      <c r="H166" s="75" t="s">
        <v>308</v>
      </c>
      <c r="I166" s="18" t="s">
        <v>308</v>
      </c>
    </row>
    <row r="167" spans="1:9" ht="18" customHeight="1">
      <c r="A167" s="45"/>
      <c r="B167" s="288" t="s">
        <v>93</v>
      </c>
      <c r="C167" s="288"/>
      <c r="D167" s="288"/>
      <c r="E167" s="288"/>
      <c r="F167" s="288"/>
      <c r="G167" s="288"/>
      <c r="H167" s="76" t="s">
        <v>308</v>
      </c>
      <c r="I167" s="77" t="s">
        <v>308</v>
      </c>
    </row>
    <row r="168" spans="1:9" ht="18" customHeight="1">
      <c r="A168" s="45"/>
      <c r="B168" s="288" t="s">
        <v>94</v>
      </c>
      <c r="C168" s="288"/>
      <c r="D168" s="288"/>
      <c r="E168" s="288"/>
      <c r="F168" s="288"/>
      <c r="G168" s="288"/>
      <c r="H168" s="76" t="s">
        <v>308</v>
      </c>
      <c r="I168" s="77" t="s">
        <v>308</v>
      </c>
    </row>
    <row r="169" spans="1:9" ht="15" customHeight="1">
      <c r="A169" s="45"/>
      <c r="B169" s="251" t="s">
        <v>135</v>
      </c>
      <c r="C169" s="251"/>
      <c r="D169" s="251"/>
      <c r="E169" s="251"/>
      <c r="F169" s="251"/>
      <c r="G169" s="251"/>
      <c r="H169" s="73">
        <v>0.025</v>
      </c>
      <c r="I169" s="74">
        <f>ROUND(($I$160/(1-$H$172))*H169,2)</f>
        <v>297.3</v>
      </c>
    </row>
    <row r="170" spans="1:9" ht="15.75" customHeight="1">
      <c r="A170" s="252" t="s">
        <v>67</v>
      </c>
      <c r="B170" s="252"/>
      <c r="C170" s="252"/>
      <c r="D170" s="252"/>
      <c r="E170" s="252"/>
      <c r="F170" s="252"/>
      <c r="G170" s="252"/>
      <c r="H170" s="252"/>
      <c r="I170" s="39">
        <f>SUM(I157+I159+I163+I164+I169)</f>
        <v>2032.5399999999997</v>
      </c>
    </row>
    <row r="171" spans="1:9" ht="6.75" customHeight="1">
      <c r="A171" s="264"/>
      <c r="B171" s="264"/>
      <c r="C171" s="264"/>
      <c r="D171" s="264"/>
      <c r="E171" s="264"/>
      <c r="F171" s="264"/>
      <c r="G171" s="264"/>
      <c r="H171" s="264"/>
      <c r="I171" s="264"/>
    </row>
    <row r="172" spans="1:9" ht="15.75" customHeight="1">
      <c r="A172" s="289" t="s">
        <v>96</v>
      </c>
      <c r="B172" s="289"/>
      <c r="C172" s="289"/>
      <c r="D172" s="289"/>
      <c r="E172" s="289"/>
      <c r="F172" s="289"/>
      <c r="G172" s="289"/>
      <c r="H172" s="78">
        <f>SUM(H163:H169)</f>
        <v>0.0615</v>
      </c>
      <c r="I172" s="79">
        <f>SUM(I163:I169)</f>
        <v>731.36</v>
      </c>
    </row>
    <row r="173" spans="1:9" ht="12.75" customHeight="1">
      <c r="A173" s="290" t="s">
        <v>97</v>
      </c>
      <c r="B173" s="290"/>
      <c r="C173" s="291" t="s">
        <v>98</v>
      </c>
      <c r="D173" s="291"/>
      <c r="E173" s="291"/>
      <c r="F173" s="291"/>
      <c r="G173" s="291"/>
      <c r="H173" s="291"/>
      <c r="I173" s="291"/>
    </row>
    <row r="174" spans="1:9" ht="12" customHeight="1">
      <c r="A174" s="290"/>
      <c r="B174" s="290"/>
      <c r="C174" s="292" t="s">
        <v>99</v>
      </c>
      <c r="D174" s="292"/>
      <c r="E174" s="292"/>
      <c r="F174" s="292"/>
      <c r="G174" s="292"/>
      <c r="H174" s="292"/>
      <c r="I174" s="292"/>
    </row>
    <row r="175" spans="1:9" ht="13.5" customHeight="1">
      <c r="A175" s="290"/>
      <c r="B175" s="290"/>
      <c r="C175" s="293" t="s">
        <v>100</v>
      </c>
      <c r="D175" s="293"/>
      <c r="E175" s="293"/>
      <c r="F175" s="293"/>
      <c r="G175" s="293"/>
      <c r="H175" s="293"/>
      <c r="I175" s="293"/>
    </row>
    <row r="176" spans="1:9" ht="6.75" customHeight="1">
      <c r="A176" s="294"/>
      <c r="B176" s="294"/>
      <c r="C176" s="294"/>
      <c r="D176" s="294"/>
      <c r="E176" s="294"/>
      <c r="F176" s="294"/>
      <c r="G176" s="294"/>
      <c r="H176" s="294"/>
      <c r="I176" s="294"/>
    </row>
    <row r="177" spans="1:9" ht="24" customHeight="1">
      <c r="A177" s="295" t="s">
        <v>101</v>
      </c>
      <c r="B177" s="295"/>
      <c r="C177" s="295"/>
      <c r="D177" s="295"/>
      <c r="E177" s="295"/>
      <c r="F177" s="295"/>
      <c r="G177" s="295"/>
      <c r="H177" s="295"/>
      <c r="I177" s="295"/>
    </row>
    <row r="178" spans="1:9" ht="5.25" customHeight="1">
      <c r="A178" s="264"/>
      <c r="B178" s="264"/>
      <c r="C178" s="264"/>
      <c r="D178" s="264"/>
      <c r="E178" s="264"/>
      <c r="F178" s="264"/>
      <c r="G178" s="264"/>
      <c r="H178" s="264"/>
      <c r="I178" s="264"/>
    </row>
    <row r="179" spans="1:9" ht="27.75" customHeight="1">
      <c r="A179" s="332" t="s">
        <v>136</v>
      </c>
      <c r="B179" s="332"/>
      <c r="C179" s="332"/>
      <c r="D179" s="332"/>
      <c r="E179" s="332"/>
      <c r="F179" s="332"/>
      <c r="G179" s="332"/>
      <c r="H179" s="332"/>
      <c r="I179" s="332"/>
    </row>
    <row r="180" spans="1:9" ht="15" customHeight="1">
      <c r="A180" s="189" t="s">
        <v>103</v>
      </c>
      <c r="B180" s="189"/>
      <c r="C180" s="189"/>
      <c r="D180" s="189"/>
      <c r="E180" s="189"/>
      <c r="F180" s="189"/>
      <c r="G180" s="189"/>
      <c r="H180" s="189"/>
      <c r="I180" s="5" t="s">
        <v>25</v>
      </c>
    </row>
    <row r="181" spans="1:11" ht="15" customHeight="1">
      <c r="A181" s="81" t="s">
        <v>292</v>
      </c>
      <c r="B181" s="297" t="s">
        <v>104</v>
      </c>
      <c r="C181" s="297"/>
      <c r="D181" s="297"/>
      <c r="E181" s="297"/>
      <c r="F181" s="297"/>
      <c r="G181" s="297"/>
      <c r="H181" s="297"/>
      <c r="I181" s="53">
        <f>I53</f>
        <v>4372.9299999999985</v>
      </c>
      <c r="K181" s="80"/>
    </row>
    <row r="182" spans="1:9" ht="15" customHeight="1">
      <c r="A182" s="81" t="s">
        <v>294</v>
      </c>
      <c r="B182" s="297" t="s">
        <v>105</v>
      </c>
      <c r="C182" s="297"/>
      <c r="D182" s="297"/>
      <c r="E182" s="297"/>
      <c r="F182" s="297"/>
      <c r="G182" s="297"/>
      <c r="H182" s="297"/>
      <c r="I182" s="53">
        <f>I104</f>
        <v>3369.66</v>
      </c>
    </row>
    <row r="183" spans="1:9" ht="15" customHeight="1">
      <c r="A183" s="81" t="s">
        <v>297</v>
      </c>
      <c r="B183" s="297" t="s">
        <v>106</v>
      </c>
      <c r="C183" s="297"/>
      <c r="D183" s="297"/>
      <c r="E183" s="297"/>
      <c r="F183" s="297"/>
      <c r="G183" s="297"/>
      <c r="H183" s="297"/>
      <c r="I183" s="53">
        <f>I114</f>
        <v>360.84000000000003</v>
      </c>
    </row>
    <row r="184" spans="1:9" ht="15" customHeight="1">
      <c r="A184" s="81" t="s">
        <v>300</v>
      </c>
      <c r="B184" s="297" t="s">
        <v>107</v>
      </c>
      <c r="C184" s="297"/>
      <c r="D184" s="297"/>
      <c r="E184" s="297"/>
      <c r="F184" s="297"/>
      <c r="G184" s="297"/>
      <c r="H184" s="297"/>
      <c r="I184" s="53">
        <f>I143</f>
        <v>1522.94</v>
      </c>
    </row>
    <row r="185" spans="1:9" ht="15" customHeight="1">
      <c r="A185" s="81" t="s">
        <v>16</v>
      </c>
      <c r="B185" s="297" t="s">
        <v>108</v>
      </c>
      <c r="C185" s="297"/>
      <c r="D185" s="297"/>
      <c r="E185" s="297"/>
      <c r="F185" s="297"/>
      <c r="G185" s="297"/>
      <c r="H185" s="297"/>
      <c r="I185" s="53">
        <f>I150</f>
        <v>233</v>
      </c>
    </row>
    <row r="186" spans="1:9" ht="15" customHeight="1">
      <c r="A186" s="298" t="s">
        <v>109</v>
      </c>
      <c r="B186" s="298"/>
      <c r="C186" s="298"/>
      <c r="D186" s="298"/>
      <c r="E186" s="298"/>
      <c r="F186" s="298"/>
      <c r="G186" s="298"/>
      <c r="H186" s="298"/>
      <c r="I186" s="53">
        <f>SUM(I181:I185)</f>
        <v>9859.369999999999</v>
      </c>
    </row>
    <row r="187" spans="1:9" ht="15" customHeight="1">
      <c r="A187" s="82" t="s">
        <v>18</v>
      </c>
      <c r="B187" s="297" t="s">
        <v>80</v>
      </c>
      <c r="C187" s="297"/>
      <c r="D187" s="297"/>
      <c r="E187" s="297"/>
      <c r="F187" s="297"/>
      <c r="G187" s="297"/>
      <c r="H187" s="297"/>
      <c r="I187" s="63">
        <f>I170</f>
        <v>2032.5399999999997</v>
      </c>
    </row>
    <row r="188" spans="1:9" ht="15" customHeight="1">
      <c r="A188" s="298" t="s">
        <v>110</v>
      </c>
      <c r="B188" s="298"/>
      <c r="C188" s="298"/>
      <c r="D188" s="298"/>
      <c r="E188" s="298"/>
      <c r="F188" s="298"/>
      <c r="G188" s="298"/>
      <c r="H188" s="298"/>
      <c r="I188" s="53">
        <f>I186+I187</f>
        <v>11891.909999999998</v>
      </c>
    </row>
    <row r="189" spans="1:9" ht="36.75" customHeight="1">
      <c r="A189" s="331" t="s">
        <v>111</v>
      </c>
      <c r="B189" s="331"/>
      <c r="C189" s="331"/>
      <c r="D189" s="331"/>
      <c r="E189" s="331"/>
      <c r="F189" s="331"/>
      <c r="G189" s="331"/>
      <c r="H189" s="331"/>
      <c r="I189" s="331"/>
    </row>
    <row r="190" spans="1:9" ht="7.5" customHeight="1">
      <c r="A190" s="300"/>
      <c r="B190" s="300"/>
      <c r="C190" s="300"/>
      <c r="D190" s="300"/>
      <c r="E190" s="300"/>
      <c r="F190" s="300"/>
      <c r="G190" s="300"/>
      <c r="H190" s="300"/>
      <c r="I190" s="300"/>
    </row>
    <row r="191" spans="1:13" ht="15" customHeight="1" hidden="1">
      <c r="A191" s="90"/>
      <c r="B191" s="90"/>
      <c r="C191" s="90"/>
      <c r="D191" s="90"/>
      <c r="E191" s="90"/>
      <c r="F191" s="90"/>
      <c r="G191" s="90"/>
      <c r="H191" s="91"/>
      <c r="I191" s="92"/>
      <c r="J191" s="83"/>
      <c r="K191" s="84"/>
      <c r="L191" s="85"/>
      <c r="M191" s="86"/>
    </row>
    <row r="192" spans="1:9" ht="31.5" customHeight="1">
      <c r="A192" s="301" t="s">
        <v>112</v>
      </c>
      <c r="B192" s="301"/>
      <c r="C192" s="301"/>
      <c r="D192" s="301"/>
      <c r="E192" s="301"/>
      <c r="F192" s="301"/>
      <c r="G192" s="301"/>
      <c r="H192" s="301"/>
      <c r="I192" s="301"/>
    </row>
    <row r="193" spans="1:256" ht="45" customHeight="1">
      <c r="A193" s="193" t="s">
        <v>113</v>
      </c>
      <c r="B193" s="193"/>
      <c r="C193" s="193"/>
      <c r="D193" s="193"/>
      <c r="E193" s="193" t="s">
        <v>114</v>
      </c>
      <c r="F193" s="193"/>
      <c r="G193" s="5" t="s">
        <v>115</v>
      </c>
      <c r="H193" s="193" t="s">
        <v>116</v>
      </c>
      <c r="I193" s="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3" customHeight="1">
      <c r="A194" s="222" t="s">
        <v>117</v>
      </c>
      <c r="B194" s="222"/>
      <c r="C194" s="222"/>
      <c r="D194" s="222"/>
      <c r="E194" s="302">
        <v>0</v>
      </c>
      <c r="F194" s="302"/>
      <c r="G194" s="87">
        <f>D194*E194</f>
        <v>0</v>
      </c>
      <c r="H194" s="302">
        <f aca="true" t="shared" si="0" ref="H194:H199">E194*G194</f>
        <v>0</v>
      </c>
      <c r="I194" s="302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42.75" customHeight="1">
      <c r="A195" s="222" t="s">
        <v>118</v>
      </c>
      <c r="B195" s="222"/>
      <c r="C195" s="222"/>
      <c r="D195" s="222"/>
      <c r="E195" s="302">
        <v>0</v>
      </c>
      <c r="F195" s="302"/>
      <c r="G195" s="87">
        <f>D195*E195</f>
        <v>0</v>
      </c>
      <c r="H195" s="302">
        <f t="shared" si="0"/>
        <v>0</v>
      </c>
      <c r="I195" s="302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41.25" customHeight="1">
      <c r="A196" s="303" t="s">
        <v>119</v>
      </c>
      <c r="B196" s="303"/>
      <c r="C196" s="303"/>
      <c r="D196" s="303"/>
      <c r="E196" s="304">
        <f>I188</f>
        <v>11891.909999999998</v>
      </c>
      <c r="F196" s="304"/>
      <c r="G196" s="88">
        <f>H17</f>
        <v>3</v>
      </c>
      <c r="H196" s="305">
        <f t="shared" si="0"/>
        <v>35675.729999999996</v>
      </c>
      <c r="I196" s="305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41.25" customHeight="1">
      <c r="A197" s="222" t="s">
        <v>120</v>
      </c>
      <c r="B197" s="222"/>
      <c r="C197" s="222"/>
      <c r="D197" s="222"/>
      <c r="E197" s="306">
        <v>0</v>
      </c>
      <c r="F197" s="306"/>
      <c r="G197" s="87">
        <f>D197*F197</f>
        <v>0</v>
      </c>
      <c r="H197" s="302">
        <f t="shared" si="0"/>
        <v>0</v>
      </c>
      <c r="I197" s="30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39.75" customHeight="1">
      <c r="A198" s="222" t="s">
        <v>121</v>
      </c>
      <c r="B198" s="222"/>
      <c r="C198" s="222"/>
      <c r="D198" s="222"/>
      <c r="E198" s="306">
        <v>0</v>
      </c>
      <c r="F198" s="306"/>
      <c r="G198" s="87">
        <f>D198*F198</f>
        <v>0</v>
      </c>
      <c r="H198" s="302">
        <f t="shared" si="0"/>
        <v>0</v>
      </c>
      <c r="I198" s="302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35.25" customHeight="1">
      <c r="A199" s="307" t="s">
        <v>122</v>
      </c>
      <c r="B199" s="307"/>
      <c r="C199" s="307"/>
      <c r="D199" s="307"/>
      <c r="E199" s="302">
        <v>0</v>
      </c>
      <c r="F199" s="302"/>
      <c r="G199" s="87">
        <f>D199*F199</f>
        <v>0</v>
      </c>
      <c r="H199" s="302">
        <f t="shared" si="0"/>
        <v>0</v>
      </c>
      <c r="I199" s="30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20.25" customHeight="1">
      <c r="A200" s="308" t="s">
        <v>123</v>
      </c>
      <c r="B200" s="308"/>
      <c r="C200" s="308"/>
      <c r="D200" s="308"/>
      <c r="E200" s="308"/>
      <c r="F200" s="308"/>
      <c r="G200" s="89">
        <f>SUM(G194:G199)</f>
        <v>3</v>
      </c>
      <c r="H200" s="309">
        <f>SUM(H194:I199)</f>
        <v>35675.729999999996</v>
      </c>
      <c r="I200" s="309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6.75" customHeight="1">
      <c r="A201" s="310"/>
      <c r="B201" s="310"/>
      <c r="C201" s="310"/>
      <c r="D201" s="310"/>
      <c r="E201" s="310"/>
      <c r="F201" s="310"/>
      <c r="G201" s="310"/>
      <c r="H201" s="310"/>
      <c r="I201" s="310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7.25" customHeight="1">
      <c r="A202" s="311" t="s">
        <v>124</v>
      </c>
      <c r="B202" s="311"/>
      <c r="C202" s="311"/>
      <c r="D202" s="311"/>
      <c r="E202" s="311"/>
      <c r="F202" s="311"/>
      <c r="G202" s="311"/>
      <c r="H202" s="311"/>
      <c r="I202" s="311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9" ht="6.75" customHeight="1">
      <c r="A203" s="312"/>
      <c r="B203" s="312"/>
      <c r="C203" s="312"/>
      <c r="D203" s="312"/>
      <c r="E203" s="312"/>
      <c r="F203" s="312"/>
      <c r="G203" s="312"/>
      <c r="H203" s="312"/>
      <c r="I203" s="312"/>
    </row>
    <row r="204" spans="1:9" ht="18.75" customHeight="1">
      <c r="A204" s="313" t="s">
        <v>125</v>
      </c>
      <c r="B204" s="313"/>
      <c r="C204" s="313"/>
      <c r="D204" s="313"/>
      <c r="E204" s="313"/>
      <c r="F204" s="313"/>
      <c r="G204" s="314">
        <f>$H$200</f>
        <v>35675.729999999996</v>
      </c>
      <c r="H204" s="314"/>
      <c r="I204" s="314"/>
    </row>
    <row r="205" spans="1:9" ht="8.25" customHeight="1">
      <c r="A205" s="315"/>
      <c r="B205" s="315"/>
      <c r="C205" s="315"/>
      <c r="D205" s="315"/>
      <c r="E205" s="315"/>
      <c r="F205" s="315"/>
      <c r="G205" s="315"/>
      <c r="H205" s="315"/>
      <c r="I205" s="315"/>
    </row>
    <row r="206" spans="1:9" ht="19.5" customHeight="1">
      <c r="A206" s="316" t="s">
        <v>126</v>
      </c>
      <c r="B206" s="316"/>
      <c r="C206" s="316"/>
      <c r="D206" s="316"/>
      <c r="E206" s="316"/>
      <c r="F206" s="316"/>
      <c r="G206" s="317">
        <f>$H$11</f>
        <v>12</v>
      </c>
      <c r="H206" s="317"/>
      <c r="I206" s="317"/>
    </row>
    <row r="207" spans="1:9" ht="8.25" customHeight="1">
      <c r="A207" s="318"/>
      <c r="B207" s="318"/>
      <c r="C207" s="318"/>
      <c r="D207" s="318"/>
      <c r="E207" s="318"/>
      <c r="F207" s="318"/>
      <c r="G207" s="318"/>
      <c r="H207" s="318"/>
      <c r="I207" s="318"/>
    </row>
    <row r="208" spans="1:9" ht="31.5" customHeight="1">
      <c r="A208" s="319" t="s">
        <v>127</v>
      </c>
      <c r="B208" s="319"/>
      <c r="C208" s="319"/>
      <c r="D208" s="319"/>
      <c r="E208" s="319"/>
      <c r="F208" s="319"/>
      <c r="G208" s="320">
        <f>ROUND(G204*G206,2)</f>
        <v>428108.76</v>
      </c>
      <c r="H208" s="320"/>
      <c r="I208" s="320"/>
    </row>
    <row r="209" spans="1:9" ht="8.25" customHeight="1">
      <c r="A209" s="321"/>
      <c r="B209" s="321"/>
      <c r="C209" s="321"/>
      <c r="D209" s="321"/>
      <c r="E209" s="321"/>
      <c r="F209" s="321"/>
      <c r="G209" s="321"/>
      <c r="H209" s="321"/>
      <c r="I209" s="321"/>
    </row>
    <row r="210" spans="1:9" ht="29.25" customHeight="1">
      <c r="A210" s="322" t="s">
        <v>254</v>
      </c>
      <c r="B210" s="322"/>
      <c r="C210" s="322"/>
      <c r="D210" s="322"/>
      <c r="E210" s="322"/>
      <c r="F210" s="322"/>
      <c r="G210" s="322"/>
      <c r="H210" s="322"/>
      <c r="I210" s="322"/>
    </row>
    <row r="211" spans="1:9" ht="12" customHeight="1">
      <c r="A211" s="323" t="s">
        <v>129</v>
      </c>
      <c r="B211" s="323"/>
      <c r="C211" s="323"/>
      <c r="D211" s="195" t="s">
        <v>130</v>
      </c>
      <c r="E211" s="195"/>
      <c r="F211" s="195"/>
      <c r="G211" s="195"/>
      <c r="H211" s="195"/>
      <c r="I211" s="195"/>
    </row>
    <row r="212" spans="1:9" ht="12">
      <c r="A212" s="323"/>
      <c r="B212" s="323"/>
      <c r="C212" s="323"/>
      <c r="D212" s="195"/>
      <c r="E212" s="195"/>
      <c r="F212" s="195"/>
      <c r="G212" s="195"/>
      <c r="H212" s="195"/>
      <c r="I212" s="195"/>
    </row>
    <row r="213" spans="1:9" ht="14.25" customHeight="1">
      <c r="A213" s="324" t="s">
        <v>131</v>
      </c>
      <c r="B213" s="324"/>
      <c r="C213" s="324"/>
      <c r="D213" s="325"/>
      <c r="E213" s="325"/>
      <c r="F213" s="325"/>
      <c r="G213" s="325"/>
      <c r="H213" s="325"/>
      <c r="I213" s="325"/>
    </row>
    <row r="214" spans="1:9" ht="12.75" customHeight="1">
      <c r="A214" s="324"/>
      <c r="B214" s="324"/>
      <c r="C214" s="324"/>
      <c r="D214" s="325"/>
      <c r="E214" s="325"/>
      <c r="F214" s="325"/>
      <c r="G214" s="325"/>
      <c r="H214" s="325"/>
      <c r="I214" s="325"/>
    </row>
    <row r="215" spans="1:9" ht="12.75" customHeight="1">
      <c r="A215" s="326"/>
      <c r="B215" s="326"/>
      <c r="C215" s="326"/>
      <c r="D215" s="325"/>
      <c r="E215" s="325"/>
      <c r="F215" s="325"/>
      <c r="G215" s="325"/>
      <c r="H215" s="325"/>
      <c r="I215" s="325"/>
    </row>
    <row r="216" spans="1:9" ht="15" customHeight="1">
      <c r="A216" s="327"/>
      <c r="B216" s="327"/>
      <c r="C216" s="327"/>
      <c r="D216" s="327"/>
      <c r="E216" s="327"/>
      <c r="F216" s="327"/>
      <c r="G216" s="327"/>
      <c r="H216" s="327"/>
      <c r="I216" s="327"/>
    </row>
    <row r="217" spans="1:9" ht="12" hidden="1">
      <c r="A217" s="327"/>
      <c r="B217" s="327"/>
      <c r="C217" s="327"/>
      <c r="D217" s="327"/>
      <c r="E217" s="327"/>
      <c r="F217" s="327"/>
      <c r="G217" s="327"/>
      <c r="H217" s="327"/>
      <c r="I217" s="327"/>
    </row>
    <row r="218" spans="1:9" ht="27" customHeight="1">
      <c r="A218" s="328" t="s">
        <v>132</v>
      </c>
      <c r="B218" s="328"/>
      <c r="C218" s="328"/>
      <c r="D218" s="328"/>
      <c r="E218" s="328"/>
      <c r="F218" s="328"/>
      <c r="G218" s="328"/>
      <c r="H218" s="328"/>
      <c r="I218" s="328"/>
    </row>
    <row r="219" spans="1:9" ht="12.75" customHeight="1">
      <c r="A219" s="195" t="s">
        <v>133</v>
      </c>
      <c r="B219" s="195"/>
      <c r="C219" s="195"/>
      <c r="D219" s="195"/>
      <c r="E219" s="195"/>
      <c r="F219" s="195"/>
      <c r="G219" s="195"/>
      <c r="H219" s="195" t="s">
        <v>134</v>
      </c>
      <c r="I219" s="195"/>
    </row>
    <row r="220" spans="1:9" ht="15" customHeight="1">
      <c r="A220" s="329"/>
      <c r="B220" s="329"/>
      <c r="C220" s="329"/>
      <c r="D220" s="329"/>
      <c r="E220" s="329"/>
      <c r="F220" s="329"/>
      <c r="G220" s="329"/>
      <c r="H220" s="195"/>
      <c r="I220" s="195"/>
    </row>
    <row r="221" spans="1:9" ht="12.75" customHeight="1">
      <c r="A221" s="324"/>
      <c r="B221" s="324"/>
      <c r="C221" s="324"/>
      <c r="D221" s="324"/>
      <c r="E221" s="324"/>
      <c r="F221" s="324"/>
      <c r="G221" s="324"/>
      <c r="H221" s="195"/>
      <c r="I221" s="195"/>
    </row>
    <row r="222" spans="1:9" ht="12.75" customHeight="1">
      <c r="A222" s="326"/>
      <c r="B222" s="326"/>
      <c r="C222" s="326"/>
      <c r="D222" s="326"/>
      <c r="E222" s="326"/>
      <c r="F222" s="326"/>
      <c r="G222" s="326"/>
      <c r="H222" s="195"/>
      <c r="I222" s="195"/>
    </row>
    <row r="232" ht="12.75" customHeight="1"/>
  </sheetData>
  <sheetProtection/>
  <mergeCells count="309">
    <mergeCell ref="A6:I6"/>
    <mergeCell ref="A7:I7"/>
    <mergeCell ref="A2:I2"/>
    <mergeCell ref="A3:I3"/>
    <mergeCell ref="A4:E4"/>
    <mergeCell ref="F4:I4"/>
    <mergeCell ref="A5:E5"/>
    <mergeCell ref="F5:I5"/>
    <mergeCell ref="H8:I8"/>
    <mergeCell ref="B9:G9"/>
    <mergeCell ref="H9:I9"/>
    <mergeCell ref="B10:G10"/>
    <mergeCell ref="H10:I10"/>
    <mergeCell ref="B8:G8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3:I23"/>
    <mergeCell ref="A24:I24"/>
    <mergeCell ref="A25:I25"/>
    <mergeCell ref="A26:I26"/>
    <mergeCell ref="A20:G20"/>
    <mergeCell ref="H20:I20"/>
    <mergeCell ref="A21:I21"/>
    <mergeCell ref="A22:I22"/>
    <mergeCell ref="AO26:AV26"/>
    <mergeCell ref="AW26:BD26"/>
    <mergeCell ref="BE26:BL26"/>
    <mergeCell ref="BM26:BT26"/>
    <mergeCell ref="J26:P26"/>
    <mergeCell ref="Q26:X26"/>
    <mergeCell ref="Y26:AF26"/>
    <mergeCell ref="AG26:AN26"/>
    <mergeCell ref="DA26:DH26"/>
    <mergeCell ref="DI26:DP26"/>
    <mergeCell ref="DQ26:DX26"/>
    <mergeCell ref="DY26:EF26"/>
    <mergeCell ref="BU26:CB26"/>
    <mergeCell ref="CC26:CJ26"/>
    <mergeCell ref="CK26:CR26"/>
    <mergeCell ref="CS26:CZ26"/>
    <mergeCell ref="FU26:GB26"/>
    <mergeCell ref="GC26:GJ26"/>
    <mergeCell ref="GK26:GR26"/>
    <mergeCell ref="EG26:EN26"/>
    <mergeCell ref="EO26:EV26"/>
    <mergeCell ref="EW26:FD26"/>
    <mergeCell ref="FE26:FL26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B30:G30"/>
    <mergeCell ref="H30:I30"/>
    <mergeCell ref="B31:G31"/>
    <mergeCell ref="H31:I31"/>
    <mergeCell ref="B28:G28"/>
    <mergeCell ref="H28:I28"/>
    <mergeCell ref="B29:G29"/>
    <mergeCell ref="H29:I29"/>
    <mergeCell ref="B34:G34"/>
    <mergeCell ref="H34:I34"/>
    <mergeCell ref="B35:G35"/>
    <mergeCell ref="H35:I35"/>
    <mergeCell ref="B32:G32"/>
    <mergeCell ref="H32:I32"/>
    <mergeCell ref="B33:G33"/>
    <mergeCell ref="H33:I33"/>
    <mergeCell ref="B38:G38"/>
    <mergeCell ref="H38:I38"/>
    <mergeCell ref="B39:G39"/>
    <mergeCell ref="H39:I39"/>
    <mergeCell ref="B36:G36"/>
    <mergeCell ref="H36:I36"/>
    <mergeCell ref="B37:G37"/>
    <mergeCell ref="H37:I37"/>
    <mergeCell ref="A43:I43"/>
    <mergeCell ref="A44:I44"/>
    <mergeCell ref="B45:G45"/>
    <mergeCell ref="B46:H46"/>
    <mergeCell ref="B40:G40"/>
    <mergeCell ref="H40:I40"/>
    <mergeCell ref="A41:I41"/>
    <mergeCell ref="A42:I42"/>
    <mergeCell ref="B51:H51"/>
    <mergeCell ref="B52:H52"/>
    <mergeCell ref="A53:H53"/>
    <mergeCell ref="A54:I54"/>
    <mergeCell ref="B47:G47"/>
    <mergeCell ref="B48:H48"/>
    <mergeCell ref="B49:H49"/>
    <mergeCell ref="B50:H50"/>
    <mergeCell ref="B59:H59"/>
    <mergeCell ref="B60:H60"/>
    <mergeCell ref="B61:H61"/>
    <mergeCell ref="A62:H62"/>
    <mergeCell ref="A55:I55"/>
    <mergeCell ref="A56:I56"/>
    <mergeCell ref="A57:I57"/>
    <mergeCell ref="A58:I58"/>
    <mergeCell ref="B67:G67"/>
    <mergeCell ref="B68:G68"/>
    <mergeCell ref="B69:G69"/>
    <mergeCell ref="B70:C70"/>
    <mergeCell ref="A63:I63"/>
    <mergeCell ref="A64:I64"/>
    <mergeCell ref="A65:I65"/>
    <mergeCell ref="A66:I66"/>
    <mergeCell ref="B75:G75"/>
    <mergeCell ref="A76:G76"/>
    <mergeCell ref="A78:I78"/>
    <mergeCell ref="A79:I79"/>
    <mergeCell ref="B71:G71"/>
    <mergeCell ref="B72:G72"/>
    <mergeCell ref="B73:G73"/>
    <mergeCell ref="B74:G74"/>
    <mergeCell ref="B83:G83"/>
    <mergeCell ref="B84:G84"/>
    <mergeCell ref="B85:G85"/>
    <mergeCell ref="B86:G86"/>
    <mergeCell ref="A80:I80"/>
    <mergeCell ref="B81:H81"/>
    <mergeCell ref="B82:H82"/>
    <mergeCell ref="B91:H91"/>
    <mergeCell ref="B92:H92"/>
    <mergeCell ref="B93:H93"/>
    <mergeCell ref="B94:H94"/>
    <mergeCell ref="B87:H87"/>
    <mergeCell ref="B88:G88"/>
    <mergeCell ref="B89:G89"/>
    <mergeCell ref="B90:G90"/>
    <mergeCell ref="A99:I99"/>
    <mergeCell ref="B100:H100"/>
    <mergeCell ref="B101:H101"/>
    <mergeCell ref="B102:H102"/>
    <mergeCell ref="B95:H95"/>
    <mergeCell ref="A96:I96"/>
    <mergeCell ref="A97:I97"/>
    <mergeCell ref="A98:I98"/>
    <mergeCell ref="B107:H107"/>
    <mergeCell ref="B108:H108"/>
    <mergeCell ref="B109:H109"/>
    <mergeCell ref="B110:H110"/>
    <mergeCell ref="B103:H103"/>
    <mergeCell ref="A104:H104"/>
    <mergeCell ref="A105:I105"/>
    <mergeCell ref="A106:I106"/>
    <mergeCell ref="A115:I115"/>
    <mergeCell ref="A116:I116"/>
    <mergeCell ref="A117:I117"/>
    <mergeCell ref="A118:I118"/>
    <mergeCell ref="B111:H111"/>
    <mergeCell ref="B112:H112"/>
    <mergeCell ref="B113:H113"/>
    <mergeCell ref="A114:H114"/>
    <mergeCell ref="B124:H124"/>
    <mergeCell ref="B125:H125"/>
    <mergeCell ref="B126:H126"/>
    <mergeCell ref="B127:H127"/>
    <mergeCell ref="A120:I120"/>
    <mergeCell ref="B122:H122"/>
    <mergeCell ref="B123:H123"/>
    <mergeCell ref="A121:E121"/>
    <mergeCell ref="F121:G121"/>
    <mergeCell ref="A130:I130"/>
    <mergeCell ref="A131:I131"/>
    <mergeCell ref="B132:H132"/>
    <mergeCell ref="B140:H140"/>
    <mergeCell ref="B137:H137"/>
    <mergeCell ref="B128:H128"/>
    <mergeCell ref="A129:H129"/>
    <mergeCell ref="B147:H147"/>
    <mergeCell ref="B148:H148"/>
    <mergeCell ref="B141:H141"/>
    <mergeCell ref="B142:H142"/>
    <mergeCell ref="A143:H143"/>
    <mergeCell ref="A144:I144"/>
    <mergeCell ref="B149:H149"/>
    <mergeCell ref="A150:H150"/>
    <mergeCell ref="B133:H133"/>
    <mergeCell ref="B134:H134"/>
    <mergeCell ref="B135:H135"/>
    <mergeCell ref="B136:H136"/>
    <mergeCell ref="A138:H138"/>
    <mergeCell ref="A139:I139"/>
    <mergeCell ref="A145:I145"/>
    <mergeCell ref="B146:H146"/>
    <mergeCell ref="A156:G156"/>
    <mergeCell ref="B157:G157"/>
    <mergeCell ref="A158:G158"/>
    <mergeCell ref="B159:G159"/>
    <mergeCell ref="A151:I151"/>
    <mergeCell ref="A152:I152"/>
    <mergeCell ref="A154:I154"/>
    <mergeCell ref="B155:G155"/>
    <mergeCell ref="B164:G164"/>
    <mergeCell ref="B165:G165"/>
    <mergeCell ref="B166:G166"/>
    <mergeCell ref="B167:G167"/>
    <mergeCell ref="A160:G160"/>
    <mergeCell ref="B161:G161"/>
    <mergeCell ref="B162:G162"/>
    <mergeCell ref="B163:G163"/>
    <mergeCell ref="A172:G172"/>
    <mergeCell ref="A173:B175"/>
    <mergeCell ref="C173:I173"/>
    <mergeCell ref="C174:I174"/>
    <mergeCell ref="C175:I175"/>
    <mergeCell ref="B168:G168"/>
    <mergeCell ref="B169:G169"/>
    <mergeCell ref="A170:H170"/>
    <mergeCell ref="A171:I171"/>
    <mergeCell ref="A180:H180"/>
    <mergeCell ref="B181:H181"/>
    <mergeCell ref="B182:H182"/>
    <mergeCell ref="B183:H183"/>
    <mergeCell ref="A176:I176"/>
    <mergeCell ref="A177:I177"/>
    <mergeCell ref="A178:I178"/>
    <mergeCell ref="A179:I179"/>
    <mergeCell ref="A188:H188"/>
    <mergeCell ref="A189:I189"/>
    <mergeCell ref="A190:I190"/>
    <mergeCell ref="A192:I192"/>
    <mergeCell ref="B184:H184"/>
    <mergeCell ref="B185:H185"/>
    <mergeCell ref="A186:H186"/>
    <mergeCell ref="B187:H187"/>
    <mergeCell ref="A193:D193"/>
    <mergeCell ref="E193:F193"/>
    <mergeCell ref="H193:I193"/>
    <mergeCell ref="A194:D194"/>
    <mergeCell ref="E194:F194"/>
    <mergeCell ref="H194:I194"/>
    <mergeCell ref="H198:I198"/>
    <mergeCell ref="A195:D195"/>
    <mergeCell ref="E195:F195"/>
    <mergeCell ref="H195:I195"/>
    <mergeCell ref="A196:D196"/>
    <mergeCell ref="E196:F196"/>
    <mergeCell ref="H196:I196"/>
    <mergeCell ref="A199:D199"/>
    <mergeCell ref="E199:F199"/>
    <mergeCell ref="H199:I199"/>
    <mergeCell ref="A200:F200"/>
    <mergeCell ref="H200:I200"/>
    <mergeCell ref="A197:D197"/>
    <mergeCell ref="E197:F197"/>
    <mergeCell ref="H197:I197"/>
    <mergeCell ref="A198:D198"/>
    <mergeCell ref="E198:F198"/>
    <mergeCell ref="A205:I205"/>
    <mergeCell ref="A206:F206"/>
    <mergeCell ref="G206:I206"/>
    <mergeCell ref="A207:I207"/>
    <mergeCell ref="A201:I201"/>
    <mergeCell ref="A202:I202"/>
    <mergeCell ref="A203:I203"/>
    <mergeCell ref="A204:F204"/>
    <mergeCell ref="G204:I204"/>
    <mergeCell ref="A211:C212"/>
    <mergeCell ref="D211:I212"/>
    <mergeCell ref="A213:C213"/>
    <mergeCell ref="D213:I213"/>
    <mergeCell ref="A208:F208"/>
    <mergeCell ref="G208:I208"/>
    <mergeCell ref="A209:I209"/>
    <mergeCell ref="A210:I210"/>
    <mergeCell ref="A218:I218"/>
    <mergeCell ref="A219:G219"/>
    <mergeCell ref="H219:I219"/>
    <mergeCell ref="A214:C214"/>
    <mergeCell ref="D214:I214"/>
    <mergeCell ref="A215:C215"/>
    <mergeCell ref="D215:I215"/>
    <mergeCell ref="A216:I217"/>
    <mergeCell ref="A222:G222"/>
    <mergeCell ref="H222:I222"/>
    <mergeCell ref="A220:G220"/>
    <mergeCell ref="H220:I220"/>
    <mergeCell ref="A221:G221"/>
    <mergeCell ref="H221:I221"/>
  </mergeCells>
  <printOptions/>
  <pageMargins left="0.787401575" right="0.787401575" top="0.984251969" bottom="0.984251969" header="0.492125985" footer="0.492125985"/>
  <pageSetup horizontalDpi="600" verticalDpi="600" orientation="portrait" paperSize="9" scale="79" r:id="rId1"/>
  <rowBreaks count="1" manualBreakCount="1">
    <brk id="43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V187"/>
  <sheetViews>
    <sheetView tabSelected="1" zoomScaleSheetLayoutView="130" zoomScalePageLayoutView="0" workbookViewId="0" topLeftCell="A73">
      <selection activeCell="I131" sqref="I131"/>
    </sheetView>
  </sheetViews>
  <sheetFormatPr defaultColWidth="9.140625" defaultRowHeight="12.75"/>
  <cols>
    <col min="1" max="1" width="12.8515625" style="1" customWidth="1"/>
    <col min="2" max="2" width="11.140625" style="1" customWidth="1"/>
    <col min="3" max="3" width="20.57421875" style="1" customWidth="1"/>
    <col min="4" max="4" width="14.28125" style="1" customWidth="1"/>
    <col min="5" max="5" width="14.00390625" style="1" customWidth="1"/>
    <col min="6" max="6" width="15.28125" style="1" customWidth="1"/>
    <col min="7" max="7" width="12.8515625" style="1" customWidth="1"/>
    <col min="8" max="8" width="14.421875" style="4" customWidth="1"/>
    <col min="9" max="9" width="16.421875" style="169" customWidth="1"/>
    <col min="10" max="10" width="9.140625" style="1" customWidth="1"/>
    <col min="11" max="11" width="5.8515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41.25" customHeight="1">
      <c r="A2" s="185" t="s">
        <v>342</v>
      </c>
      <c r="B2" s="185"/>
      <c r="C2" s="185"/>
      <c r="D2" s="185"/>
      <c r="E2" s="185"/>
      <c r="F2" s="185"/>
      <c r="G2" s="185"/>
      <c r="H2" s="185"/>
      <c r="I2" s="185"/>
    </row>
    <row r="3" spans="1:9" ht="46.5" customHeight="1">
      <c r="A3" s="186" t="s">
        <v>328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349</v>
      </c>
      <c r="B4" s="187"/>
      <c r="C4" s="187"/>
      <c r="D4" s="187"/>
      <c r="E4" s="187"/>
      <c r="F4" s="352" t="s">
        <v>340</v>
      </c>
      <c r="G4" s="353"/>
      <c r="H4" s="353"/>
      <c r="I4" s="354"/>
    </row>
    <row r="5" spans="1:9" ht="19.5" customHeight="1">
      <c r="A5" s="187" t="s">
        <v>350</v>
      </c>
      <c r="B5" s="187"/>
      <c r="C5" s="187"/>
      <c r="D5" s="187"/>
      <c r="E5" s="187"/>
      <c r="F5" s="355"/>
      <c r="G5" s="356"/>
      <c r="H5" s="356"/>
      <c r="I5" s="357"/>
    </row>
    <row r="6" spans="1:9" ht="14.25" customHeight="1">
      <c r="A6" s="254" t="s">
        <v>327</v>
      </c>
      <c r="B6" s="297"/>
      <c r="C6" s="297"/>
      <c r="D6" s="297"/>
      <c r="E6" s="361"/>
      <c r="F6" s="358"/>
      <c r="G6" s="359"/>
      <c r="H6" s="359"/>
      <c r="I6" s="360"/>
    </row>
    <row r="7" spans="1:9" ht="20.25" customHeight="1">
      <c r="A7" s="189" t="s">
        <v>291</v>
      </c>
      <c r="B7" s="189"/>
      <c r="C7" s="189"/>
      <c r="D7" s="189"/>
      <c r="E7" s="189"/>
      <c r="F7" s="189"/>
      <c r="G7" s="189"/>
      <c r="H7" s="189"/>
      <c r="I7" s="189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/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326</v>
      </c>
      <c r="I9" s="188"/>
    </row>
    <row r="10" spans="1:9" ht="12.75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11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  <c r="K11" s="4"/>
    </row>
    <row r="12" spans="1:9" ht="15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2.75" customHeight="1">
      <c r="A14" s="365" t="s">
        <v>311</v>
      </c>
      <c r="B14" s="365"/>
      <c r="C14" s="365"/>
      <c r="D14" s="365"/>
      <c r="E14" s="365"/>
      <c r="F14" s="366" t="s">
        <v>307</v>
      </c>
      <c r="G14" s="366"/>
      <c r="H14" s="367">
        <v>2</v>
      </c>
      <c r="I14" s="367"/>
    </row>
    <row r="15" spans="1:9" ht="12.75" customHeight="1">
      <c r="A15" s="368" t="s">
        <v>314</v>
      </c>
      <c r="B15" s="368"/>
      <c r="C15" s="368"/>
      <c r="D15" s="368"/>
      <c r="E15" s="368"/>
      <c r="F15" s="368"/>
      <c r="G15" s="368"/>
      <c r="H15" s="369">
        <f>SUM(H14:H14)</f>
        <v>2</v>
      </c>
      <c r="I15" s="369"/>
    </row>
    <row r="16" spans="1:12" ht="51.75" customHeight="1">
      <c r="A16" s="370" t="s">
        <v>315</v>
      </c>
      <c r="B16" s="370"/>
      <c r="C16" s="370"/>
      <c r="D16" s="370"/>
      <c r="E16" s="370"/>
      <c r="F16" s="370"/>
      <c r="G16" s="370"/>
      <c r="H16" s="370"/>
      <c r="I16" s="370"/>
      <c r="J16" s="6"/>
      <c r="K16" s="7"/>
      <c r="L16" s="8"/>
    </row>
    <row r="17" spans="1:12" ht="12.75" customHeight="1">
      <c r="A17" s="371"/>
      <c r="B17" s="371"/>
      <c r="C17" s="371"/>
      <c r="D17" s="371"/>
      <c r="E17" s="371"/>
      <c r="F17" s="371"/>
      <c r="G17" s="371"/>
      <c r="H17" s="371"/>
      <c r="I17" s="371"/>
      <c r="J17" s="6"/>
      <c r="K17" s="7"/>
      <c r="L17" s="8"/>
    </row>
    <row r="18" spans="1:12" ht="58.5" customHeight="1">
      <c r="A18" s="372" t="s">
        <v>316</v>
      </c>
      <c r="B18" s="372"/>
      <c r="C18" s="372"/>
      <c r="D18" s="372"/>
      <c r="E18" s="372"/>
      <c r="F18" s="372"/>
      <c r="G18" s="372"/>
      <c r="H18" s="372"/>
      <c r="I18" s="372"/>
      <c r="J18" s="6"/>
      <c r="K18" s="7"/>
      <c r="L18" s="8"/>
    </row>
    <row r="19" spans="1:12" ht="15">
      <c r="A19" s="373"/>
      <c r="B19" s="373"/>
      <c r="C19" s="373"/>
      <c r="D19" s="373"/>
      <c r="E19" s="373"/>
      <c r="F19" s="373"/>
      <c r="G19" s="373"/>
      <c r="H19" s="373"/>
      <c r="I19" s="373"/>
      <c r="J19" s="6"/>
      <c r="K19" s="7"/>
      <c r="L19" s="8"/>
    </row>
    <row r="20" spans="1:256" s="9" customFormat="1" ht="21.75" customHeight="1">
      <c r="A20" s="374" t="s">
        <v>281</v>
      </c>
      <c r="B20" s="374"/>
      <c r="C20" s="374"/>
      <c r="D20" s="374"/>
      <c r="E20" s="374"/>
      <c r="F20" s="374"/>
      <c r="G20" s="374"/>
      <c r="H20" s="374"/>
      <c r="I20" s="374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</row>
    <row r="21" spans="1:9" ht="27" customHeight="1">
      <c r="A21" s="3">
        <v>1</v>
      </c>
      <c r="B21" s="187" t="s">
        <v>317</v>
      </c>
      <c r="C21" s="187"/>
      <c r="D21" s="187"/>
      <c r="E21" s="187"/>
      <c r="F21" s="187"/>
      <c r="G21" s="187"/>
      <c r="H21" s="207" t="s">
        <v>318</v>
      </c>
      <c r="I21" s="207"/>
    </row>
    <row r="22" spans="1:9" ht="19.5" customHeight="1">
      <c r="A22" s="10">
        <v>2</v>
      </c>
      <c r="B22" s="208" t="s">
        <v>319</v>
      </c>
      <c r="C22" s="208"/>
      <c r="D22" s="208"/>
      <c r="E22" s="208"/>
      <c r="F22" s="208"/>
      <c r="G22" s="208"/>
      <c r="H22" s="209" t="s">
        <v>0</v>
      </c>
      <c r="I22" s="209"/>
    </row>
    <row r="23" spans="1:9" ht="15.75" customHeight="1">
      <c r="A23" s="3">
        <v>3</v>
      </c>
      <c r="B23" s="187" t="s">
        <v>1</v>
      </c>
      <c r="C23" s="187"/>
      <c r="D23" s="187"/>
      <c r="E23" s="187"/>
      <c r="F23" s="187"/>
      <c r="G23" s="187"/>
      <c r="H23" s="375">
        <v>1500.4</v>
      </c>
      <c r="I23" s="375"/>
    </row>
    <row r="24" spans="1:9" ht="15.75" customHeight="1">
      <c r="A24" s="3">
        <v>4</v>
      </c>
      <c r="B24" s="187" t="s">
        <v>2</v>
      </c>
      <c r="C24" s="187"/>
      <c r="D24" s="187"/>
      <c r="E24" s="187"/>
      <c r="F24" s="187"/>
      <c r="G24" s="187"/>
      <c r="H24" s="211" t="s">
        <v>3</v>
      </c>
      <c r="I24" s="211"/>
    </row>
    <row r="25" spans="1:9" ht="15.75" customHeight="1">
      <c r="A25" s="3">
        <v>5</v>
      </c>
      <c r="B25" s="187" t="s">
        <v>4</v>
      </c>
      <c r="C25" s="187"/>
      <c r="D25" s="187"/>
      <c r="E25" s="187"/>
      <c r="F25" s="187"/>
      <c r="G25" s="187"/>
      <c r="H25" s="212" t="s">
        <v>148</v>
      </c>
      <c r="I25" s="212"/>
    </row>
    <row r="26" spans="1:256" ht="27" customHeight="1">
      <c r="A26" s="11">
        <v>6</v>
      </c>
      <c r="B26" s="213" t="s">
        <v>5</v>
      </c>
      <c r="C26" s="213"/>
      <c r="D26" s="213"/>
      <c r="E26" s="213"/>
      <c r="F26" s="213"/>
      <c r="G26" s="213"/>
      <c r="H26" s="214">
        <f>ROUND((H23/220),2)</f>
        <v>6.82</v>
      </c>
      <c r="I26" s="21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 s="11">
        <v>7</v>
      </c>
      <c r="B27" s="213" t="s">
        <v>6</v>
      </c>
      <c r="C27" s="213"/>
      <c r="D27" s="213"/>
      <c r="E27" s="213"/>
      <c r="F27" s="213"/>
      <c r="G27" s="213"/>
      <c r="H27" s="215">
        <f>ROUND(H26*1.5,2)</f>
        <v>10.23</v>
      </c>
      <c r="I27" s="21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>
      <c r="A28" s="11">
        <v>8</v>
      </c>
      <c r="B28" s="213" t="s">
        <v>7</v>
      </c>
      <c r="C28" s="213"/>
      <c r="D28" s="213"/>
      <c r="E28" s="213"/>
      <c r="F28" s="213"/>
      <c r="G28" s="213"/>
      <c r="H28" s="214">
        <f>ROUND(H26*0.2,2)</f>
        <v>1.36</v>
      </c>
      <c r="I28" s="21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11">
        <v>9</v>
      </c>
      <c r="B29" s="213" t="s">
        <v>283</v>
      </c>
      <c r="C29" s="213"/>
      <c r="D29" s="213"/>
      <c r="E29" s="213"/>
      <c r="F29" s="213"/>
      <c r="G29" s="213"/>
      <c r="H29" s="214">
        <f>ROUND(H26/6,2)</f>
        <v>1.14</v>
      </c>
      <c r="I29" s="21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1">
        <v>10</v>
      </c>
      <c r="B30" s="216" t="s">
        <v>8</v>
      </c>
      <c r="C30" s="216"/>
      <c r="D30" s="216"/>
      <c r="E30" s="216"/>
      <c r="F30" s="216"/>
      <c r="G30" s="216"/>
      <c r="H30" s="217">
        <v>2</v>
      </c>
      <c r="I30" s="21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9" ht="12.75">
      <c r="A31" s="376"/>
      <c r="B31" s="376"/>
      <c r="C31" s="376"/>
      <c r="D31" s="376"/>
      <c r="E31" s="376"/>
      <c r="F31" s="376"/>
      <c r="G31" s="376"/>
      <c r="H31" s="376"/>
      <c r="I31" s="376"/>
    </row>
    <row r="32" spans="1:9" ht="27" customHeight="1">
      <c r="A32" s="218" t="s">
        <v>9</v>
      </c>
      <c r="B32" s="218"/>
      <c r="C32" s="218"/>
      <c r="D32" s="218"/>
      <c r="E32" s="218"/>
      <c r="F32" s="218"/>
      <c r="G32" s="218"/>
      <c r="H32" s="218"/>
      <c r="I32" s="218"/>
    </row>
    <row r="33" spans="1:9" ht="12.75">
      <c r="A33" s="380"/>
      <c r="B33" s="380"/>
      <c r="C33" s="380"/>
      <c r="D33" s="380"/>
      <c r="E33" s="380"/>
      <c r="F33" s="380"/>
      <c r="G33" s="380"/>
      <c r="H33" s="380"/>
      <c r="I33" s="380"/>
    </row>
    <row r="34" spans="1:9" ht="20.25" customHeight="1">
      <c r="A34" s="220" t="s">
        <v>10</v>
      </c>
      <c r="B34" s="220"/>
      <c r="C34" s="220"/>
      <c r="D34" s="220"/>
      <c r="E34" s="220"/>
      <c r="F34" s="220"/>
      <c r="G34" s="220"/>
      <c r="H34" s="220"/>
      <c r="I34" s="220"/>
    </row>
    <row r="35" spans="1:9" s="15" customFormat="1" ht="15">
      <c r="A35" s="12">
        <v>1</v>
      </c>
      <c r="B35" s="221" t="s">
        <v>11</v>
      </c>
      <c r="C35" s="221"/>
      <c r="D35" s="221"/>
      <c r="E35" s="221"/>
      <c r="F35" s="221"/>
      <c r="G35" s="221"/>
      <c r="H35" s="14" t="s">
        <v>12</v>
      </c>
      <c r="I35" s="12" t="s">
        <v>344</v>
      </c>
    </row>
    <row r="36" spans="1:9" ht="12.75">
      <c r="A36" s="3" t="s">
        <v>292</v>
      </c>
      <c r="B36" s="187" t="s">
        <v>14</v>
      </c>
      <c r="C36" s="187"/>
      <c r="D36" s="187"/>
      <c r="E36" s="187"/>
      <c r="F36" s="187"/>
      <c r="G36" s="187"/>
      <c r="H36" s="187"/>
      <c r="I36" s="18">
        <f>H23*2</f>
        <v>3000.8</v>
      </c>
    </row>
    <row r="37" spans="1:9" ht="12.75">
      <c r="A37" s="3" t="s">
        <v>294</v>
      </c>
      <c r="B37" s="254" t="s">
        <v>332</v>
      </c>
      <c r="C37" s="254"/>
      <c r="D37" s="254"/>
      <c r="E37" s="254"/>
      <c r="F37" s="254"/>
      <c r="G37" s="254"/>
      <c r="H37" s="254"/>
      <c r="I37" s="18">
        <v>0</v>
      </c>
    </row>
    <row r="38" spans="1:9" ht="12.75">
      <c r="A38" s="3" t="s">
        <v>297</v>
      </c>
      <c r="B38" s="223" t="s">
        <v>333</v>
      </c>
      <c r="C38" s="224"/>
      <c r="D38" s="224"/>
      <c r="E38" s="224"/>
      <c r="F38" s="224"/>
      <c r="G38" s="224"/>
      <c r="H38" s="225"/>
      <c r="I38" s="18">
        <v>0</v>
      </c>
    </row>
    <row r="39" spans="1:9" ht="29.25" customHeight="1">
      <c r="A39" s="3" t="s">
        <v>300</v>
      </c>
      <c r="B39" s="223" t="s">
        <v>335</v>
      </c>
      <c r="C39" s="224"/>
      <c r="D39" s="224"/>
      <c r="E39" s="224"/>
      <c r="F39" s="224"/>
      <c r="G39" s="224"/>
      <c r="H39" s="225"/>
      <c r="I39" s="18">
        <f>ROUND(H29*H30*15,2)</f>
        <v>34.2</v>
      </c>
    </row>
    <row r="40" spans="1:9" ht="12.75">
      <c r="A40" s="124" t="s">
        <v>16</v>
      </c>
      <c r="B40" s="381" t="s">
        <v>331</v>
      </c>
      <c r="C40" s="382"/>
      <c r="D40" s="382"/>
      <c r="E40" s="382"/>
      <c r="F40" s="382"/>
      <c r="G40" s="382"/>
      <c r="H40" s="383"/>
      <c r="I40" s="156">
        <v>0</v>
      </c>
    </row>
    <row r="41" spans="1:9" ht="12.75">
      <c r="A41" s="3" t="s">
        <v>18</v>
      </c>
      <c r="B41" s="222" t="s">
        <v>17</v>
      </c>
      <c r="C41" s="222"/>
      <c r="D41" s="222"/>
      <c r="E41" s="222"/>
      <c r="F41" s="222"/>
      <c r="G41" s="222"/>
      <c r="H41" s="17">
        <v>0.3</v>
      </c>
      <c r="I41" s="18">
        <f>ROUND(H41*SUM(I36:I40),2)</f>
        <v>910.5</v>
      </c>
    </row>
    <row r="42" spans="1:9" ht="12.75">
      <c r="A42" s="3" t="s">
        <v>20</v>
      </c>
      <c r="B42" s="187" t="s">
        <v>19</v>
      </c>
      <c r="C42" s="187"/>
      <c r="D42" s="187"/>
      <c r="E42" s="187"/>
      <c r="F42" s="187"/>
      <c r="G42" s="187"/>
      <c r="H42" s="187"/>
      <c r="I42" s="18" t="s">
        <v>308</v>
      </c>
    </row>
    <row r="43" spans="1:9" ht="27.75" customHeight="1">
      <c r="A43" s="377" t="s">
        <v>161</v>
      </c>
      <c r="B43" s="378"/>
      <c r="C43" s="378"/>
      <c r="D43" s="378"/>
      <c r="E43" s="378"/>
      <c r="F43" s="378"/>
      <c r="G43" s="378"/>
      <c r="H43" s="379"/>
      <c r="I43" s="157">
        <f>SUM(I36:I42)</f>
        <v>3945.5</v>
      </c>
    </row>
    <row r="44" spans="1:9" ht="12.75">
      <c r="A44" s="362"/>
      <c r="B44" s="363"/>
      <c r="C44" s="363"/>
      <c r="D44" s="363"/>
      <c r="E44" s="363"/>
      <c r="F44" s="363"/>
      <c r="G44" s="363"/>
      <c r="H44" s="364"/>
      <c r="I44" s="179"/>
    </row>
    <row r="45" spans="1:12" ht="29.25" customHeight="1">
      <c r="A45" s="124" t="s">
        <v>22</v>
      </c>
      <c r="B45" s="384" t="s">
        <v>336</v>
      </c>
      <c r="C45" s="384"/>
      <c r="D45" s="384"/>
      <c r="E45" s="384"/>
      <c r="F45" s="384"/>
      <c r="G45" s="384"/>
      <c r="H45" s="384"/>
      <c r="I45" s="156">
        <f>ROUND(H27*15*H30*0.5,2)</f>
        <v>153.45</v>
      </c>
      <c r="L45" s="19"/>
    </row>
    <row r="46" spans="1:9" ht="32.25" customHeight="1">
      <c r="A46" s="231" t="s">
        <v>162</v>
      </c>
      <c r="B46" s="231"/>
      <c r="C46" s="231"/>
      <c r="D46" s="231"/>
      <c r="E46" s="231"/>
      <c r="F46" s="231"/>
      <c r="G46" s="231"/>
      <c r="H46" s="231"/>
      <c r="I46" s="157">
        <f>I45</f>
        <v>153.45</v>
      </c>
    </row>
    <row r="47" spans="1:9" ht="12" customHeight="1">
      <c r="A47" s="385"/>
      <c r="B47" s="385"/>
      <c r="C47" s="385"/>
      <c r="D47" s="385"/>
      <c r="E47" s="385"/>
      <c r="F47" s="385"/>
      <c r="G47" s="385"/>
      <c r="H47" s="385"/>
      <c r="I47" s="385"/>
    </row>
    <row r="48" spans="1:9" ht="49.5" customHeight="1">
      <c r="A48" s="386" t="s">
        <v>284</v>
      </c>
      <c r="B48" s="387"/>
      <c r="C48" s="387"/>
      <c r="D48" s="387"/>
      <c r="E48" s="387"/>
      <c r="F48" s="387"/>
      <c r="G48" s="387"/>
      <c r="H48" s="388"/>
      <c r="I48" s="158">
        <f>I43+I46</f>
        <v>4098.95</v>
      </c>
    </row>
    <row r="49" spans="1:9" ht="17.25" customHeight="1">
      <c r="A49" s="236" t="s">
        <v>268</v>
      </c>
      <c r="B49" s="236"/>
      <c r="C49" s="236"/>
      <c r="D49" s="236"/>
      <c r="E49" s="236"/>
      <c r="F49" s="236"/>
      <c r="G49" s="236"/>
      <c r="H49" s="236"/>
      <c r="I49" s="236"/>
    </row>
    <row r="50" spans="1:9" ht="12.75">
      <c r="A50" s="389"/>
      <c r="B50" s="389"/>
      <c r="C50" s="389"/>
      <c r="D50" s="389"/>
      <c r="E50" s="389"/>
      <c r="F50" s="389"/>
      <c r="G50" s="389"/>
      <c r="H50" s="389"/>
      <c r="I50" s="389"/>
    </row>
    <row r="51" spans="1:9" ht="15.75">
      <c r="A51" s="237" t="s">
        <v>23</v>
      </c>
      <c r="B51" s="237"/>
      <c r="C51" s="237"/>
      <c r="D51" s="237"/>
      <c r="E51" s="237"/>
      <c r="F51" s="237"/>
      <c r="G51" s="237"/>
      <c r="H51" s="237"/>
      <c r="I51" s="237"/>
    </row>
    <row r="52" spans="1:9" ht="15">
      <c r="A52" s="238" t="s">
        <v>320</v>
      </c>
      <c r="B52" s="238"/>
      <c r="C52" s="238"/>
      <c r="D52" s="238"/>
      <c r="E52" s="238"/>
      <c r="F52" s="238"/>
      <c r="G52" s="238"/>
      <c r="H52" s="238"/>
      <c r="I52" s="238"/>
    </row>
    <row r="53" spans="1:9" ht="22.5" customHeight="1">
      <c r="A53" s="22" t="s">
        <v>24</v>
      </c>
      <c r="B53" s="239" t="s">
        <v>321</v>
      </c>
      <c r="C53" s="239"/>
      <c r="D53" s="239"/>
      <c r="E53" s="239"/>
      <c r="F53" s="239"/>
      <c r="G53" s="239"/>
      <c r="H53" s="239"/>
      <c r="I53" s="23" t="s">
        <v>25</v>
      </c>
    </row>
    <row r="54" spans="1:9" ht="27" customHeight="1">
      <c r="A54" s="22" t="s">
        <v>292</v>
      </c>
      <c r="B54" s="390" t="s">
        <v>141</v>
      </c>
      <c r="C54" s="390"/>
      <c r="D54" s="390"/>
      <c r="E54" s="390"/>
      <c r="F54" s="390"/>
      <c r="G54" s="390"/>
      <c r="H54" s="93">
        <v>0.0833</v>
      </c>
      <c r="I54" s="159">
        <f>ROUND(I43*H54,2)</f>
        <v>328.66</v>
      </c>
    </row>
    <row r="55" spans="1:9" ht="27.75" customHeight="1">
      <c r="A55" s="22" t="s">
        <v>294</v>
      </c>
      <c r="B55" s="391" t="s">
        <v>323</v>
      </c>
      <c r="C55" s="391"/>
      <c r="D55" s="391"/>
      <c r="E55" s="391"/>
      <c r="F55" s="391"/>
      <c r="G55" s="391"/>
      <c r="H55" s="93">
        <v>0.0278</v>
      </c>
      <c r="I55" s="159">
        <f>ROUND(I43*H55,2)</f>
        <v>109.68</v>
      </c>
    </row>
    <row r="56" spans="1:9" ht="15.75" customHeight="1">
      <c r="A56" s="392" t="s">
        <v>27</v>
      </c>
      <c r="B56" s="392"/>
      <c r="C56" s="392"/>
      <c r="D56" s="392"/>
      <c r="E56" s="392"/>
      <c r="F56" s="392"/>
      <c r="G56" s="392"/>
      <c r="H56" s="392"/>
      <c r="I56" s="160">
        <f>SUM(I54+I55)</f>
        <v>438.34000000000003</v>
      </c>
    </row>
    <row r="57" spans="1:9" ht="48.75" customHeight="1">
      <c r="A57" s="245" t="s">
        <v>322</v>
      </c>
      <c r="B57" s="246"/>
      <c r="C57" s="246"/>
      <c r="D57" s="246"/>
      <c r="E57" s="246"/>
      <c r="F57" s="246"/>
      <c r="G57" s="246"/>
      <c r="H57" s="246"/>
      <c r="I57" s="247"/>
    </row>
    <row r="58" spans="1:9" ht="15" customHeight="1">
      <c r="A58" s="393"/>
      <c r="B58" s="393"/>
      <c r="C58" s="393"/>
      <c r="D58" s="393"/>
      <c r="E58" s="393"/>
      <c r="F58" s="393"/>
      <c r="G58" s="393"/>
      <c r="H58" s="393"/>
      <c r="I58" s="393"/>
    </row>
    <row r="59" spans="1:9" s="27" customFormat="1" ht="32.25" customHeight="1">
      <c r="A59" s="394" t="s">
        <v>142</v>
      </c>
      <c r="B59" s="394"/>
      <c r="C59" s="394"/>
      <c r="D59" s="394"/>
      <c r="E59" s="394"/>
      <c r="F59" s="394"/>
      <c r="G59" s="394"/>
      <c r="H59" s="394"/>
      <c r="I59" s="394"/>
    </row>
    <row r="60" spans="1:9" s="27" customFormat="1" ht="15">
      <c r="A60" s="138" t="s">
        <v>28</v>
      </c>
      <c r="B60" s="395" t="s">
        <v>29</v>
      </c>
      <c r="C60" s="395"/>
      <c r="D60" s="395"/>
      <c r="E60" s="395"/>
      <c r="F60" s="395"/>
      <c r="G60" s="395"/>
      <c r="H60" s="139" t="s">
        <v>12</v>
      </c>
      <c r="I60" s="140" t="s">
        <v>25</v>
      </c>
    </row>
    <row r="61" spans="1:9" s="27" customFormat="1" ht="18.75" customHeight="1">
      <c r="A61" s="137" t="s">
        <v>292</v>
      </c>
      <c r="B61" s="396" t="s">
        <v>31</v>
      </c>
      <c r="C61" s="396"/>
      <c r="D61" s="396"/>
      <c r="E61" s="396"/>
      <c r="F61" s="396"/>
      <c r="G61" s="396"/>
      <c r="H61" s="148">
        <v>0.2</v>
      </c>
      <c r="I61" s="161">
        <f>ROUND((I43+I56)*H61,2)</f>
        <v>876.77</v>
      </c>
    </row>
    <row r="62" spans="1:9" s="27" customFormat="1" ht="18.75" customHeight="1">
      <c r="A62" s="30" t="s">
        <v>294</v>
      </c>
      <c r="B62" s="251" t="s">
        <v>32</v>
      </c>
      <c r="C62" s="251"/>
      <c r="D62" s="251"/>
      <c r="E62" s="251"/>
      <c r="F62" s="251"/>
      <c r="G62" s="251"/>
      <c r="H62" s="72">
        <v>0.025</v>
      </c>
      <c r="I62" s="18">
        <f>ROUND((I43+I56)*H62,2)</f>
        <v>109.6</v>
      </c>
    </row>
    <row r="63" spans="1:9" s="27" customFormat="1" ht="50.25" customHeight="1">
      <c r="A63" s="30" t="s">
        <v>297</v>
      </c>
      <c r="B63" s="397" t="s">
        <v>143</v>
      </c>
      <c r="C63" s="397"/>
      <c r="D63" s="3" t="s">
        <v>36</v>
      </c>
      <c r="E63" s="134">
        <v>0.03</v>
      </c>
      <c r="F63" s="3" t="s">
        <v>37</v>
      </c>
      <c r="G63" s="182"/>
      <c r="H63" s="149">
        <f>ROUND((E63*G63),6)</f>
        <v>0</v>
      </c>
      <c r="I63" s="18">
        <f>ROUND((I43+I56)*H63,2)</f>
        <v>0</v>
      </c>
    </row>
    <row r="64" spans="1:9" s="27" customFormat="1" ht="15.75" customHeight="1">
      <c r="A64" s="30" t="s">
        <v>300</v>
      </c>
      <c r="B64" s="251" t="s">
        <v>38</v>
      </c>
      <c r="C64" s="251"/>
      <c r="D64" s="251"/>
      <c r="E64" s="251"/>
      <c r="F64" s="251"/>
      <c r="G64" s="251"/>
      <c r="H64" s="17">
        <v>0.015</v>
      </c>
      <c r="I64" s="18">
        <f>ROUND((I43+I56)*H64,2)</f>
        <v>65.76</v>
      </c>
    </row>
    <row r="65" spans="1:9" s="27" customFormat="1" ht="15.75" customHeight="1">
      <c r="A65" s="30" t="s">
        <v>16</v>
      </c>
      <c r="B65" s="251" t="s">
        <v>39</v>
      </c>
      <c r="C65" s="251"/>
      <c r="D65" s="251"/>
      <c r="E65" s="251"/>
      <c r="F65" s="251"/>
      <c r="G65" s="251"/>
      <c r="H65" s="17">
        <v>0.01</v>
      </c>
      <c r="I65" s="18">
        <f>ROUND((I43+I56)*H65,2)</f>
        <v>43.84</v>
      </c>
    </row>
    <row r="66" spans="1:9" s="27" customFormat="1" ht="15.75" customHeight="1">
      <c r="A66" s="30" t="s">
        <v>18</v>
      </c>
      <c r="B66" s="187" t="s">
        <v>40</v>
      </c>
      <c r="C66" s="187"/>
      <c r="D66" s="187"/>
      <c r="E66" s="187"/>
      <c r="F66" s="187"/>
      <c r="G66" s="187"/>
      <c r="H66" s="72">
        <v>0.006</v>
      </c>
      <c r="I66" s="18">
        <f>ROUND((I43+I56)*H66,2)</f>
        <v>26.3</v>
      </c>
    </row>
    <row r="67" spans="1:9" s="27" customFormat="1" ht="15.75" customHeight="1">
      <c r="A67" s="30" t="s">
        <v>20</v>
      </c>
      <c r="B67" s="251" t="s">
        <v>41</v>
      </c>
      <c r="C67" s="251"/>
      <c r="D67" s="251"/>
      <c r="E67" s="251"/>
      <c r="F67" s="251"/>
      <c r="G67" s="251"/>
      <c r="H67" s="17">
        <v>0.002</v>
      </c>
      <c r="I67" s="18">
        <f>ROUND((I43+I56)*H67,2)</f>
        <v>8.77</v>
      </c>
    </row>
    <row r="68" spans="1:9" ht="15.75" customHeight="1">
      <c r="A68" s="30" t="s">
        <v>22</v>
      </c>
      <c r="B68" s="187" t="s">
        <v>42</v>
      </c>
      <c r="C68" s="187"/>
      <c r="D68" s="187"/>
      <c r="E68" s="187"/>
      <c r="F68" s="187"/>
      <c r="G68" s="187"/>
      <c r="H68" s="72">
        <v>0.08</v>
      </c>
      <c r="I68" s="18">
        <f>ROUND((I43+I56)*H68,2)</f>
        <v>350.71</v>
      </c>
    </row>
    <row r="69" spans="1:9" ht="15.75" customHeight="1">
      <c r="A69" s="193" t="s">
        <v>27</v>
      </c>
      <c r="B69" s="193"/>
      <c r="C69" s="193"/>
      <c r="D69" s="193"/>
      <c r="E69" s="193"/>
      <c r="F69" s="193"/>
      <c r="G69" s="193"/>
      <c r="H69" s="150">
        <f>SUM(H61:H68)</f>
        <v>0.338</v>
      </c>
      <c r="I69" s="160">
        <f>SUM(I61:I68)</f>
        <v>1481.75</v>
      </c>
    </row>
    <row r="70" spans="1:9" ht="35.25" customHeight="1">
      <c r="A70" s="218" t="s">
        <v>257</v>
      </c>
      <c r="B70" s="218"/>
      <c r="C70" s="218"/>
      <c r="D70" s="218"/>
      <c r="E70" s="218"/>
      <c r="F70" s="218"/>
      <c r="G70" s="218"/>
      <c r="H70" s="218"/>
      <c r="I70" s="218"/>
    </row>
    <row r="71" spans="1:9" ht="12.75">
      <c r="A71" s="376"/>
      <c r="B71" s="376"/>
      <c r="C71" s="376"/>
      <c r="D71" s="376"/>
      <c r="E71" s="376"/>
      <c r="F71" s="376"/>
      <c r="G71" s="376"/>
      <c r="H71" s="376"/>
      <c r="I71" s="376"/>
    </row>
    <row r="72" spans="1:9" ht="15">
      <c r="A72" s="253" t="s">
        <v>43</v>
      </c>
      <c r="B72" s="253"/>
      <c r="C72" s="253"/>
      <c r="D72" s="253"/>
      <c r="E72" s="253"/>
      <c r="F72" s="253"/>
      <c r="G72" s="253"/>
      <c r="H72" s="253"/>
      <c r="I72" s="253"/>
    </row>
    <row r="73" spans="1:9" ht="15">
      <c r="A73" s="44" t="s">
        <v>44</v>
      </c>
      <c r="B73" s="221" t="s">
        <v>45</v>
      </c>
      <c r="C73" s="221"/>
      <c r="D73" s="221"/>
      <c r="E73" s="221"/>
      <c r="F73" s="221"/>
      <c r="G73" s="221"/>
      <c r="H73" s="221"/>
      <c r="I73" s="13" t="s">
        <v>25</v>
      </c>
    </row>
    <row r="74" spans="1:9" ht="12.75">
      <c r="A74" s="45" t="s">
        <v>292</v>
      </c>
      <c r="B74" s="254" t="s">
        <v>46</v>
      </c>
      <c r="C74" s="254"/>
      <c r="D74" s="254"/>
      <c r="E74" s="254"/>
      <c r="F74" s="254"/>
      <c r="G74" s="254"/>
      <c r="H74" s="254"/>
      <c r="I74" s="48">
        <f>IF(ROUND((H75*H77*H76)-(I36*H78),2)&lt;0,0,ROUND((H75*H77*H76)-(I36*H78),2))</f>
        <v>50.95</v>
      </c>
    </row>
    <row r="75" spans="1:9" ht="12.75">
      <c r="A75" s="45"/>
      <c r="B75" s="254" t="s">
        <v>343</v>
      </c>
      <c r="C75" s="254"/>
      <c r="D75" s="254"/>
      <c r="E75" s="254"/>
      <c r="F75" s="254"/>
      <c r="G75" s="254"/>
      <c r="H75" s="151">
        <v>3.85</v>
      </c>
      <c r="I75" s="48" t="s">
        <v>308</v>
      </c>
    </row>
    <row r="76" spans="1:11" ht="12.75">
      <c r="A76" s="45"/>
      <c r="B76" s="187" t="s">
        <v>48</v>
      </c>
      <c r="C76" s="187"/>
      <c r="D76" s="187"/>
      <c r="E76" s="187"/>
      <c r="F76" s="187"/>
      <c r="G76" s="187"/>
      <c r="H76" s="152">
        <v>2</v>
      </c>
      <c r="I76" s="48" t="s">
        <v>308</v>
      </c>
      <c r="K76" s="126"/>
    </row>
    <row r="77" spans="1:11" ht="12.75">
      <c r="A77" s="45"/>
      <c r="B77" s="213" t="s">
        <v>49</v>
      </c>
      <c r="C77" s="213"/>
      <c r="D77" s="213"/>
      <c r="E77" s="213"/>
      <c r="F77" s="213"/>
      <c r="G77" s="213"/>
      <c r="H77" s="153">
        <v>30</v>
      </c>
      <c r="I77" s="48"/>
      <c r="K77" s="126"/>
    </row>
    <row r="78" spans="1:11" ht="12.75" customHeight="1">
      <c r="A78" s="45"/>
      <c r="B78" s="213" t="s">
        <v>338</v>
      </c>
      <c r="C78" s="213"/>
      <c r="D78" s="213"/>
      <c r="E78" s="213"/>
      <c r="F78" s="213"/>
      <c r="G78" s="213"/>
      <c r="H78" s="154">
        <v>0.06</v>
      </c>
      <c r="I78" s="48"/>
      <c r="K78" s="126"/>
    </row>
    <row r="79" spans="1:11" ht="12.75">
      <c r="A79" s="45" t="s">
        <v>294</v>
      </c>
      <c r="B79" s="254" t="s">
        <v>51</v>
      </c>
      <c r="C79" s="254"/>
      <c r="D79" s="254"/>
      <c r="E79" s="254"/>
      <c r="F79" s="254"/>
      <c r="G79" s="254"/>
      <c r="H79" s="254"/>
      <c r="I79" s="162">
        <f>ROUND(15*2*H80*(1-H82),2)</f>
        <v>480</v>
      </c>
      <c r="J79" s="123"/>
      <c r="K79" s="127"/>
    </row>
    <row r="80" spans="1:11" ht="15.75" customHeight="1">
      <c r="A80" s="45"/>
      <c r="B80" s="254" t="s">
        <v>337</v>
      </c>
      <c r="C80" s="254"/>
      <c r="D80" s="254"/>
      <c r="E80" s="254"/>
      <c r="F80" s="254"/>
      <c r="G80" s="254"/>
      <c r="H80" s="151">
        <v>20</v>
      </c>
      <c r="I80" s="48" t="s">
        <v>308</v>
      </c>
      <c r="K80" s="126"/>
    </row>
    <row r="81" spans="1:11" ht="12.75">
      <c r="A81" s="45"/>
      <c r="B81" s="254" t="s">
        <v>53</v>
      </c>
      <c r="C81" s="254"/>
      <c r="D81" s="254"/>
      <c r="E81" s="254"/>
      <c r="F81" s="254"/>
      <c r="G81" s="254"/>
      <c r="H81" s="153">
        <v>30</v>
      </c>
      <c r="I81" s="48"/>
      <c r="K81" s="126"/>
    </row>
    <row r="82" spans="1:11" ht="12.75">
      <c r="A82" s="45"/>
      <c r="B82" s="213" t="s">
        <v>54</v>
      </c>
      <c r="C82" s="213"/>
      <c r="D82" s="213"/>
      <c r="E82" s="213"/>
      <c r="F82" s="213"/>
      <c r="G82" s="213"/>
      <c r="H82" s="154">
        <v>0.2</v>
      </c>
      <c r="I82" s="48"/>
      <c r="K82" s="126"/>
    </row>
    <row r="83" spans="1:11" ht="15.75" customHeight="1">
      <c r="A83" s="45" t="s">
        <v>297</v>
      </c>
      <c r="B83" s="254" t="s">
        <v>55</v>
      </c>
      <c r="C83" s="254"/>
      <c r="D83" s="254"/>
      <c r="E83" s="254"/>
      <c r="F83" s="254"/>
      <c r="G83" s="254"/>
      <c r="H83" s="254"/>
      <c r="I83" s="48">
        <v>0</v>
      </c>
      <c r="K83" s="126"/>
    </row>
    <row r="84" spans="1:9" ht="12.75">
      <c r="A84" s="132" t="s">
        <v>300</v>
      </c>
      <c r="B84" s="381" t="s">
        <v>56</v>
      </c>
      <c r="C84" s="381"/>
      <c r="D84" s="381"/>
      <c r="E84" s="381"/>
      <c r="F84" s="381"/>
      <c r="G84" s="381"/>
      <c r="H84" s="381"/>
      <c r="I84" s="156">
        <f>ROUND(I43*26*0.00023,2)</f>
        <v>23.59</v>
      </c>
    </row>
    <row r="85" spans="1:9" s="27" customFormat="1" ht="12.75">
      <c r="A85" s="132" t="s">
        <v>16</v>
      </c>
      <c r="B85" s="384" t="s">
        <v>57</v>
      </c>
      <c r="C85" s="384"/>
      <c r="D85" s="384"/>
      <c r="E85" s="384"/>
      <c r="F85" s="384"/>
      <c r="G85" s="384"/>
      <c r="H85" s="384"/>
      <c r="I85" s="156">
        <f>ROUND(($I$36*0.0052066)/12,2)</f>
        <v>1.3</v>
      </c>
    </row>
    <row r="86" spans="1:9" s="27" customFormat="1" ht="12.75">
      <c r="A86" s="45" t="s">
        <v>18</v>
      </c>
      <c r="B86" s="255" t="s">
        <v>58</v>
      </c>
      <c r="C86" s="255"/>
      <c r="D86" s="255"/>
      <c r="E86" s="255"/>
      <c r="F86" s="255"/>
      <c r="G86" s="255"/>
      <c r="H86" s="255"/>
      <c r="I86" s="145">
        <v>0</v>
      </c>
    </row>
    <row r="87" spans="1:9" s="27" customFormat="1" ht="12.75">
      <c r="A87" s="54"/>
      <c r="B87" s="192" t="s">
        <v>27</v>
      </c>
      <c r="C87" s="192"/>
      <c r="D87" s="192"/>
      <c r="E87" s="192"/>
      <c r="F87" s="192"/>
      <c r="G87" s="192"/>
      <c r="H87" s="192"/>
      <c r="I87" s="160">
        <f>SUM(I74:I86)</f>
        <v>555.84</v>
      </c>
    </row>
    <row r="88" spans="1:9" s="27" customFormat="1" ht="36.75" customHeight="1">
      <c r="A88" s="218" t="s">
        <v>59</v>
      </c>
      <c r="B88" s="218"/>
      <c r="C88" s="218"/>
      <c r="D88" s="218"/>
      <c r="E88" s="218"/>
      <c r="F88" s="218"/>
      <c r="G88" s="218"/>
      <c r="H88" s="218"/>
      <c r="I88" s="218"/>
    </row>
    <row r="89" spans="1:9" s="27" customFormat="1" ht="12" customHeight="1">
      <c r="A89" s="385"/>
      <c r="B89" s="385"/>
      <c r="C89" s="385"/>
      <c r="D89" s="385"/>
      <c r="E89" s="385"/>
      <c r="F89" s="385"/>
      <c r="G89" s="385"/>
      <c r="H89" s="385"/>
      <c r="I89" s="385"/>
    </row>
    <row r="90" spans="1:9" s="27" customFormat="1" ht="17.25" customHeight="1">
      <c r="A90" s="257" t="s">
        <v>60</v>
      </c>
      <c r="B90" s="257"/>
      <c r="C90" s="257"/>
      <c r="D90" s="257"/>
      <c r="E90" s="257"/>
      <c r="F90" s="257"/>
      <c r="G90" s="257"/>
      <c r="H90" s="257"/>
      <c r="I90" s="257"/>
    </row>
    <row r="91" spans="1:9" s="27" customFormat="1" ht="15.75" customHeight="1">
      <c r="A91" s="29">
        <v>2</v>
      </c>
      <c r="B91" s="250" t="s">
        <v>61</v>
      </c>
      <c r="C91" s="250"/>
      <c r="D91" s="250"/>
      <c r="E91" s="250"/>
      <c r="F91" s="250"/>
      <c r="G91" s="250"/>
      <c r="H91" s="250"/>
      <c r="I91" s="29" t="s">
        <v>25</v>
      </c>
    </row>
    <row r="92" spans="1:9" s="27" customFormat="1" ht="14.25" customHeight="1">
      <c r="A92" s="55" t="s">
        <v>24</v>
      </c>
      <c r="B92" s="258" t="s">
        <v>324</v>
      </c>
      <c r="C92" s="258"/>
      <c r="D92" s="258"/>
      <c r="E92" s="258"/>
      <c r="F92" s="258"/>
      <c r="G92" s="258"/>
      <c r="H92" s="258"/>
      <c r="I92" s="163">
        <f>I56</f>
        <v>438.34000000000003</v>
      </c>
    </row>
    <row r="93" spans="1:9" s="27" customFormat="1" ht="14.25" customHeight="1">
      <c r="A93" s="55" t="s">
        <v>28</v>
      </c>
      <c r="B93" s="258" t="s">
        <v>29</v>
      </c>
      <c r="C93" s="258"/>
      <c r="D93" s="258"/>
      <c r="E93" s="258"/>
      <c r="F93" s="258"/>
      <c r="G93" s="258"/>
      <c r="H93" s="258"/>
      <c r="I93" s="163">
        <f>I69</f>
        <v>1481.75</v>
      </c>
    </row>
    <row r="94" spans="1:9" s="27" customFormat="1" ht="14.25" customHeight="1">
      <c r="A94" s="55" t="s">
        <v>44</v>
      </c>
      <c r="B94" s="258" t="s">
        <v>45</v>
      </c>
      <c r="C94" s="258"/>
      <c r="D94" s="258"/>
      <c r="E94" s="258"/>
      <c r="F94" s="258"/>
      <c r="G94" s="258"/>
      <c r="H94" s="258"/>
      <c r="I94" s="163">
        <f>I87</f>
        <v>555.84</v>
      </c>
    </row>
    <row r="95" spans="1:9" s="27" customFormat="1" ht="14.25" customHeight="1">
      <c r="A95" s="398" t="s">
        <v>27</v>
      </c>
      <c r="B95" s="398"/>
      <c r="C95" s="398"/>
      <c r="D95" s="398"/>
      <c r="E95" s="398"/>
      <c r="F95" s="398"/>
      <c r="G95" s="398"/>
      <c r="H95" s="398"/>
      <c r="I95" s="164">
        <f>SUM(I92+I93+I94)</f>
        <v>2475.9300000000003</v>
      </c>
    </row>
    <row r="96" spans="1:9" s="27" customFormat="1" ht="20.25" customHeight="1">
      <c r="A96" s="261" t="s">
        <v>62</v>
      </c>
      <c r="B96" s="261"/>
      <c r="C96" s="261"/>
      <c r="D96" s="261"/>
      <c r="E96" s="261"/>
      <c r="F96" s="261"/>
      <c r="G96" s="261"/>
      <c r="H96" s="261"/>
      <c r="I96" s="261"/>
    </row>
    <row r="97" spans="1:9" s="27" customFormat="1" ht="15">
      <c r="A97" s="44">
        <v>3</v>
      </c>
      <c r="B97" s="262" t="s">
        <v>63</v>
      </c>
      <c r="C97" s="262"/>
      <c r="D97" s="262"/>
      <c r="E97" s="262"/>
      <c r="F97" s="262"/>
      <c r="G97" s="262"/>
      <c r="H97" s="262"/>
      <c r="I97" s="44" t="s">
        <v>25</v>
      </c>
    </row>
    <row r="98" spans="1:9" s="27" customFormat="1" ht="44.25" customHeight="1">
      <c r="A98" s="45" t="s">
        <v>292</v>
      </c>
      <c r="B98" s="263" t="s">
        <v>334</v>
      </c>
      <c r="C98" s="263"/>
      <c r="D98" s="263"/>
      <c r="E98" s="263"/>
      <c r="F98" s="263"/>
      <c r="G98" s="263"/>
      <c r="H98" s="263"/>
      <c r="I98" s="18">
        <f>ROUND(((I43/12)+($I$54/12)+(I43/12/12)+($I$55/12))*(30/30)*1,2)</f>
        <v>392.72</v>
      </c>
    </row>
    <row r="99" spans="1:9" s="27" customFormat="1" ht="14.25" customHeight="1">
      <c r="A99" s="45" t="s">
        <v>294</v>
      </c>
      <c r="B99" s="241" t="s">
        <v>65</v>
      </c>
      <c r="C99" s="241"/>
      <c r="D99" s="241"/>
      <c r="E99" s="241"/>
      <c r="F99" s="241"/>
      <c r="G99" s="241"/>
      <c r="H99" s="241"/>
      <c r="I99" s="18">
        <f>ROUND($H$68*I98,2)</f>
        <v>31.42</v>
      </c>
    </row>
    <row r="100" spans="1:9" s="27" customFormat="1" ht="27.75" customHeight="1">
      <c r="A100" s="45" t="s">
        <v>297</v>
      </c>
      <c r="B100" s="251" t="s">
        <v>66</v>
      </c>
      <c r="C100" s="251"/>
      <c r="D100" s="251"/>
      <c r="E100" s="251"/>
      <c r="F100" s="251"/>
      <c r="G100" s="251"/>
      <c r="H100" s="251"/>
      <c r="I100" s="18">
        <f>ROUND(((7/30)/$H$11)*I43*1,2)</f>
        <v>76.72</v>
      </c>
    </row>
    <row r="101" spans="1:9" s="27" customFormat="1" ht="19.5" customHeight="1">
      <c r="A101" s="45" t="s">
        <v>300</v>
      </c>
      <c r="B101" s="241" t="s">
        <v>258</v>
      </c>
      <c r="C101" s="241"/>
      <c r="D101" s="241"/>
      <c r="E101" s="241"/>
      <c r="F101" s="241"/>
      <c r="G101" s="241"/>
      <c r="H101" s="241"/>
      <c r="I101" s="18">
        <f>ROUND($H$69*I100,2)</f>
        <v>25.93</v>
      </c>
    </row>
    <row r="102" spans="1:9" s="27" customFormat="1" ht="36.75" customHeight="1">
      <c r="A102" s="45" t="s">
        <v>16</v>
      </c>
      <c r="B102" s="251" t="s">
        <v>144</v>
      </c>
      <c r="C102" s="251"/>
      <c r="D102" s="251"/>
      <c r="E102" s="251"/>
      <c r="F102" s="251"/>
      <c r="G102" s="251"/>
      <c r="H102" s="128">
        <v>0.05</v>
      </c>
      <c r="I102" s="18">
        <f>ROUND(I43*H102,2)</f>
        <v>197.28</v>
      </c>
    </row>
    <row r="103" spans="1:9" s="27" customFormat="1" ht="12.75">
      <c r="A103" s="398" t="s">
        <v>27</v>
      </c>
      <c r="B103" s="398"/>
      <c r="C103" s="398"/>
      <c r="D103" s="398"/>
      <c r="E103" s="398"/>
      <c r="F103" s="398"/>
      <c r="G103" s="398"/>
      <c r="H103" s="398"/>
      <c r="I103" s="160">
        <f>SUM(I98:I102)</f>
        <v>724.0699999999999</v>
      </c>
    </row>
    <row r="104" spans="1:9" ht="24" customHeight="1">
      <c r="A104" s="265" t="s">
        <v>68</v>
      </c>
      <c r="B104" s="265"/>
      <c r="C104" s="265"/>
      <c r="D104" s="265"/>
      <c r="E104" s="265"/>
      <c r="F104" s="265"/>
      <c r="G104" s="265"/>
      <c r="H104" s="265"/>
      <c r="I104" s="265"/>
    </row>
    <row r="105" spans="1:9" ht="24.75" customHeight="1">
      <c r="A105" s="266" t="s">
        <v>259</v>
      </c>
      <c r="B105" s="266"/>
      <c r="C105" s="266"/>
      <c r="D105" s="266"/>
      <c r="E105" s="266"/>
      <c r="F105" s="266"/>
      <c r="G105" s="266"/>
      <c r="H105" s="266"/>
      <c r="I105" s="266"/>
    </row>
    <row r="106" spans="1:9" ht="42.75" customHeight="1">
      <c r="A106" s="268" t="s">
        <v>149</v>
      </c>
      <c r="B106" s="344"/>
      <c r="C106" s="344"/>
      <c r="D106" s="344"/>
      <c r="E106" s="344"/>
      <c r="F106" s="344"/>
      <c r="G106" s="344"/>
      <c r="H106" s="344"/>
      <c r="I106" s="273"/>
    </row>
    <row r="107" spans="1:9" ht="7.5" customHeight="1">
      <c r="A107" s="399"/>
      <c r="B107" s="400"/>
      <c r="C107" s="400"/>
      <c r="D107" s="400"/>
      <c r="E107" s="400"/>
      <c r="F107" s="400"/>
      <c r="G107" s="400"/>
      <c r="H107" s="400"/>
      <c r="I107" s="401"/>
    </row>
    <row r="108" spans="1:9" ht="42" customHeight="1">
      <c r="A108" s="129" t="s">
        <v>157</v>
      </c>
      <c r="B108" s="130">
        <f>I43</f>
        <v>3945.5</v>
      </c>
      <c r="C108" s="178"/>
      <c r="D108" s="129" t="s">
        <v>207</v>
      </c>
      <c r="E108" s="130">
        <f>I95-I74-I79</f>
        <v>1944.9800000000005</v>
      </c>
      <c r="F108" s="178"/>
      <c r="G108" s="129" t="s">
        <v>279</v>
      </c>
      <c r="H108" s="130">
        <f>I103</f>
        <v>724.0699999999999</v>
      </c>
      <c r="I108" s="131">
        <f>B108+E108+H108</f>
        <v>6614.55</v>
      </c>
    </row>
    <row r="109" spans="1:9" ht="20.25" customHeight="1">
      <c r="A109" s="402"/>
      <c r="B109" s="402"/>
      <c r="C109" s="402"/>
      <c r="D109" s="402"/>
      <c r="E109" s="402"/>
      <c r="F109" s="402"/>
      <c r="G109" s="402"/>
      <c r="H109" s="402"/>
      <c r="I109" s="402"/>
    </row>
    <row r="110" spans="1:9" ht="24" customHeight="1">
      <c r="A110" s="403" t="s">
        <v>260</v>
      </c>
      <c r="B110" s="404"/>
      <c r="C110" s="404"/>
      <c r="D110" s="404"/>
      <c r="E110" s="404"/>
      <c r="F110" s="404"/>
      <c r="G110" s="404"/>
      <c r="H110" s="404"/>
      <c r="I110" s="405"/>
    </row>
    <row r="111" spans="1:9" ht="24" customHeight="1">
      <c r="A111" s="141" t="s">
        <v>69</v>
      </c>
      <c r="B111" s="406" t="s">
        <v>261</v>
      </c>
      <c r="C111" s="406"/>
      <c r="D111" s="406"/>
      <c r="E111" s="406"/>
      <c r="F111" s="406"/>
      <c r="G111" s="406"/>
      <c r="H111" s="406"/>
      <c r="I111" s="141" t="s">
        <v>25</v>
      </c>
    </row>
    <row r="112" spans="1:9" ht="17.25" customHeight="1">
      <c r="A112" s="94" t="s">
        <v>292</v>
      </c>
      <c r="B112" s="407" t="s">
        <v>267</v>
      </c>
      <c r="C112" s="408"/>
      <c r="D112" s="408"/>
      <c r="E112" s="408"/>
      <c r="F112" s="408"/>
      <c r="G112" s="408"/>
      <c r="H112" s="409"/>
      <c r="I112" s="18">
        <f>ROUND(I108/12,2)</f>
        <v>551.21</v>
      </c>
    </row>
    <row r="113" spans="1:9" ht="12.75">
      <c r="A113" s="45" t="s">
        <v>294</v>
      </c>
      <c r="B113" s="251" t="s">
        <v>150</v>
      </c>
      <c r="C113" s="251"/>
      <c r="D113" s="251"/>
      <c r="E113" s="251"/>
      <c r="F113" s="251"/>
      <c r="G113" s="251"/>
      <c r="H113" s="251"/>
      <c r="I113" s="18">
        <f>ROUND((1/30)/12*(I108),2)</f>
        <v>18.37</v>
      </c>
    </row>
    <row r="114" spans="1:9" ht="25.5" customHeight="1">
      <c r="A114" s="45" t="s">
        <v>297</v>
      </c>
      <c r="B114" s="251" t="s">
        <v>263</v>
      </c>
      <c r="C114" s="251"/>
      <c r="D114" s="251"/>
      <c r="E114" s="251"/>
      <c r="F114" s="251"/>
      <c r="G114" s="251"/>
      <c r="H114" s="251"/>
      <c r="I114" s="18">
        <f>ROUND((5/30)/12*0.015*(I108),2)</f>
        <v>1.38</v>
      </c>
    </row>
    <row r="115" spans="1:9" ht="24" customHeight="1">
      <c r="A115" s="45" t="s">
        <v>300</v>
      </c>
      <c r="B115" s="251" t="s">
        <v>264</v>
      </c>
      <c r="C115" s="251"/>
      <c r="D115" s="251"/>
      <c r="E115" s="251"/>
      <c r="F115" s="251"/>
      <c r="G115" s="251"/>
      <c r="H115" s="251"/>
      <c r="I115" s="18">
        <f>ROUND(((15/30)/12)*0.0078*(I108),2)</f>
        <v>2.15</v>
      </c>
    </row>
    <row r="116" spans="1:9" ht="24.75" customHeight="1">
      <c r="A116" s="45" t="s">
        <v>16</v>
      </c>
      <c r="B116" s="187" t="s">
        <v>159</v>
      </c>
      <c r="C116" s="187"/>
      <c r="D116" s="187"/>
      <c r="E116" s="187"/>
      <c r="F116" s="187"/>
      <c r="G116" s="187"/>
      <c r="H116" s="187"/>
      <c r="I116" s="18">
        <f>ROUND(((((I43+I43/3)/12)+(I69+I87-I74-I79+I103))*4/12)*0.02,2)</f>
        <v>17.79</v>
      </c>
    </row>
    <row r="117" spans="1:9" ht="27" customHeight="1">
      <c r="A117" s="45" t="s">
        <v>18</v>
      </c>
      <c r="B117" s="251" t="s">
        <v>152</v>
      </c>
      <c r="C117" s="251"/>
      <c r="D117" s="251"/>
      <c r="E117" s="251"/>
      <c r="F117" s="251"/>
      <c r="G117" s="251"/>
      <c r="H117" s="251"/>
      <c r="I117" s="18">
        <f>ROUND(((3/30)/12)*(I108),2)</f>
        <v>55.12</v>
      </c>
    </row>
    <row r="118" spans="1:9" ht="15.75" customHeight="1">
      <c r="A118" s="193" t="s">
        <v>27</v>
      </c>
      <c r="B118" s="193"/>
      <c r="C118" s="193"/>
      <c r="D118" s="193"/>
      <c r="E118" s="193"/>
      <c r="F118" s="193"/>
      <c r="G118" s="193"/>
      <c r="H118" s="193"/>
      <c r="I118" s="160">
        <f>SUM(I112:I117)</f>
        <v>646.02</v>
      </c>
    </row>
    <row r="119" spans="1:9" ht="15.75" customHeight="1">
      <c r="A119" s="253" t="s">
        <v>285</v>
      </c>
      <c r="B119" s="253"/>
      <c r="C119" s="253"/>
      <c r="D119" s="253"/>
      <c r="E119" s="253"/>
      <c r="F119" s="253"/>
      <c r="G119" s="253"/>
      <c r="H119" s="253"/>
      <c r="I119" s="253"/>
    </row>
    <row r="120" spans="1:9" ht="15.75" customHeight="1">
      <c r="A120" s="59" t="s">
        <v>70</v>
      </c>
      <c r="B120" s="279" t="s">
        <v>286</v>
      </c>
      <c r="C120" s="279"/>
      <c r="D120" s="279"/>
      <c r="E120" s="279"/>
      <c r="F120" s="279"/>
      <c r="G120" s="279"/>
      <c r="H120" s="279"/>
      <c r="I120" s="60" t="s">
        <v>25</v>
      </c>
    </row>
    <row r="121" spans="1:9" ht="15.75" customHeight="1">
      <c r="A121" s="24" t="s">
        <v>292</v>
      </c>
      <c r="B121" s="240" t="s">
        <v>287</v>
      </c>
      <c r="C121" s="240"/>
      <c r="D121" s="240"/>
      <c r="E121" s="240"/>
      <c r="F121" s="240"/>
      <c r="G121" s="240"/>
      <c r="H121" s="240"/>
      <c r="I121" s="165">
        <v>0</v>
      </c>
    </row>
    <row r="122" spans="1:9" ht="15.75" customHeight="1">
      <c r="A122" s="410" t="s">
        <v>27</v>
      </c>
      <c r="B122" s="410"/>
      <c r="C122" s="410"/>
      <c r="D122" s="410"/>
      <c r="E122" s="410"/>
      <c r="F122" s="410"/>
      <c r="G122" s="410"/>
      <c r="H122" s="410"/>
      <c r="I122" s="165">
        <v>0</v>
      </c>
    </row>
    <row r="123" spans="1:9" ht="12.75">
      <c r="A123" s="411"/>
      <c r="B123" s="411"/>
      <c r="C123" s="411"/>
      <c r="D123" s="411"/>
      <c r="E123" s="411"/>
      <c r="F123" s="411"/>
      <c r="G123" s="411"/>
      <c r="H123" s="411"/>
      <c r="I123" s="411"/>
    </row>
    <row r="124" spans="1:9" ht="23.25" customHeight="1">
      <c r="A124" s="237" t="s">
        <v>71</v>
      </c>
      <c r="B124" s="237"/>
      <c r="C124" s="237"/>
      <c r="D124" s="237"/>
      <c r="E124" s="237"/>
      <c r="F124" s="237"/>
      <c r="G124" s="237"/>
      <c r="H124" s="237"/>
      <c r="I124" s="237"/>
    </row>
    <row r="125" spans="1:9" ht="15">
      <c r="A125" s="29">
        <v>4</v>
      </c>
      <c r="B125" s="279" t="s">
        <v>72</v>
      </c>
      <c r="C125" s="279"/>
      <c r="D125" s="279"/>
      <c r="E125" s="279"/>
      <c r="F125" s="279"/>
      <c r="G125" s="279"/>
      <c r="H125" s="279"/>
      <c r="I125" s="60" t="s">
        <v>25</v>
      </c>
    </row>
    <row r="126" spans="1:9" ht="18.75" customHeight="1">
      <c r="A126" s="62" t="s">
        <v>69</v>
      </c>
      <c r="B126" s="240" t="s">
        <v>261</v>
      </c>
      <c r="C126" s="240"/>
      <c r="D126" s="240"/>
      <c r="E126" s="240"/>
      <c r="F126" s="240"/>
      <c r="G126" s="240"/>
      <c r="H126" s="240"/>
      <c r="I126" s="165">
        <f>I118</f>
        <v>646.02</v>
      </c>
    </row>
    <row r="127" spans="1:9" ht="21.75" customHeight="1">
      <c r="A127" s="62" t="s">
        <v>73</v>
      </c>
      <c r="B127" s="240" t="s">
        <v>286</v>
      </c>
      <c r="C127" s="240"/>
      <c r="D127" s="240"/>
      <c r="E127" s="240"/>
      <c r="F127" s="240"/>
      <c r="G127" s="240"/>
      <c r="H127" s="240"/>
      <c r="I127" s="165">
        <f>I122</f>
        <v>0</v>
      </c>
    </row>
    <row r="128" spans="1:9" ht="12.75">
      <c r="A128" s="392" t="s">
        <v>27</v>
      </c>
      <c r="B128" s="392"/>
      <c r="C128" s="392"/>
      <c r="D128" s="392"/>
      <c r="E128" s="392"/>
      <c r="F128" s="392"/>
      <c r="G128" s="392"/>
      <c r="H128" s="392"/>
      <c r="I128" s="166">
        <f>SUM(I126+I127)</f>
        <v>646.02</v>
      </c>
    </row>
    <row r="129" spans="1:9" s="27" customFormat="1" ht="15.75">
      <c r="A129" s="265" t="s">
        <v>74</v>
      </c>
      <c r="B129" s="265"/>
      <c r="C129" s="265"/>
      <c r="D129" s="265"/>
      <c r="E129" s="265"/>
      <c r="F129" s="265"/>
      <c r="G129" s="265"/>
      <c r="H129" s="265"/>
      <c r="I129" s="265"/>
    </row>
    <row r="130" spans="1:9" ht="15">
      <c r="A130" s="44">
        <v>5</v>
      </c>
      <c r="B130" s="221" t="s">
        <v>75</v>
      </c>
      <c r="C130" s="221"/>
      <c r="D130" s="221"/>
      <c r="E130" s="221"/>
      <c r="F130" s="221"/>
      <c r="G130" s="221"/>
      <c r="H130" s="221"/>
      <c r="I130" s="44" t="s">
        <v>25</v>
      </c>
    </row>
    <row r="131" spans="1:9" ht="29.25" customHeight="1">
      <c r="A131" s="45" t="s">
        <v>292</v>
      </c>
      <c r="B131" s="187" t="s">
        <v>352</v>
      </c>
      <c r="C131" s="187"/>
      <c r="D131" s="187"/>
      <c r="E131" s="187"/>
      <c r="F131" s="187"/>
      <c r="G131" s="187"/>
      <c r="H131" s="187"/>
      <c r="I131" s="184">
        <v>0</v>
      </c>
    </row>
    <row r="132" spans="1:9" ht="15.75" customHeight="1">
      <c r="A132" s="45" t="s">
        <v>294</v>
      </c>
      <c r="B132" s="187" t="s">
        <v>58</v>
      </c>
      <c r="C132" s="187"/>
      <c r="D132" s="187"/>
      <c r="E132" s="187"/>
      <c r="F132" s="187"/>
      <c r="G132" s="187"/>
      <c r="H132" s="187"/>
      <c r="I132" s="145">
        <v>0</v>
      </c>
    </row>
    <row r="133" spans="1:9" ht="12.75">
      <c r="A133" s="412" t="s">
        <v>78</v>
      </c>
      <c r="B133" s="412"/>
      <c r="C133" s="412"/>
      <c r="D133" s="412"/>
      <c r="E133" s="412"/>
      <c r="F133" s="412"/>
      <c r="G133" s="412"/>
      <c r="H133" s="412"/>
      <c r="I133" s="146">
        <f>SUM(I131:I132)</f>
        <v>0</v>
      </c>
    </row>
    <row r="134" spans="1:9" ht="15.75" customHeight="1">
      <c r="A134" s="282" t="s">
        <v>79</v>
      </c>
      <c r="B134" s="282"/>
      <c r="C134" s="282"/>
      <c r="D134" s="282"/>
      <c r="E134" s="282"/>
      <c r="F134" s="282"/>
      <c r="G134" s="282"/>
      <c r="H134" s="282"/>
      <c r="I134" s="282"/>
    </row>
    <row r="135" spans="1:9" ht="12.75" customHeight="1">
      <c r="A135" s="413"/>
      <c r="B135" s="414"/>
      <c r="C135" s="414"/>
      <c r="D135" s="414"/>
      <c r="E135" s="414"/>
      <c r="F135" s="414"/>
      <c r="G135" s="414"/>
      <c r="H135" s="414"/>
      <c r="I135" s="415"/>
    </row>
    <row r="136" spans="1:9" ht="15.75">
      <c r="A136" s="261" t="s">
        <v>80</v>
      </c>
      <c r="B136" s="261"/>
      <c r="C136" s="261"/>
      <c r="D136" s="261"/>
      <c r="E136" s="261"/>
      <c r="F136" s="261"/>
      <c r="G136" s="261"/>
      <c r="H136" s="261"/>
      <c r="I136" s="261"/>
    </row>
    <row r="137" spans="1:9" ht="15">
      <c r="A137" s="44">
        <v>6</v>
      </c>
      <c r="B137" s="262" t="s">
        <v>81</v>
      </c>
      <c r="C137" s="262"/>
      <c r="D137" s="262"/>
      <c r="E137" s="262"/>
      <c r="F137" s="262"/>
      <c r="G137" s="262"/>
      <c r="H137" s="5" t="s">
        <v>12</v>
      </c>
      <c r="I137" s="67" t="s">
        <v>25</v>
      </c>
    </row>
    <row r="138" spans="1:9" ht="50.25" customHeight="1">
      <c r="A138" s="283" t="s">
        <v>82</v>
      </c>
      <c r="B138" s="283"/>
      <c r="C138" s="283"/>
      <c r="D138" s="283"/>
      <c r="E138" s="283"/>
      <c r="F138" s="283"/>
      <c r="G138" s="283"/>
      <c r="H138" s="68" t="s">
        <v>308</v>
      </c>
      <c r="I138" s="167">
        <f>SUM(I48+I95+I103+I128+I133)</f>
        <v>7944.969999999999</v>
      </c>
    </row>
    <row r="139" spans="1:9" ht="15.75" customHeight="1">
      <c r="A139" s="45" t="s">
        <v>292</v>
      </c>
      <c r="B139" s="284" t="s">
        <v>83</v>
      </c>
      <c r="C139" s="284"/>
      <c r="D139" s="284"/>
      <c r="E139" s="284"/>
      <c r="F139" s="284"/>
      <c r="G139" s="284"/>
      <c r="H139" s="183">
        <v>0.06</v>
      </c>
      <c r="I139" s="18">
        <f>ROUND(H139*I138,2)</f>
        <v>476.7</v>
      </c>
    </row>
    <row r="140" spans="1:9" ht="50.25" customHeight="1">
      <c r="A140" s="283" t="s">
        <v>84</v>
      </c>
      <c r="B140" s="283"/>
      <c r="C140" s="283"/>
      <c r="D140" s="283"/>
      <c r="E140" s="283"/>
      <c r="F140" s="283"/>
      <c r="G140" s="283"/>
      <c r="H140" s="70" t="s">
        <v>308</v>
      </c>
      <c r="I140" s="167">
        <f>SUM(I48+I95+I103+I128+I133+I139)</f>
        <v>8421.67</v>
      </c>
    </row>
    <row r="141" spans="1:9" ht="15.75" customHeight="1">
      <c r="A141" s="45" t="s">
        <v>294</v>
      </c>
      <c r="B141" s="284" t="s">
        <v>85</v>
      </c>
      <c r="C141" s="284"/>
      <c r="D141" s="284"/>
      <c r="E141" s="284"/>
      <c r="F141" s="284"/>
      <c r="G141" s="284"/>
      <c r="H141" s="183">
        <v>0.0679</v>
      </c>
      <c r="I141" s="18">
        <f>ROUND(H141*I140,2)</f>
        <v>571.83</v>
      </c>
    </row>
    <row r="142" spans="1:9" ht="54.75" customHeight="1">
      <c r="A142" s="283" t="s">
        <v>86</v>
      </c>
      <c r="B142" s="283"/>
      <c r="C142" s="283"/>
      <c r="D142" s="283"/>
      <c r="E142" s="283"/>
      <c r="F142" s="283"/>
      <c r="G142" s="283"/>
      <c r="H142" s="70" t="s">
        <v>308</v>
      </c>
      <c r="I142" s="167">
        <f>SUM(I43+I95+I103+I128+I133+I139+I141)</f>
        <v>8840.050000000001</v>
      </c>
    </row>
    <row r="143" spans="1:9" ht="16.5" customHeight="1">
      <c r="A143" s="71" t="s">
        <v>297</v>
      </c>
      <c r="B143" s="285" t="s">
        <v>87</v>
      </c>
      <c r="C143" s="285"/>
      <c r="D143" s="285"/>
      <c r="E143" s="285"/>
      <c r="F143" s="285"/>
      <c r="G143" s="285"/>
      <c r="H143" s="72" t="s">
        <v>308</v>
      </c>
      <c r="I143" s="18" t="s">
        <v>308</v>
      </c>
    </row>
    <row r="144" spans="1:9" ht="12.75">
      <c r="A144" s="45"/>
      <c r="B144" s="286" t="s">
        <v>88</v>
      </c>
      <c r="C144" s="286"/>
      <c r="D144" s="286"/>
      <c r="E144" s="286"/>
      <c r="F144" s="286"/>
      <c r="G144" s="286"/>
      <c r="H144" s="72" t="s">
        <v>308</v>
      </c>
      <c r="I144" s="18" t="s">
        <v>308</v>
      </c>
    </row>
    <row r="145" spans="1:9" ht="12.75">
      <c r="A145" s="45"/>
      <c r="B145" s="287" t="s">
        <v>89</v>
      </c>
      <c r="C145" s="287"/>
      <c r="D145" s="287"/>
      <c r="E145" s="287"/>
      <c r="F145" s="287"/>
      <c r="G145" s="287"/>
      <c r="H145" s="75">
        <v>0.03</v>
      </c>
      <c r="I145" s="77">
        <f>ROUND(($I$142/(1-$H$153))*H145,2)</f>
        <v>287.17</v>
      </c>
    </row>
    <row r="146" spans="1:9" ht="22.5" customHeight="1">
      <c r="A146" s="45"/>
      <c r="B146" s="287" t="s">
        <v>90</v>
      </c>
      <c r="C146" s="287"/>
      <c r="D146" s="287"/>
      <c r="E146" s="287"/>
      <c r="F146" s="287"/>
      <c r="G146" s="287"/>
      <c r="H146" s="75">
        <v>0.0065</v>
      </c>
      <c r="I146" s="77">
        <f>ROUND(($I$142/(1-$H$153))*H146,2)</f>
        <v>62.22</v>
      </c>
    </row>
    <row r="147" spans="1:9" ht="29.25" customHeight="1">
      <c r="A147" s="45"/>
      <c r="B147" s="263" t="s">
        <v>138</v>
      </c>
      <c r="C147" s="263"/>
      <c r="D147" s="263"/>
      <c r="E147" s="263"/>
      <c r="F147" s="263"/>
      <c r="G147" s="263"/>
      <c r="H147" s="75" t="s">
        <v>308</v>
      </c>
      <c r="I147" s="18" t="s">
        <v>308</v>
      </c>
    </row>
    <row r="148" spans="1:9" ht="29.25" customHeight="1">
      <c r="A148" s="45"/>
      <c r="B148" s="263" t="s">
        <v>139</v>
      </c>
      <c r="C148" s="263"/>
      <c r="D148" s="263"/>
      <c r="E148" s="263"/>
      <c r="F148" s="263"/>
      <c r="G148" s="263"/>
      <c r="H148" s="75" t="s">
        <v>308</v>
      </c>
      <c r="I148" s="18" t="s">
        <v>308</v>
      </c>
    </row>
    <row r="149" spans="1:9" ht="18" customHeight="1">
      <c r="A149" s="45"/>
      <c r="B149" s="288" t="s">
        <v>93</v>
      </c>
      <c r="C149" s="288"/>
      <c r="D149" s="288"/>
      <c r="E149" s="288"/>
      <c r="F149" s="288"/>
      <c r="G149" s="288"/>
      <c r="H149" s="76" t="s">
        <v>308</v>
      </c>
      <c r="I149" s="77" t="s">
        <v>308</v>
      </c>
    </row>
    <row r="150" spans="1:9" ht="18" customHeight="1">
      <c r="A150" s="45"/>
      <c r="B150" s="288" t="s">
        <v>94</v>
      </c>
      <c r="C150" s="288"/>
      <c r="D150" s="288"/>
      <c r="E150" s="288"/>
      <c r="F150" s="288"/>
      <c r="G150" s="288"/>
      <c r="H150" s="76" t="s">
        <v>308</v>
      </c>
      <c r="I150" s="77" t="s">
        <v>308</v>
      </c>
    </row>
    <row r="151" spans="1:9" ht="24.75" customHeight="1">
      <c r="A151" s="45"/>
      <c r="B151" s="251" t="s">
        <v>351</v>
      </c>
      <c r="C151" s="251"/>
      <c r="D151" s="251"/>
      <c r="E151" s="251"/>
      <c r="F151" s="251"/>
      <c r="G151" s="251"/>
      <c r="H151" s="75">
        <v>0.04</v>
      </c>
      <c r="I151" s="77">
        <f>ROUND(($I$142/(1-$H$153))*H151,2)</f>
        <v>382.89</v>
      </c>
    </row>
    <row r="152" spans="1:9" ht="15.75" customHeight="1">
      <c r="A152" s="412" t="s">
        <v>67</v>
      </c>
      <c r="B152" s="412"/>
      <c r="C152" s="412"/>
      <c r="D152" s="412"/>
      <c r="E152" s="412"/>
      <c r="F152" s="412"/>
      <c r="G152" s="412"/>
      <c r="H152" s="412"/>
      <c r="I152" s="160">
        <f>SUM(I139+I141+I145+I146+I151)</f>
        <v>1780.81</v>
      </c>
    </row>
    <row r="153" spans="1:9" ht="15.75" customHeight="1">
      <c r="A153" s="416" t="s">
        <v>96</v>
      </c>
      <c r="B153" s="416"/>
      <c r="C153" s="416"/>
      <c r="D153" s="416"/>
      <c r="E153" s="416"/>
      <c r="F153" s="416"/>
      <c r="G153" s="416"/>
      <c r="H153" s="155">
        <f>SUM(H145:H151)</f>
        <v>0.0765</v>
      </c>
      <c r="I153" s="168">
        <f>SUM(I145:I151)</f>
        <v>732.28</v>
      </c>
    </row>
    <row r="154" spans="1:9" ht="12.75" customHeight="1">
      <c r="A154" s="417" t="s">
        <v>97</v>
      </c>
      <c r="B154" s="418"/>
      <c r="C154" s="422" t="s">
        <v>98</v>
      </c>
      <c r="D154" s="423"/>
      <c r="E154" s="423"/>
      <c r="F154" s="423"/>
      <c r="G154" s="423"/>
      <c r="H154" s="423"/>
      <c r="I154" s="424"/>
    </row>
    <row r="155" spans="1:9" ht="12" customHeight="1">
      <c r="A155" s="419"/>
      <c r="B155" s="290"/>
      <c r="C155" s="425" t="s">
        <v>99</v>
      </c>
      <c r="D155" s="292"/>
      <c r="E155" s="292"/>
      <c r="F155" s="292"/>
      <c r="G155" s="292"/>
      <c r="H155" s="292"/>
      <c r="I155" s="426"/>
    </row>
    <row r="156" spans="1:9" ht="13.5" customHeight="1">
      <c r="A156" s="420"/>
      <c r="B156" s="421"/>
      <c r="C156" s="427" t="s">
        <v>100</v>
      </c>
      <c r="D156" s="428"/>
      <c r="E156" s="428"/>
      <c r="F156" s="428"/>
      <c r="G156" s="428"/>
      <c r="H156" s="428"/>
      <c r="I156" s="429"/>
    </row>
    <row r="157" spans="1:9" ht="12.75">
      <c r="A157" s="430"/>
      <c r="B157" s="430"/>
      <c r="C157" s="430"/>
      <c r="D157" s="430"/>
      <c r="E157" s="430"/>
      <c r="F157" s="430"/>
      <c r="G157" s="430"/>
      <c r="H157" s="430"/>
      <c r="I157" s="430"/>
    </row>
    <row r="158" spans="1:9" ht="24" customHeight="1">
      <c r="A158" s="295" t="s">
        <v>101</v>
      </c>
      <c r="B158" s="295"/>
      <c r="C158" s="295"/>
      <c r="D158" s="295"/>
      <c r="E158" s="295"/>
      <c r="F158" s="295"/>
      <c r="G158" s="295"/>
      <c r="H158" s="295"/>
      <c r="I158" s="295"/>
    </row>
    <row r="159" spans="1:9" ht="12.75">
      <c r="A159" s="431"/>
      <c r="B159" s="431"/>
      <c r="C159" s="431"/>
      <c r="D159" s="431"/>
      <c r="E159" s="431"/>
      <c r="F159" s="431"/>
      <c r="G159" s="431"/>
      <c r="H159" s="431"/>
      <c r="I159" s="431"/>
    </row>
    <row r="160" spans="1:9" s="133" customFormat="1" ht="15.75">
      <c r="A160" s="432" t="s">
        <v>339</v>
      </c>
      <c r="B160" s="433"/>
      <c r="C160" s="433"/>
      <c r="D160" s="433"/>
      <c r="E160" s="433"/>
      <c r="F160" s="433"/>
      <c r="G160" s="433"/>
      <c r="H160" s="433"/>
      <c r="I160" s="433"/>
    </row>
    <row r="161" spans="1:11" ht="21.75" customHeight="1">
      <c r="A161" s="189" t="s">
        <v>103</v>
      </c>
      <c r="B161" s="189"/>
      <c r="C161" s="189"/>
      <c r="D161" s="189"/>
      <c r="E161" s="189"/>
      <c r="F161" s="189"/>
      <c r="G161" s="189"/>
      <c r="H161" s="189"/>
      <c r="I161" s="5" t="s">
        <v>25</v>
      </c>
      <c r="K161" s="135"/>
    </row>
    <row r="162" spans="1:11" ht="15" customHeight="1">
      <c r="A162" s="81" t="s">
        <v>292</v>
      </c>
      <c r="B162" s="297" t="s">
        <v>104</v>
      </c>
      <c r="C162" s="297"/>
      <c r="D162" s="297"/>
      <c r="E162" s="297"/>
      <c r="F162" s="297"/>
      <c r="G162" s="297"/>
      <c r="H162" s="297"/>
      <c r="I162" s="145">
        <f>I48</f>
        <v>4098.95</v>
      </c>
      <c r="K162" s="136"/>
    </row>
    <row r="163" spans="1:9" ht="15" customHeight="1">
      <c r="A163" s="81" t="s">
        <v>294</v>
      </c>
      <c r="B163" s="297" t="s">
        <v>105</v>
      </c>
      <c r="C163" s="297"/>
      <c r="D163" s="297"/>
      <c r="E163" s="297"/>
      <c r="F163" s="297"/>
      <c r="G163" s="297"/>
      <c r="H163" s="297"/>
      <c r="I163" s="145">
        <f>I95</f>
        <v>2475.9300000000003</v>
      </c>
    </row>
    <row r="164" spans="1:9" ht="15" customHeight="1">
      <c r="A164" s="81" t="s">
        <v>297</v>
      </c>
      <c r="B164" s="297" t="s">
        <v>106</v>
      </c>
      <c r="C164" s="297"/>
      <c r="D164" s="297"/>
      <c r="E164" s="297"/>
      <c r="F164" s="297"/>
      <c r="G164" s="297"/>
      <c r="H164" s="297"/>
      <c r="I164" s="145">
        <f>I103</f>
        <v>724.0699999999999</v>
      </c>
    </row>
    <row r="165" spans="1:9" ht="15" customHeight="1">
      <c r="A165" s="81" t="s">
        <v>300</v>
      </c>
      <c r="B165" s="297" t="s">
        <v>107</v>
      </c>
      <c r="C165" s="297"/>
      <c r="D165" s="297"/>
      <c r="E165" s="297"/>
      <c r="F165" s="297"/>
      <c r="G165" s="297"/>
      <c r="H165" s="297"/>
      <c r="I165" s="145">
        <f>I128</f>
        <v>646.02</v>
      </c>
    </row>
    <row r="166" spans="1:9" ht="15" customHeight="1">
      <c r="A166" s="81" t="s">
        <v>16</v>
      </c>
      <c r="B166" s="297" t="s">
        <v>108</v>
      </c>
      <c r="C166" s="297"/>
      <c r="D166" s="297"/>
      <c r="E166" s="297"/>
      <c r="F166" s="297"/>
      <c r="G166" s="297"/>
      <c r="H166" s="297"/>
      <c r="I166" s="145">
        <f>I133</f>
        <v>0</v>
      </c>
    </row>
    <row r="167" spans="1:9" ht="15" customHeight="1">
      <c r="A167" s="434" t="s">
        <v>109</v>
      </c>
      <c r="B167" s="434"/>
      <c r="C167" s="434"/>
      <c r="D167" s="434"/>
      <c r="E167" s="434"/>
      <c r="F167" s="434"/>
      <c r="G167" s="434"/>
      <c r="H167" s="434"/>
      <c r="I167" s="146">
        <f>SUM(I162:I166)</f>
        <v>7944.969999999999</v>
      </c>
    </row>
    <row r="168" spans="1:9" ht="15" customHeight="1">
      <c r="A168" s="82" t="s">
        <v>18</v>
      </c>
      <c r="B168" s="297" t="s">
        <v>80</v>
      </c>
      <c r="C168" s="297"/>
      <c r="D168" s="297"/>
      <c r="E168" s="297"/>
      <c r="F168" s="297"/>
      <c r="G168" s="297"/>
      <c r="H168" s="297"/>
      <c r="I168" s="147">
        <f>I152</f>
        <v>1780.81</v>
      </c>
    </row>
    <row r="169" spans="1:9" ht="15" customHeight="1">
      <c r="A169" s="434" t="s">
        <v>110</v>
      </c>
      <c r="B169" s="434"/>
      <c r="C169" s="434"/>
      <c r="D169" s="434"/>
      <c r="E169" s="434"/>
      <c r="F169" s="434"/>
      <c r="G169" s="434"/>
      <c r="H169" s="434"/>
      <c r="I169" s="146">
        <f>I167+I168</f>
        <v>9725.779999999999</v>
      </c>
    </row>
    <row r="170" spans="1:9" ht="15.75" customHeight="1">
      <c r="A170" s="331"/>
      <c r="B170" s="331"/>
      <c r="C170" s="331"/>
      <c r="D170" s="331"/>
      <c r="E170" s="331"/>
      <c r="F170" s="331"/>
      <c r="G170" s="331"/>
      <c r="H170" s="331"/>
      <c r="I170" s="331"/>
    </row>
    <row r="171" spans="1:9" ht="23.25" customHeight="1">
      <c r="A171" s="301" t="s">
        <v>112</v>
      </c>
      <c r="B171" s="301"/>
      <c r="C171" s="301"/>
      <c r="D171" s="301"/>
      <c r="E171" s="301"/>
      <c r="F171" s="301"/>
      <c r="G171" s="301"/>
      <c r="H171" s="301"/>
      <c r="I171" s="301"/>
    </row>
    <row r="172" spans="1:256" ht="25.5">
      <c r="A172" s="193" t="s">
        <v>113</v>
      </c>
      <c r="B172" s="193"/>
      <c r="C172" s="193"/>
      <c r="D172" s="193"/>
      <c r="E172" s="193" t="s">
        <v>114</v>
      </c>
      <c r="F172" s="193"/>
      <c r="G172" s="5" t="s">
        <v>115</v>
      </c>
      <c r="H172" s="193" t="s">
        <v>116</v>
      </c>
      <c r="I172" s="193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41.25" customHeight="1">
      <c r="A173" s="435" t="s">
        <v>119</v>
      </c>
      <c r="B173" s="436"/>
      <c r="C173" s="436"/>
      <c r="D173" s="437"/>
      <c r="E173" s="438">
        <f>I169</f>
        <v>9725.779999999999</v>
      </c>
      <c r="F173" s="439"/>
      <c r="G173" s="125">
        <v>2</v>
      </c>
      <c r="H173" s="438">
        <f>E173*G173</f>
        <v>19451.559999999998</v>
      </c>
      <c r="I173" s="439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.75">
      <c r="A174" s="351" t="s">
        <v>123</v>
      </c>
      <c r="B174" s="351"/>
      <c r="C174" s="351"/>
      <c r="D174" s="351"/>
      <c r="E174" s="351"/>
      <c r="F174" s="351"/>
      <c r="G174" s="89">
        <f>SUM(G173:G173)</f>
        <v>2</v>
      </c>
      <c r="H174" s="309">
        <f>SUM(H173:I173)</f>
        <v>19451.559999999998</v>
      </c>
      <c r="I174" s="309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21.75" customHeight="1">
      <c r="A175" s="311" t="s">
        <v>124</v>
      </c>
      <c r="B175" s="311"/>
      <c r="C175" s="311"/>
      <c r="D175" s="311"/>
      <c r="E175" s="311"/>
      <c r="F175" s="311"/>
      <c r="G175" s="311"/>
      <c r="H175" s="311"/>
      <c r="I175" s="311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9" ht="9.75" customHeight="1">
      <c r="A176" s="440"/>
      <c r="B176" s="440"/>
      <c r="C176" s="440"/>
      <c r="D176" s="440"/>
      <c r="E176" s="440"/>
      <c r="F176" s="440"/>
      <c r="G176" s="440"/>
      <c r="H176" s="440"/>
      <c r="I176" s="440"/>
    </row>
    <row r="177" spans="1:9" ht="18">
      <c r="A177" s="313" t="s">
        <v>125</v>
      </c>
      <c r="B177" s="313"/>
      <c r="C177" s="313"/>
      <c r="D177" s="313"/>
      <c r="E177" s="313"/>
      <c r="F177" s="313"/>
      <c r="G177" s="314">
        <f>$H$174</f>
        <v>19451.559999999998</v>
      </c>
      <c r="H177" s="314"/>
      <c r="I177" s="314"/>
    </row>
    <row r="178" spans="1:9" ht="18">
      <c r="A178" s="441"/>
      <c r="B178" s="441"/>
      <c r="C178" s="441"/>
      <c r="D178" s="441"/>
      <c r="E178" s="441"/>
      <c r="F178" s="441"/>
      <c r="G178" s="441"/>
      <c r="H178" s="441"/>
      <c r="I178" s="441"/>
    </row>
    <row r="179" spans="1:9" ht="19.5" customHeight="1">
      <c r="A179" s="316" t="s">
        <v>126</v>
      </c>
      <c r="B179" s="316"/>
      <c r="C179" s="316"/>
      <c r="D179" s="316"/>
      <c r="E179" s="316"/>
      <c r="F179" s="316"/>
      <c r="G179" s="317">
        <f>$H$11</f>
        <v>12</v>
      </c>
      <c r="H179" s="317"/>
      <c r="I179" s="317"/>
    </row>
    <row r="180" spans="1:9" ht="18">
      <c r="A180" s="442"/>
      <c r="B180" s="442"/>
      <c r="C180" s="442"/>
      <c r="D180" s="442"/>
      <c r="E180" s="442"/>
      <c r="F180" s="442"/>
      <c r="G180" s="442"/>
      <c r="H180" s="442"/>
      <c r="I180" s="442"/>
    </row>
    <row r="181" spans="1:9" ht="31.5" customHeight="1">
      <c r="A181" s="319" t="s">
        <v>127</v>
      </c>
      <c r="B181" s="319"/>
      <c r="C181" s="319"/>
      <c r="D181" s="319"/>
      <c r="E181" s="319"/>
      <c r="F181" s="319"/>
      <c r="G181" s="320">
        <f>ROUND(G177*G179,2)</f>
        <v>233418.72</v>
      </c>
      <c r="H181" s="320"/>
      <c r="I181" s="320"/>
    </row>
    <row r="182" spans="1:9" ht="12.75">
      <c r="A182" s="444"/>
      <c r="B182" s="444"/>
      <c r="C182" s="444"/>
      <c r="D182" s="444"/>
      <c r="E182" s="444"/>
      <c r="F182" s="444"/>
      <c r="G182" s="444"/>
      <c r="H182" s="444"/>
      <c r="I182" s="444"/>
    </row>
    <row r="183" spans="1:9" ht="12.75">
      <c r="A183" s="322" t="s">
        <v>347</v>
      </c>
      <c r="B183" s="322"/>
      <c r="C183" s="322"/>
      <c r="D183" s="322"/>
      <c r="E183" s="322"/>
      <c r="F183" s="322"/>
      <c r="G183" s="322"/>
      <c r="H183" s="322"/>
      <c r="I183" s="322"/>
    </row>
    <row r="184" spans="1:9" ht="12" customHeight="1">
      <c r="A184" s="323" t="s">
        <v>129</v>
      </c>
      <c r="B184" s="323"/>
      <c r="C184" s="323"/>
      <c r="D184" s="195" t="s">
        <v>130</v>
      </c>
      <c r="E184" s="195"/>
      <c r="F184" s="195"/>
      <c r="G184" s="195"/>
      <c r="H184" s="195"/>
      <c r="I184" s="195"/>
    </row>
    <row r="185" spans="1:9" ht="12">
      <c r="A185" s="323"/>
      <c r="B185" s="323"/>
      <c r="C185" s="323"/>
      <c r="D185" s="195"/>
      <c r="E185" s="195"/>
      <c r="F185" s="195"/>
      <c r="G185" s="195"/>
      <c r="H185" s="195"/>
      <c r="I185" s="195"/>
    </row>
    <row r="186" spans="1:9" ht="14.25" customHeight="1">
      <c r="A186" s="324" t="s">
        <v>131</v>
      </c>
      <c r="B186" s="324"/>
      <c r="C186" s="324"/>
      <c r="D186" s="325">
        <v>4</v>
      </c>
      <c r="E186" s="325"/>
      <c r="F186" s="325"/>
      <c r="G186" s="325"/>
      <c r="H186" s="325"/>
      <c r="I186" s="325"/>
    </row>
    <row r="187" spans="1:9" ht="15" customHeight="1">
      <c r="A187" s="443"/>
      <c r="B187" s="443"/>
      <c r="C187" s="443"/>
      <c r="D187" s="443"/>
      <c r="E187" s="443"/>
      <c r="F187" s="443"/>
      <c r="G187" s="443"/>
      <c r="H187" s="443"/>
      <c r="I187" s="443"/>
    </row>
  </sheetData>
  <sheetProtection selectLockedCells="1" selectUnlockedCells="1"/>
  <mergeCells count="246">
    <mergeCell ref="A180:I180"/>
    <mergeCell ref="A181:F181"/>
    <mergeCell ref="G181:I181"/>
    <mergeCell ref="A187:I187"/>
    <mergeCell ref="A182:I182"/>
    <mergeCell ref="A183:I183"/>
    <mergeCell ref="A184:C185"/>
    <mergeCell ref="D184:I185"/>
    <mergeCell ref="A186:C186"/>
    <mergeCell ref="D186:I186"/>
    <mergeCell ref="A175:I175"/>
    <mergeCell ref="A176:I176"/>
    <mergeCell ref="A177:F177"/>
    <mergeCell ref="G177:I177"/>
    <mergeCell ref="A178:I178"/>
    <mergeCell ref="A179:F179"/>
    <mergeCell ref="G179:I179"/>
    <mergeCell ref="A171:I171"/>
    <mergeCell ref="A172:D172"/>
    <mergeCell ref="E172:F172"/>
    <mergeCell ref="H172:I172"/>
    <mergeCell ref="A174:F174"/>
    <mergeCell ref="H174:I174"/>
    <mergeCell ref="B164:H164"/>
    <mergeCell ref="B165:H165"/>
    <mergeCell ref="B166:H166"/>
    <mergeCell ref="A167:H167"/>
    <mergeCell ref="B168:H168"/>
    <mergeCell ref="A173:D173"/>
    <mergeCell ref="E173:F173"/>
    <mergeCell ref="H173:I173"/>
    <mergeCell ref="A169:H169"/>
    <mergeCell ref="A170:I170"/>
    <mergeCell ref="A158:I158"/>
    <mergeCell ref="A159:I159"/>
    <mergeCell ref="A160:I160"/>
    <mergeCell ref="A161:H161"/>
    <mergeCell ref="B162:H162"/>
    <mergeCell ref="B163:H163"/>
    <mergeCell ref="A153:G153"/>
    <mergeCell ref="A154:B156"/>
    <mergeCell ref="C154:I154"/>
    <mergeCell ref="C155:I155"/>
    <mergeCell ref="C156:I156"/>
    <mergeCell ref="A157:I157"/>
    <mergeCell ref="B147:G147"/>
    <mergeCell ref="B148:G148"/>
    <mergeCell ref="B149:G149"/>
    <mergeCell ref="B150:G150"/>
    <mergeCell ref="B151:G151"/>
    <mergeCell ref="A152:H152"/>
    <mergeCell ref="B141:G141"/>
    <mergeCell ref="A142:G142"/>
    <mergeCell ref="B143:G143"/>
    <mergeCell ref="B144:G144"/>
    <mergeCell ref="B145:G145"/>
    <mergeCell ref="B146:G146"/>
    <mergeCell ref="A134:I134"/>
    <mergeCell ref="A136:I136"/>
    <mergeCell ref="B137:G137"/>
    <mergeCell ref="A138:G138"/>
    <mergeCell ref="B139:G139"/>
    <mergeCell ref="A140:G140"/>
    <mergeCell ref="A135:I135"/>
    <mergeCell ref="A129:I129"/>
    <mergeCell ref="B130:H130"/>
    <mergeCell ref="B131:H131"/>
    <mergeCell ref="B132:H132"/>
    <mergeCell ref="A133:H133"/>
    <mergeCell ref="A124:I124"/>
    <mergeCell ref="B125:H125"/>
    <mergeCell ref="B126:H126"/>
    <mergeCell ref="B127:H127"/>
    <mergeCell ref="A128:H128"/>
    <mergeCell ref="A118:H118"/>
    <mergeCell ref="A119:I119"/>
    <mergeCell ref="B120:H120"/>
    <mergeCell ref="B121:H121"/>
    <mergeCell ref="A122:H122"/>
    <mergeCell ref="A123:I123"/>
    <mergeCell ref="B112:H112"/>
    <mergeCell ref="B113:H113"/>
    <mergeCell ref="B114:H114"/>
    <mergeCell ref="B115:H115"/>
    <mergeCell ref="B116:H116"/>
    <mergeCell ref="B117:H117"/>
    <mergeCell ref="A105:I105"/>
    <mergeCell ref="A106:I106"/>
    <mergeCell ref="A107:I107"/>
    <mergeCell ref="A109:I109"/>
    <mergeCell ref="A110:I110"/>
    <mergeCell ref="B111:H111"/>
    <mergeCell ref="B99:H99"/>
    <mergeCell ref="B100:H100"/>
    <mergeCell ref="B101:H101"/>
    <mergeCell ref="B102:G102"/>
    <mergeCell ref="A103:H103"/>
    <mergeCell ref="A104:I104"/>
    <mergeCell ref="B93:H93"/>
    <mergeCell ref="B94:H94"/>
    <mergeCell ref="A95:H95"/>
    <mergeCell ref="A96:I96"/>
    <mergeCell ref="B97:H97"/>
    <mergeCell ref="B98:H98"/>
    <mergeCell ref="B87:H87"/>
    <mergeCell ref="A88:I88"/>
    <mergeCell ref="A89:I89"/>
    <mergeCell ref="A90:I90"/>
    <mergeCell ref="B91:H91"/>
    <mergeCell ref="B92:H92"/>
    <mergeCell ref="B81:G81"/>
    <mergeCell ref="B82:G82"/>
    <mergeCell ref="B83:H83"/>
    <mergeCell ref="B84:H84"/>
    <mergeCell ref="B85:H85"/>
    <mergeCell ref="B86:H86"/>
    <mergeCell ref="B75:G75"/>
    <mergeCell ref="B76:G76"/>
    <mergeCell ref="B77:G77"/>
    <mergeCell ref="B78:G78"/>
    <mergeCell ref="B79:H79"/>
    <mergeCell ref="B80:G80"/>
    <mergeCell ref="A69:G69"/>
    <mergeCell ref="A70:I70"/>
    <mergeCell ref="A71:I71"/>
    <mergeCell ref="A72:I72"/>
    <mergeCell ref="B73:H73"/>
    <mergeCell ref="B74:H74"/>
    <mergeCell ref="B63:C63"/>
    <mergeCell ref="B64:G64"/>
    <mergeCell ref="B65:G65"/>
    <mergeCell ref="B66:G66"/>
    <mergeCell ref="B67:G67"/>
    <mergeCell ref="B68:G68"/>
    <mergeCell ref="A57:I57"/>
    <mergeCell ref="A58:I58"/>
    <mergeCell ref="A59:I59"/>
    <mergeCell ref="B60:G60"/>
    <mergeCell ref="B61:G61"/>
    <mergeCell ref="B62:G62"/>
    <mergeCell ref="A51:I51"/>
    <mergeCell ref="A52:I52"/>
    <mergeCell ref="B53:H53"/>
    <mergeCell ref="B54:G54"/>
    <mergeCell ref="B55:G55"/>
    <mergeCell ref="A56:H56"/>
    <mergeCell ref="B45:H45"/>
    <mergeCell ref="A46:H46"/>
    <mergeCell ref="A47:I47"/>
    <mergeCell ref="A48:H48"/>
    <mergeCell ref="A49:I49"/>
    <mergeCell ref="A50:I50"/>
    <mergeCell ref="B42:H42"/>
    <mergeCell ref="A43:H43"/>
    <mergeCell ref="A33:I33"/>
    <mergeCell ref="A34:I34"/>
    <mergeCell ref="B35:G35"/>
    <mergeCell ref="B36:H36"/>
    <mergeCell ref="B40:H40"/>
    <mergeCell ref="B37:H37"/>
    <mergeCell ref="B38:H38"/>
    <mergeCell ref="B30:G30"/>
    <mergeCell ref="H30:I30"/>
    <mergeCell ref="A31:I31"/>
    <mergeCell ref="A32:I32"/>
    <mergeCell ref="B39:H39"/>
    <mergeCell ref="B41:G41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2:G22"/>
    <mergeCell ref="H22:I22"/>
    <mergeCell ref="GC20:GJ20"/>
    <mergeCell ref="GK20:GR20"/>
    <mergeCell ref="GS20:GZ20"/>
    <mergeCell ref="B23:G23"/>
    <mergeCell ref="H23:I23"/>
    <mergeCell ref="FM20:FT20"/>
    <mergeCell ref="FU20:GB20"/>
    <mergeCell ref="DA20:DH20"/>
    <mergeCell ref="IG20:IN20"/>
    <mergeCell ref="IO20:IV20"/>
    <mergeCell ref="B21:G21"/>
    <mergeCell ref="H21:I21"/>
    <mergeCell ref="DI20:DP20"/>
    <mergeCell ref="DQ20:DX20"/>
    <mergeCell ref="DY20:EF20"/>
    <mergeCell ref="HA20:HH20"/>
    <mergeCell ref="HI20:HP20"/>
    <mergeCell ref="BM20:BT20"/>
    <mergeCell ref="BU20:CB20"/>
    <mergeCell ref="CC20:CJ20"/>
    <mergeCell ref="CK20:CR20"/>
    <mergeCell ref="CS20:CZ20"/>
    <mergeCell ref="HY20:IF20"/>
    <mergeCell ref="Y20:AF20"/>
    <mergeCell ref="AG20:AN20"/>
    <mergeCell ref="AO20:AV20"/>
    <mergeCell ref="AW20:BD20"/>
    <mergeCell ref="BE20:BL20"/>
    <mergeCell ref="HQ20:HX20"/>
    <mergeCell ref="EG20:EN20"/>
    <mergeCell ref="EO20:EV20"/>
    <mergeCell ref="EW20:FD20"/>
    <mergeCell ref="FE20:FL20"/>
    <mergeCell ref="A17:I17"/>
    <mergeCell ref="A18:I18"/>
    <mergeCell ref="A19:I19"/>
    <mergeCell ref="A20:I20"/>
    <mergeCell ref="J20:P20"/>
    <mergeCell ref="Q20:X20"/>
    <mergeCell ref="A12:I12"/>
    <mergeCell ref="A13:E13"/>
    <mergeCell ref="F13:G13"/>
    <mergeCell ref="A15:G15"/>
    <mergeCell ref="H15:I15"/>
    <mergeCell ref="A16:I16"/>
    <mergeCell ref="H8:I8"/>
    <mergeCell ref="B9:G9"/>
    <mergeCell ref="H9:I9"/>
    <mergeCell ref="A14:E14"/>
    <mergeCell ref="F14:G14"/>
    <mergeCell ref="H14:I14"/>
    <mergeCell ref="B10:G10"/>
    <mergeCell ref="H10:I10"/>
    <mergeCell ref="B11:G11"/>
    <mergeCell ref="H11:I11"/>
    <mergeCell ref="F4:I6"/>
    <mergeCell ref="A6:E6"/>
    <mergeCell ref="A44:H44"/>
    <mergeCell ref="A2:I2"/>
    <mergeCell ref="A3:I3"/>
    <mergeCell ref="A4:E4"/>
    <mergeCell ref="A5:E5"/>
    <mergeCell ref="H13:I13"/>
    <mergeCell ref="A7:I7"/>
    <mergeCell ref="B8:G8"/>
  </mergeCells>
  <printOptions horizontalCentered="1" verticalCentered="1"/>
  <pageMargins left="0.2755905511811024" right="0.31496062992125984" top="1.0236220472440944" bottom="0.7086614173228347" header="0" footer="0"/>
  <pageSetup horizontalDpi="600" verticalDpi="600" orientation="landscape" paperSize="9" r:id="rId1"/>
  <rowBreaks count="3" manualBreakCount="3">
    <brk id="40" max="255" man="1"/>
    <brk id="88" max="255" man="1"/>
    <brk id="1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M189"/>
  <sheetViews>
    <sheetView zoomScaleSheetLayoutView="130" zoomScalePageLayoutView="0" workbookViewId="0" topLeftCell="A106">
      <selection activeCell="H24" sqref="H24:I24"/>
    </sheetView>
  </sheetViews>
  <sheetFormatPr defaultColWidth="9.140625" defaultRowHeight="12.75"/>
  <cols>
    <col min="1" max="1" width="20.421875" style="1" customWidth="1"/>
    <col min="2" max="2" width="16.421875" style="1" customWidth="1"/>
    <col min="3" max="3" width="9.8515625" style="1" customWidth="1"/>
    <col min="4" max="4" width="13.421875" style="1" customWidth="1"/>
    <col min="5" max="5" width="12.421875" style="1" customWidth="1"/>
    <col min="6" max="6" width="11.28125" style="1" customWidth="1"/>
    <col min="7" max="7" width="21.00390625" style="1" customWidth="1"/>
    <col min="8" max="8" width="13.00390625" style="4" customWidth="1"/>
    <col min="9" max="9" width="15.00390625" style="169" customWidth="1"/>
    <col min="10" max="16384" width="9.140625" style="1" customWidth="1"/>
  </cols>
  <sheetData>
    <row r="2" spans="1:9" ht="32.25" customHeight="1">
      <c r="A2" s="185" t="s">
        <v>140</v>
      </c>
      <c r="B2" s="185"/>
      <c r="C2" s="185"/>
      <c r="D2" s="185"/>
      <c r="E2" s="185"/>
      <c r="F2" s="185"/>
      <c r="G2" s="185"/>
      <c r="H2" s="185"/>
      <c r="I2" s="185"/>
    </row>
    <row r="3" spans="1:9" ht="46.5" customHeight="1">
      <c r="A3" s="186" t="s">
        <v>328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349</v>
      </c>
      <c r="B4" s="187"/>
      <c r="C4" s="187"/>
      <c r="D4" s="187"/>
      <c r="E4" s="187"/>
      <c r="F4" s="352" t="s">
        <v>341</v>
      </c>
      <c r="G4" s="353"/>
      <c r="H4" s="353"/>
      <c r="I4" s="354"/>
    </row>
    <row r="5" spans="1:9" ht="18" customHeight="1">
      <c r="A5" s="187" t="s">
        <v>350</v>
      </c>
      <c r="B5" s="187"/>
      <c r="C5" s="187"/>
      <c r="D5" s="187"/>
      <c r="E5" s="187"/>
      <c r="F5" s="355"/>
      <c r="G5" s="356"/>
      <c r="H5" s="356"/>
      <c r="I5" s="357"/>
    </row>
    <row r="6" spans="1:9" ht="16.5" customHeight="1">
      <c r="A6" s="254" t="s">
        <v>327</v>
      </c>
      <c r="B6" s="297"/>
      <c r="C6" s="297"/>
      <c r="D6" s="297"/>
      <c r="E6" s="361"/>
      <c r="F6" s="358"/>
      <c r="G6" s="359"/>
      <c r="H6" s="359"/>
      <c r="I6" s="360"/>
    </row>
    <row r="7" spans="1:9" ht="15">
      <c r="A7" s="221" t="s">
        <v>291</v>
      </c>
      <c r="B7" s="221"/>
      <c r="C7" s="221"/>
      <c r="D7" s="221"/>
      <c r="E7" s="221"/>
      <c r="F7" s="221"/>
      <c r="G7" s="221"/>
      <c r="H7" s="221"/>
      <c r="I7" s="221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/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326</v>
      </c>
      <c r="I9" s="188"/>
    </row>
    <row r="10" spans="1:9" ht="19.5" customHeight="1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9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</row>
    <row r="12" spans="1:9" ht="21" customHeight="1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3.5" customHeight="1">
      <c r="A14" s="197" t="s">
        <v>311</v>
      </c>
      <c r="B14" s="197"/>
      <c r="C14" s="197"/>
      <c r="D14" s="197"/>
      <c r="E14" s="197"/>
      <c r="F14" s="193" t="s">
        <v>307</v>
      </c>
      <c r="G14" s="193"/>
      <c r="H14" s="198">
        <v>3</v>
      </c>
      <c r="I14" s="198"/>
    </row>
    <row r="15" spans="1:9" ht="12.75" customHeight="1">
      <c r="A15" s="447" t="s">
        <v>314</v>
      </c>
      <c r="B15" s="447"/>
      <c r="C15" s="447"/>
      <c r="D15" s="447"/>
      <c r="E15" s="447"/>
      <c r="F15" s="447"/>
      <c r="G15" s="447"/>
      <c r="H15" s="200">
        <f>SUM(H14:H14)</f>
        <v>3</v>
      </c>
      <c r="I15" s="200"/>
    </row>
    <row r="16" spans="1:9" ht="12.75">
      <c r="A16" s="385"/>
      <c r="B16" s="385"/>
      <c r="C16" s="385"/>
      <c r="D16" s="385"/>
      <c r="E16" s="385"/>
      <c r="F16" s="385"/>
      <c r="G16" s="385"/>
      <c r="H16" s="385"/>
      <c r="I16" s="385"/>
    </row>
    <row r="17" spans="1:9" ht="54.75" customHeight="1">
      <c r="A17" s="202" t="s">
        <v>315</v>
      </c>
      <c r="B17" s="202"/>
      <c r="C17" s="202"/>
      <c r="D17" s="202"/>
      <c r="E17" s="202"/>
      <c r="F17" s="202"/>
      <c r="G17" s="202"/>
      <c r="H17" s="202"/>
      <c r="I17" s="202"/>
    </row>
    <row r="18" spans="1:9" ht="13.5" customHeight="1">
      <c r="A18" s="376"/>
      <c r="B18" s="376"/>
      <c r="C18" s="376"/>
      <c r="D18" s="376"/>
      <c r="E18" s="376"/>
      <c r="F18" s="376"/>
      <c r="G18" s="376"/>
      <c r="H18" s="376"/>
      <c r="I18" s="376"/>
    </row>
    <row r="19" spans="1:9" ht="51.75" customHeight="1">
      <c r="A19" s="445" t="s">
        <v>316</v>
      </c>
      <c r="B19" s="445"/>
      <c r="C19" s="445"/>
      <c r="D19" s="445"/>
      <c r="E19" s="445"/>
      <c r="F19" s="445"/>
      <c r="G19" s="445"/>
      <c r="H19" s="445"/>
      <c r="I19" s="445"/>
    </row>
    <row r="20" spans="1:9" ht="15">
      <c r="A20" s="446"/>
      <c r="B20" s="446"/>
      <c r="C20" s="446"/>
      <c r="D20" s="446"/>
      <c r="E20" s="446"/>
      <c r="F20" s="446"/>
      <c r="G20" s="446"/>
      <c r="H20" s="446"/>
      <c r="I20" s="446"/>
    </row>
    <row r="21" spans="1:247" s="9" customFormat="1" ht="21.75" customHeight="1">
      <c r="A21" s="189" t="s">
        <v>281</v>
      </c>
      <c r="B21" s="189"/>
      <c r="C21" s="189"/>
      <c r="D21" s="189"/>
      <c r="E21" s="189"/>
      <c r="F21" s="189"/>
      <c r="G21" s="189"/>
      <c r="H21" s="189"/>
      <c r="I21" s="189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</row>
    <row r="22" spans="1:9" ht="27" customHeight="1">
      <c r="A22" s="3">
        <v>1</v>
      </c>
      <c r="B22" s="187" t="s">
        <v>317</v>
      </c>
      <c r="C22" s="187"/>
      <c r="D22" s="187"/>
      <c r="E22" s="187"/>
      <c r="F22" s="187"/>
      <c r="G22" s="187"/>
      <c r="H22" s="207" t="s">
        <v>318</v>
      </c>
      <c r="I22" s="207"/>
    </row>
    <row r="23" spans="1:9" ht="19.5" customHeight="1">
      <c r="A23" s="10">
        <v>2</v>
      </c>
      <c r="B23" s="208" t="s">
        <v>319</v>
      </c>
      <c r="C23" s="208"/>
      <c r="D23" s="208"/>
      <c r="E23" s="208"/>
      <c r="F23" s="208"/>
      <c r="G23" s="208"/>
      <c r="H23" s="209" t="s">
        <v>0</v>
      </c>
      <c r="I23" s="209"/>
    </row>
    <row r="24" spans="1:9" ht="15.75" customHeight="1">
      <c r="A24" s="3">
        <v>3</v>
      </c>
      <c r="B24" s="187" t="s">
        <v>1</v>
      </c>
      <c r="C24" s="187"/>
      <c r="D24" s="187"/>
      <c r="E24" s="187"/>
      <c r="F24" s="187"/>
      <c r="G24" s="187"/>
      <c r="H24" s="375">
        <v>1500.4</v>
      </c>
      <c r="I24" s="375"/>
    </row>
    <row r="25" spans="1:9" ht="15.75" customHeight="1">
      <c r="A25" s="3">
        <v>4</v>
      </c>
      <c r="B25" s="187" t="s">
        <v>2</v>
      </c>
      <c r="C25" s="187"/>
      <c r="D25" s="187"/>
      <c r="E25" s="187"/>
      <c r="F25" s="187"/>
      <c r="G25" s="187"/>
      <c r="H25" s="211" t="s">
        <v>3</v>
      </c>
      <c r="I25" s="211"/>
    </row>
    <row r="26" spans="1:9" ht="15.75" customHeight="1">
      <c r="A26" s="3">
        <v>5</v>
      </c>
      <c r="B26" s="187" t="s">
        <v>4</v>
      </c>
      <c r="C26" s="187"/>
      <c r="D26" s="187"/>
      <c r="E26" s="187"/>
      <c r="F26" s="187"/>
      <c r="G26" s="187"/>
      <c r="H26" s="212" t="s">
        <v>148</v>
      </c>
      <c r="I26" s="212"/>
    </row>
    <row r="27" spans="1:247" ht="27" customHeight="1">
      <c r="A27" s="11">
        <v>6</v>
      </c>
      <c r="B27" s="213" t="s">
        <v>5</v>
      </c>
      <c r="C27" s="213"/>
      <c r="D27" s="213"/>
      <c r="E27" s="213"/>
      <c r="F27" s="213"/>
      <c r="G27" s="213"/>
      <c r="H27" s="214">
        <f>ROUND((H24/220),2)</f>
        <v>6.82</v>
      </c>
      <c r="I27" s="21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23.25" customHeight="1">
      <c r="A28" s="11">
        <v>7</v>
      </c>
      <c r="B28" s="213" t="s">
        <v>6</v>
      </c>
      <c r="C28" s="213"/>
      <c r="D28" s="213"/>
      <c r="E28" s="213"/>
      <c r="F28" s="213"/>
      <c r="G28" s="213"/>
      <c r="H28" s="215">
        <f>ROUND(H27*1.5,2)</f>
        <v>10.23</v>
      </c>
      <c r="I28" s="21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26.25" customHeight="1">
      <c r="A29" s="11">
        <v>8</v>
      </c>
      <c r="B29" s="213" t="s">
        <v>7</v>
      </c>
      <c r="C29" s="213"/>
      <c r="D29" s="213"/>
      <c r="E29" s="213"/>
      <c r="F29" s="213"/>
      <c r="G29" s="213"/>
      <c r="H29" s="214">
        <f>ROUND(H27*0.2,2)</f>
        <v>1.36</v>
      </c>
      <c r="I29" s="21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6.5" customHeight="1">
      <c r="A30" s="11">
        <v>9</v>
      </c>
      <c r="B30" s="213" t="s">
        <v>283</v>
      </c>
      <c r="C30" s="213"/>
      <c r="D30" s="213"/>
      <c r="E30" s="213"/>
      <c r="F30" s="213"/>
      <c r="G30" s="213"/>
      <c r="H30" s="214">
        <f>ROUND(H27/6,2)</f>
        <v>1.14</v>
      </c>
      <c r="I30" s="21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5.75" customHeight="1">
      <c r="A31" s="11">
        <v>10</v>
      </c>
      <c r="B31" s="216" t="s">
        <v>8</v>
      </c>
      <c r="C31" s="216"/>
      <c r="D31" s="216"/>
      <c r="E31" s="216"/>
      <c r="F31" s="216"/>
      <c r="G31" s="216"/>
      <c r="H31" s="217">
        <v>2</v>
      </c>
      <c r="I31" s="21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9" ht="12.75">
      <c r="A32" s="376"/>
      <c r="B32" s="376"/>
      <c r="C32" s="376"/>
      <c r="D32" s="376"/>
      <c r="E32" s="376"/>
      <c r="F32" s="376"/>
      <c r="G32" s="376"/>
      <c r="H32" s="376"/>
      <c r="I32" s="376"/>
    </row>
    <row r="33" spans="1:9" ht="27" customHeight="1">
      <c r="A33" s="218" t="s">
        <v>9</v>
      </c>
      <c r="B33" s="218"/>
      <c r="C33" s="218"/>
      <c r="D33" s="218"/>
      <c r="E33" s="218"/>
      <c r="F33" s="218"/>
      <c r="G33" s="218"/>
      <c r="H33" s="218"/>
      <c r="I33" s="218"/>
    </row>
    <row r="34" spans="1:9" ht="12.75">
      <c r="A34" s="380"/>
      <c r="B34" s="380"/>
      <c r="C34" s="380"/>
      <c r="D34" s="380"/>
      <c r="E34" s="380"/>
      <c r="F34" s="380"/>
      <c r="G34" s="380"/>
      <c r="H34" s="380"/>
      <c r="I34" s="380"/>
    </row>
    <row r="35" spans="1:9" ht="20.25" customHeight="1">
      <c r="A35" s="220" t="s">
        <v>10</v>
      </c>
      <c r="B35" s="220"/>
      <c r="C35" s="220"/>
      <c r="D35" s="220"/>
      <c r="E35" s="220"/>
      <c r="F35" s="220"/>
      <c r="G35" s="220"/>
      <c r="H35" s="220"/>
      <c r="I35" s="220"/>
    </row>
    <row r="36" spans="1:9" s="15" customFormat="1" ht="30" customHeight="1">
      <c r="A36" s="12">
        <v>1</v>
      </c>
      <c r="B36" s="221" t="s">
        <v>11</v>
      </c>
      <c r="C36" s="221"/>
      <c r="D36" s="221"/>
      <c r="E36" s="221"/>
      <c r="F36" s="221"/>
      <c r="G36" s="221"/>
      <c r="H36" s="14" t="s">
        <v>12</v>
      </c>
      <c r="I36" s="12" t="s">
        <v>13</v>
      </c>
    </row>
    <row r="37" spans="1:9" ht="19.5" customHeight="1">
      <c r="A37" s="3" t="s">
        <v>292</v>
      </c>
      <c r="B37" s="187" t="s">
        <v>14</v>
      </c>
      <c r="C37" s="187"/>
      <c r="D37" s="187"/>
      <c r="E37" s="187"/>
      <c r="F37" s="187"/>
      <c r="G37" s="187"/>
      <c r="H37" s="187"/>
      <c r="I37" s="18">
        <f>H24*2</f>
        <v>3000.8</v>
      </c>
    </row>
    <row r="38" spans="1:9" ht="24.75" customHeight="1">
      <c r="A38" s="3" t="s">
        <v>294</v>
      </c>
      <c r="B38" s="187" t="s">
        <v>266</v>
      </c>
      <c r="C38" s="187"/>
      <c r="D38" s="187"/>
      <c r="E38" s="187"/>
      <c r="F38" s="187"/>
      <c r="G38" s="187"/>
      <c r="H38" s="187"/>
      <c r="I38" s="18">
        <f>ROUND(2*8*15*H29,2)</f>
        <v>326.4</v>
      </c>
    </row>
    <row r="39" spans="1:9" ht="38.25" customHeight="1">
      <c r="A39" s="3" t="s">
        <v>297</v>
      </c>
      <c r="B39" s="208" t="s">
        <v>15</v>
      </c>
      <c r="C39" s="208"/>
      <c r="D39" s="208"/>
      <c r="E39" s="208"/>
      <c r="F39" s="208"/>
      <c r="G39" s="208"/>
      <c r="H39" s="208"/>
      <c r="I39" s="18">
        <f>ROUND(H31*(((12*15)+15)-((44/6)*26))*H28,2)*0+ROUND(2*4.33*H28,2)</f>
        <v>88.59</v>
      </c>
    </row>
    <row r="40" spans="1:9" ht="29.25" customHeight="1">
      <c r="A40" s="3" t="s">
        <v>300</v>
      </c>
      <c r="B40" s="223" t="s">
        <v>335</v>
      </c>
      <c r="C40" s="224"/>
      <c r="D40" s="224"/>
      <c r="E40" s="224"/>
      <c r="F40" s="224"/>
      <c r="G40" s="224"/>
      <c r="H40" s="225"/>
      <c r="I40" s="18">
        <f>ROUND(H30*H31*15,2)</f>
        <v>34.2</v>
      </c>
    </row>
    <row r="41" spans="1:9" ht="25.5" customHeight="1">
      <c r="A41" s="124" t="s">
        <v>16</v>
      </c>
      <c r="B41" s="384" t="s">
        <v>325</v>
      </c>
      <c r="C41" s="384"/>
      <c r="D41" s="384"/>
      <c r="E41" s="384"/>
      <c r="F41" s="384"/>
      <c r="G41" s="384"/>
      <c r="H41" s="384"/>
      <c r="I41" s="156">
        <f>ROUND(SUM(I38:I40)*0.2,2)</f>
        <v>89.84</v>
      </c>
    </row>
    <row r="42" spans="1:9" ht="12.75">
      <c r="A42" s="3" t="s">
        <v>18</v>
      </c>
      <c r="B42" s="222" t="s">
        <v>17</v>
      </c>
      <c r="C42" s="222"/>
      <c r="D42" s="222"/>
      <c r="E42" s="222"/>
      <c r="F42" s="222"/>
      <c r="G42" s="222"/>
      <c r="H42" s="17">
        <v>0.3</v>
      </c>
      <c r="I42" s="18">
        <f>ROUND(H42*SUM(I37:I41),2)</f>
        <v>1061.95</v>
      </c>
    </row>
    <row r="43" spans="1:9" ht="12.75">
      <c r="A43" s="3" t="s">
        <v>20</v>
      </c>
      <c r="B43" s="187" t="s">
        <v>19</v>
      </c>
      <c r="C43" s="187"/>
      <c r="D43" s="187"/>
      <c r="E43" s="187"/>
      <c r="F43" s="187"/>
      <c r="G43" s="187"/>
      <c r="H43" s="187"/>
      <c r="I43" s="18" t="s">
        <v>308</v>
      </c>
    </row>
    <row r="44" spans="1:9" ht="27.75" customHeight="1">
      <c r="A44" s="377" t="s">
        <v>161</v>
      </c>
      <c r="B44" s="378"/>
      <c r="C44" s="378"/>
      <c r="D44" s="378"/>
      <c r="E44" s="378"/>
      <c r="F44" s="378"/>
      <c r="G44" s="378"/>
      <c r="H44" s="379"/>
      <c r="I44" s="157">
        <f>SUM(I37:I43)</f>
        <v>4601.780000000001</v>
      </c>
    </row>
    <row r="45" spans="1:9" ht="12.75">
      <c r="A45" s="448"/>
      <c r="B45" s="448"/>
      <c r="C45" s="448"/>
      <c r="D45" s="448"/>
      <c r="E45" s="448"/>
      <c r="F45" s="448"/>
      <c r="G45" s="448"/>
      <c r="H45" s="448"/>
      <c r="I45" s="448"/>
    </row>
    <row r="46" spans="1:9" ht="29.25" customHeight="1">
      <c r="A46" s="124" t="s">
        <v>22</v>
      </c>
      <c r="B46" s="384" t="s">
        <v>336</v>
      </c>
      <c r="C46" s="384"/>
      <c r="D46" s="384"/>
      <c r="E46" s="384"/>
      <c r="F46" s="384"/>
      <c r="G46" s="384"/>
      <c r="H46" s="384"/>
      <c r="I46" s="156">
        <f>ROUND(H28*15*H31*0.5,2)</f>
        <v>153.45</v>
      </c>
    </row>
    <row r="47" spans="1:9" ht="32.25" customHeight="1">
      <c r="A47" s="231" t="s">
        <v>162</v>
      </c>
      <c r="B47" s="231"/>
      <c r="C47" s="231"/>
      <c r="D47" s="231"/>
      <c r="E47" s="231"/>
      <c r="F47" s="231"/>
      <c r="G47" s="231"/>
      <c r="H47" s="231"/>
      <c r="I47" s="157">
        <f>I46</f>
        <v>153.45</v>
      </c>
    </row>
    <row r="48" spans="1:9" ht="12.75">
      <c r="A48" s="385"/>
      <c r="B48" s="385"/>
      <c r="C48" s="385"/>
      <c r="D48" s="385"/>
      <c r="E48" s="385"/>
      <c r="F48" s="385"/>
      <c r="G48" s="385"/>
      <c r="H48" s="385"/>
      <c r="I48" s="385"/>
    </row>
    <row r="49" spans="1:9" ht="45" customHeight="1">
      <c r="A49" s="449" t="s">
        <v>284</v>
      </c>
      <c r="B49" s="450"/>
      <c r="C49" s="450"/>
      <c r="D49" s="450"/>
      <c r="E49" s="450"/>
      <c r="F49" s="450"/>
      <c r="G49" s="450"/>
      <c r="H49" s="451"/>
      <c r="I49" s="158">
        <f>I44+I47</f>
        <v>4755.2300000000005</v>
      </c>
    </row>
    <row r="50" spans="1:9" ht="12.75">
      <c r="A50" s="448"/>
      <c r="B50" s="448"/>
      <c r="C50" s="448"/>
      <c r="D50" s="448"/>
      <c r="E50" s="448"/>
      <c r="F50" s="448"/>
      <c r="G50" s="448"/>
      <c r="H50" s="448"/>
      <c r="I50" s="448"/>
    </row>
    <row r="51" spans="1:9" ht="12.75">
      <c r="A51" s="452" t="s">
        <v>268</v>
      </c>
      <c r="B51" s="452"/>
      <c r="C51" s="452"/>
      <c r="D51" s="452"/>
      <c r="E51" s="452"/>
      <c r="F51" s="452"/>
      <c r="G51" s="452"/>
      <c r="H51" s="452"/>
      <c r="I51" s="452"/>
    </row>
    <row r="52" spans="1:9" ht="12.75">
      <c r="A52" s="389"/>
      <c r="B52" s="389"/>
      <c r="C52" s="389"/>
      <c r="D52" s="389"/>
      <c r="E52" s="389"/>
      <c r="F52" s="389"/>
      <c r="G52" s="389"/>
      <c r="H52" s="389"/>
      <c r="I52" s="389"/>
    </row>
    <row r="53" spans="1:9" ht="15.75">
      <c r="A53" s="237" t="s">
        <v>23</v>
      </c>
      <c r="B53" s="237"/>
      <c r="C53" s="237"/>
      <c r="D53" s="237"/>
      <c r="E53" s="237"/>
      <c r="F53" s="237"/>
      <c r="G53" s="237"/>
      <c r="H53" s="237"/>
      <c r="I53" s="237"/>
    </row>
    <row r="54" spans="1:9" ht="15">
      <c r="A54" s="279" t="s">
        <v>320</v>
      </c>
      <c r="B54" s="279"/>
      <c r="C54" s="279"/>
      <c r="D54" s="279"/>
      <c r="E54" s="279"/>
      <c r="F54" s="279"/>
      <c r="G54" s="279"/>
      <c r="H54" s="279"/>
      <c r="I54" s="279"/>
    </row>
    <row r="55" spans="1:9" ht="15">
      <c r="A55" s="22" t="s">
        <v>24</v>
      </c>
      <c r="B55" s="239" t="s">
        <v>321</v>
      </c>
      <c r="C55" s="239"/>
      <c r="D55" s="239"/>
      <c r="E55" s="239"/>
      <c r="F55" s="239"/>
      <c r="G55" s="239"/>
      <c r="H55" s="239"/>
      <c r="I55" s="23" t="s">
        <v>25</v>
      </c>
    </row>
    <row r="56" spans="1:9" ht="27" customHeight="1">
      <c r="A56" s="22" t="s">
        <v>292</v>
      </c>
      <c r="B56" s="390" t="s">
        <v>141</v>
      </c>
      <c r="C56" s="390"/>
      <c r="D56" s="390"/>
      <c r="E56" s="390"/>
      <c r="F56" s="390"/>
      <c r="G56" s="390"/>
      <c r="H56" s="93">
        <v>0.0833</v>
      </c>
      <c r="I56" s="159">
        <f>ROUND(I44*H56,2)</f>
        <v>383.33</v>
      </c>
    </row>
    <row r="57" spans="1:9" ht="21.75" customHeight="1">
      <c r="A57" s="22" t="s">
        <v>294</v>
      </c>
      <c r="B57" s="391" t="s">
        <v>323</v>
      </c>
      <c r="C57" s="391"/>
      <c r="D57" s="391"/>
      <c r="E57" s="391"/>
      <c r="F57" s="391"/>
      <c r="G57" s="391"/>
      <c r="H57" s="93">
        <v>0.0278</v>
      </c>
      <c r="I57" s="159">
        <f>ROUND(I44*H57,2)</f>
        <v>127.93</v>
      </c>
    </row>
    <row r="58" spans="1:9" ht="15.75" customHeight="1">
      <c r="A58" s="392" t="s">
        <v>27</v>
      </c>
      <c r="B58" s="392"/>
      <c r="C58" s="392"/>
      <c r="D58" s="392"/>
      <c r="E58" s="392"/>
      <c r="F58" s="392"/>
      <c r="G58" s="392"/>
      <c r="H58" s="392"/>
      <c r="I58" s="160">
        <f>SUM(I56+I57)</f>
        <v>511.26</v>
      </c>
    </row>
    <row r="59" spans="1:9" ht="45.75" customHeight="1">
      <c r="A59" s="245" t="s">
        <v>322</v>
      </c>
      <c r="B59" s="246"/>
      <c r="C59" s="246"/>
      <c r="D59" s="246"/>
      <c r="E59" s="246"/>
      <c r="F59" s="246"/>
      <c r="G59" s="246"/>
      <c r="H59" s="246"/>
      <c r="I59" s="247"/>
    </row>
    <row r="60" spans="1:9" ht="12">
      <c r="A60" s="393"/>
      <c r="B60" s="393"/>
      <c r="C60" s="393"/>
      <c r="D60" s="393"/>
      <c r="E60" s="393"/>
      <c r="F60" s="393"/>
      <c r="G60" s="393"/>
      <c r="H60" s="393"/>
      <c r="I60" s="393"/>
    </row>
    <row r="61" spans="1:9" s="27" customFormat="1" ht="32.25" customHeight="1">
      <c r="A61" s="249" t="s">
        <v>142</v>
      </c>
      <c r="B61" s="249"/>
      <c r="C61" s="249"/>
      <c r="D61" s="249"/>
      <c r="E61" s="249"/>
      <c r="F61" s="249"/>
      <c r="G61" s="249"/>
      <c r="H61" s="249"/>
      <c r="I61" s="249"/>
    </row>
    <row r="62" spans="1:9" s="27" customFormat="1" ht="27" customHeight="1">
      <c r="A62" s="28" t="s">
        <v>28</v>
      </c>
      <c r="B62" s="250" t="s">
        <v>29</v>
      </c>
      <c r="C62" s="250"/>
      <c r="D62" s="250"/>
      <c r="E62" s="250"/>
      <c r="F62" s="250"/>
      <c r="G62" s="250"/>
      <c r="H62" s="5" t="s">
        <v>12</v>
      </c>
      <c r="I62" s="13" t="s">
        <v>30</v>
      </c>
    </row>
    <row r="63" spans="1:9" s="27" customFormat="1" ht="12.75">
      <c r="A63" s="30" t="s">
        <v>292</v>
      </c>
      <c r="B63" s="251" t="s">
        <v>31</v>
      </c>
      <c r="C63" s="251"/>
      <c r="D63" s="251"/>
      <c r="E63" s="251"/>
      <c r="F63" s="251"/>
      <c r="G63" s="251"/>
      <c r="H63" s="17">
        <v>0.2</v>
      </c>
      <c r="I63" s="18">
        <f>ROUND((I44+I58)*H63,2)</f>
        <v>1022.61</v>
      </c>
    </row>
    <row r="64" spans="1:9" s="27" customFormat="1" ht="12.75">
      <c r="A64" s="30" t="s">
        <v>294</v>
      </c>
      <c r="B64" s="251" t="s">
        <v>32</v>
      </c>
      <c r="C64" s="251"/>
      <c r="D64" s="251"/>
      <c r="E64" s="251"/>
      <c r="F64" s="251"/>
      <c r="G64" s="251"/>
      <c r="H64" s="72">
        <v>0.025</v>
      </c>
      <c r="I64" s="18">
        <f>ROUND((I44+I58)*H64,2)</f>
        <v>127.83</v>
      </c>
    </row>
    <row r="65" spans="1:9" s="27" customFormat="1" ht="50.25" customHeight="1">
      <c r="A65" s="30" t="s">
        <v>297</v>
      </c>
      <c r="B65" s="397" t="s">
        <v>143</v>
      </c>
      <c r="C65" s="397"/>
      <c r="D65" s="3" t="s">
        <v>36</v>
      </c>
      <c r="E65" s="134">
        <v>0.03</v>
      </c>
      <c r="F65" s="3" t="s">
        <v>37</v>
      </c>
      <c r="G65" s="182"/>
      <c r="H65" s="149">
        <f>ROUND((E65*G65),6)</f>
        <v>0</v>
      </c>
      <c r="I65" s="18">
        <f>ROUND((I44+I58)*H65,2)</f>
        <v>0</v>
      </c>
    </row>
    <row r="66" spans="1:9" s="27" customFormat="1" ht="15.75" customHeight="1">
      <c r="A66" s="30" t="s">
        <v>300</v>
      </c>
      <c r="B66" s="251" t="s">
        <v>38</v>
      </c>
      <c r="C66" s="251"/>
      <c r="D66" s="251"/>
      <c r="E66" s="251"/>
      <c r="F66" s="251"/>
      <c r="G66" s="251"/>
      <c r="H66" s="17">
        <v>0.015</v>
      </c>
      <c r="I66" s="18">
        <f>ROUND((I44+I58)*H66,2)</f>
        <v>76.7</v>
      </c>
    </row>
    <row r="67" spans="1:9" s="27" customFormat="1" ht="15.75" customHeight="1">
      <c r="A67" s="30" t="s">
        <v>16</v>
      </c>
      <c r="B67" s="251" t="s">
        <v>39</v>
      </c>
      <c r="C67" s="251"/>
      <c r="D67" s="251"/>
      <c r="E67" s="251"/>
      <c r="F67" s="251"/>
      <c r="G67" s="251"/>
      <c r="H67" s="17">
        <v>0.01</v>
      </c>
      <c r="I67" s="18">
        <f>ROUND((I44+I58)*H67,2)</f>
        <v>51.13</v>
      </c>
    </row>
    <row r="68" spans="1:9" s="27" customFormat="1" ht="15.75" customHeight="1">
      <c r="A68" s="30" t="s">
        <v>18</v>
      </c>
      <c r="B68" s="187" t="s">
        <v>40</v>
      </c>
      <c r="C68" s="187"/>
      <c r="D68" s="187"/>
      <c r="E68" s="187"/>
      <c r="F68" s="187"/>
      <c r="G68" s="187"/>
      <c r="H68" s="72">
        <v>0.006</v>
      </c>
      <c r="I68" s="18">
        <f>ROUND((I44+I58)*H68,2)</f>
        <v>30.68</v>
      </c>
    </row>
    <row r="69" spans="1:9" s="27" customFormat="1" ht="15.75" customHeight="1">
      <c r="A69" s="30" t="s">
        <v>20</v>
      </c>
      <c r="B69" s="251" t="s">
        <v>41</v>
      </c>
      <c r="C69" s="251"/>
      <c r="D69" s="251"/>
      <c r="E69" s="251"/>
      <c r="F69" s="251"/>
      <c r="G69" s="251"/>
      <c r="H69" s="17">
        <v>0.002</v>
      </c>
      <c r="I69" s="18">
        <f>ROUND((I44+I58)*H69,2)</f>
        <v>10.23</v>
      </c>
    </row>
    <row r="70" spans="1:9" ht="15.75" customHeight="1">
      <c r="A70" s="30" t="s">
        <v>22</v>
      </c>
      <c r="B70" s="187" t="s">
        <v>42</v>
      </c>
      <c r="C70" s="187"/>
      <c r="D70" s="187"/>
      <c r="E70" s="187"/>
      <c r="F70" s="187"/>
      <c r="G70" s="187"/>
      <c r="H70" s="72">
        <v>0.08</v>
      </c>
      <c r="I70" s="18">
        <f>ROUND((I44+I58)*H70,2)</f>
        <v>409.04</v>
      </c>
    </row>
    <row r="71" spans="1:9" ht="15.75" customHeight="1">
      <c r="A71" s="193" t="s">
        <v>27</v>
      </c>
      <c r="B71" s="193"/>
      <c r="C71" s="193"/>
      <c r="D71" s="193"/>
      <c r="E71" s="193"/>
      <c r="F71" s="193"/>
      <c r="G71" s="193"/>
      <c r="H71" s="150">
        <f>SUM(H63:H70)</f>
        <v>0.338</v>
      </c>
      <c r="I71" s="160">
        <f>SUM(I63:I70)</f>
        <v>1728.2200000000003</v>
      </c>
    </row>
    <row r="72" spans="1:9" ht="35.25" customHeight="1">
      <c r="A72" s="218" t="s">
        <v>257</v>
      </c>
      <c r="B72" s="218"/>
      <c r="C72" s="218"/>
      <c r="D72" s="218"/>
      <c r="E72" s="218"/>
      <c r="F72" s="218"/>
      <c r="G72" s="218"/>
      <c r="H72" s="218"/>
      <c r="I72" s="218"/>
    </row>
    <row r="73" spans="1:9" ht="12.75">
      <c r="A73" s="376"/>
      <c r="B73" s="376"/>
      <c r="C73" s="376"/>
      <c r="D73" s="376"/>
      <c r="E73" s="376"/>
      <c r="F73" s="376"/>
      <c r="G73" s="376"/>
      <c r="H73" s="376"/>
      <c r="I73" s="376"/>
    </row>
    <row r="74" spans="1:9" ht="15">
      <c r="A74" s="253" t="s">
        <v>43</v>
      </c>
      <c r="B74" s="253"/>
      <c r="C74" s="253"/>
      <c r="D74" s="253"/>
      <c r="E74" s="253"/>
      <c r="F74" s="253"/>
      <c r="G74" s="253"/>
      <c r="H74" s="253"/>
      <c r="I74" s="253"/>
    </row>
    <row r="75" spans="1:9" ht="15">
      <c r="A75" s="44" t="s">
        <v>44</v>
      </c>
      <c r="B75" s="221" t="s">
        <v>45</v>
      </c>
      <c r="C75" s="221"/>
      <c r="D75" s="221"/>
      <c r="E75" s="221"/>
      <c r="F75" s="221"/>
      <c r="G75" s="221"/>
      <c r="H75" s="221"/>
      <c r="I75" s="13" t="s">
        <v>25</v>
      </c>
    </row>
    <row r="76" spans="1:9" ht="23.25" customHeight="1">
      <c r="A76" s="45" t="s">
        <v>292</v>
      </c>
      <c r="B76" s="254" t="s">
        <v>46</v>
      </c>
      <c r="C76" s="254"/>
      <c r="D76" s="254"/>
      <c r="E76" s="254"/>
      <c r="F76" s="254"/>
      <c r="G76" s="254"/>
      <c r="H76" s="254"/>
      <c r="I76" s="48">
        <f>IF(ROUND((H77*H79*H78)-(I37*H80),2)&lt;0,0,ROUND((H77*H79*H78)-(I37*H80),2))</f>
        <v>50.95</v>
      </c>
    </row>
    <row r="77" spans="1:9" ht="12.75">
      <c r="A77" s="45"/>
      <c r="B77" s="254" t="s">
        <v>345</v>
      </c>
      <c r="C77" s="254"/>
      <c r="D77" s="254"/>
      <c r="E77" s="254"/>
      <c r="F77" s="254"/>
      <c r="G77" s="254"/>
      <c r="H77" s="151">
        <v>3.85</v>
      </c>
      <c r="I77" s="48" t="s">
        <v>308</v>
      </c>
    </row>
    <row r="78" spans="1:9" ht="12.75">
      <c r="A78" s="45"/>
      <c r="B78" s="187" t="s">
        <v>48</v>
      </c>
      <c r="C78" s="187"/>
      <c r="D78" s="187"/>
      <c r="E78" s="187"/>
      <c r="F78" s="187"/>
      <c r="G78" s="187"/>
      <c r="H78" s="152">
        <v>2</v>
      </c>
      <c r="I78" s="48" t="s">
        <v>308</v>
      </c>
    </row>
    <row r="79" spans="1:9" ht="12.75">
      <c r="A79" s="45"/>
      <c r="B79" s="213" t="s">
        <v>49</v>
      </c>
      <c r="C79" s="213"/>
      <c r="D79" s="213"/>
      <c r="E79" s="213"/>
      <c r="F79" s="213"/>
      <c r="G79" s="213"/>
      <c r="H79" s="153">
        <v>30</v>
      </c>
      <c r="I79" s="48"/>
    </row>
    <row r="80" spans="1:9" ht="12.75">
      <c r="A80" s="45"/>
      <c r="B80" s="213" t="s">
        <v>338</v>
      </c>
      <c r="C80" s="213"/>
      <c r="D80" s="213"/>
      <c r="E80" s="213"/>
      <c r="F80" s="213"/>
      <c r="G80" s="213"/>
      <c r="H80" s="154">
        <v>0.06</v>
      </c>
      <c r="I80" s="48"/>
    </row>
    <row r="81" spans="1:9" ht="12.75">
      <c r="A81" s="45" t="s">
        <v>294</v>
      </c>
      <c r="B81" s="254" t="s">
        <v>51</v>
      </c>
      <c r="C81" s="254"/>
      <c r="D81" s="254"/>
      <c r="E81" s="254"/>
      <c r="F81" s="254"/>
      <c r="G81" s="254"/>
      <c r="H81" s="254"/>
      <c r="I81" s="180">
        <f>ROUND(15*2*H82*(1-H84),2)</f>
        <v>480</v>
      </c>
    </row>
    <row r="82" spans="1:9" ht="15.75" customHeight="1">
      <c r="A82" s="45"/>
      <c r="B82" s="254" t="s">
        <v>337</v>
      </c>
      <c r="C82" s="254"/>
      <c r="D82" s="254"/>
      <c r="E82" s="254"/>
      <c r="F82" s="254"/>
      <c r="G82" s="254"/>
      <c r="H82" s="151">
        <v>20</v>
      </c>
      <c r="I82" s="48" t="s">
        <v>308</v>
      </c>
    </row>
    <row r="83" spans="1:9" ht="12.75">
      <c r="A83" s="45"/>
      <c r="B83" s="254" t="s">
        <v>53</v>
      </c>
      <c r="C83" s="254"/>
      <c r="D83" s="254"/>
      <c r="E83" s="254"/>
      <c r="F83" s="254"/>
      <c r="G83" s="254"/>
      <c r="H83" s="153">
        <v>30</v>
      </c>
      <c r="I83" s="48"/>
    </row>
    <row r="84" spans="1:9" ht="12.75">
      <c r="A84" s="45"/>
      <c r="B84" s="213" t="s">
        <v>54</v>
      </c>
      <c r="C84" s="213"/>
      <c r="D84" s="213"/>
      <c r="E84" s="213"/>
      <c r="F84" s="213"/>
      <c r="G84" s="213"/>
      <c r="H84" s="154">
        <v>0.2</v>
      </c>
      <c r="I84" s="48"/>
    </row>
    <row r="85" spans="1:9" ht="15.75" customHeight="1">
      <c r="A85" s="45" t="s">
        <v>297</v>
      </c>
      <c r="B85" s="254" t="s">
        <v>55</v>
      </c>
      <c r="C85" s="254"/>
      <c r="D85" s="254"/>
      <c r="E85" s="254"/>
      <c r="F85" s="254"/>
      <c r="G85" s="254"/>
      <c r="H85" s="254"/>
      <c r="I85" s="48">
        <v>0</v>
      </c>
    </row>
    <row r="86" spans="1:9" ht="12.75">
      <c r="A86" s="132" t="s">
        <v>300</v>
      </c>
      <c r="B86" s="381" t="s">
        <v>56</v>
      </c>
      <c r="C86" s="381"/>
      <c r="D86" s="381"/>
      <c r="E86" s="381"/>
      <c r="F86" s="381"/>
      <c r="G86" s="381"/>
      <c r="H86" s="381"/>
      <c r="I86" s="156">
        <f>ROUND(I44*26*0.00023,2)</f>
        <v>27.52</v>
      </c>
    </row>
    <row r="87" spans="1:9" s="27" customFormat="1" ht="12.75">
      <c r="A87" s="132" t="s">
        <v>16</v>
      </c>
      <c r="B87" s="384" t="s">
        <v>57</v>
      </c>
      <c r="C87" s="384"/>
      <c r="D87" s="384"/>
      <c r="E87" s="384"/>
      <c r="F87" s="384"/>
      <c r="G87" s="384"/>
      <c r="H87" s="384"/>
      <c r="I87" s="156">
        <f>ROUND(($I$37*0.0052066)/12,2)</f>
        <v>1.3</v>
      </c>
    </row>
    <row r="88" spans="1:9" s="27" customFormat="1" ht="15.75" customHeight="1">
      <c r="A88" s="45" t="s">
        <v>18</v>
      </c>
      <c r="B88" s="255" t="s">
        <v>58</v>
      </c>
      <c r="C88" s="255"/>
      <c r="D88" s="255"/>
      <c r="E88" s="255"/>
      <c r="F88" s="255"/>
      <c r="G88" s="255"/>
      <c r="H88" s="255"/>
      <c r="I88" s="145">
        <v>0</v>
      </c>
    </row>
    <row r="89" spans="1:9" s="27" customFormat="1" ht="18" customHeight="1">
      <c r="A89" s="192" t="s">
        <v>27</v>
      </c>
      <c r="B89" s="453"/>
      <c r="C89" s="453"/>
      <c r="D89" s="453"/>
      <c r="E89" s="453"/>
      <c r="F89" s="453"/>
      <c r="G89" s="453"/>
      <c r="H89" s="454"/>
      <c r="I89" s="160">
        <f>SUM(I76:I88)</f>
        <v>559.77</v>
      </c>
    </row>
    <row r="90" spans="1:9" s="27" customFormat="1" ht="42" customHeight="1">
      <c r="A90" s="218" t="s">
        <v>59</v>
      </c>
      <c r="B90" s="218"/>
      <c r="C90" s="218"/>
      <c r="D90" s="218"/>
      <c r="E90" s="218"/>
      <c r="F90" s="218"/>
      <c r="G90" s="218"/>
      <c r="H90" s="218"/>
      <c r="I90" s="218"/>
    </row>
    <row r="91" spans="1:9" s="27" customFormat="1" ht="12.75">
      <c r="A91" s="385"/>
      <c r="B91" s="385"/>
      <c r="C91" s="385"/>
      <c r="D91" s="385"/>
      <c r="E91" s="385"/>
      <c r="F91" s="385"/>
      <c r="G91" s="385"/>
      <c r="H91" s="385"/>
      <c r="I91" s="385"/>
    </row>
    <row r="92" spans="1:9" s="27" customFormat="1" ht="17.25" customHeight="1">
      <c r="A92" s="257" t="s">
        <v>60</v>
      </c>
      <c r="B92" s="257"/>
      <c r="C92" s="257"/>
      <c r="D92" s="257"/>
      <c r="E92" s="257"/>
      <c r="F92" s="257"/>
      <c r="G92" s="257"/>
      <c r="H92" s="257"/>
      <c r="I92" s="257"/>
    </row>
    <row r="93" spans="1:9" s="27" customFormat="1" ht="15.75" customHeight="1">
      <c r="A93" s="29">
        <v>2</v>
      </c>
      <c r="B93" s="250" t="s">
        <v>61</v>
      </c>
      <c r="C93" s="250"/>
      <c r="D93" s="250"/>
      <c r="E93" s="250"/>
      <c r="F93" s="250"/>
      <c r="G93" s="250"/>
      <c r="H93" s="250"/>
      <c r="I93" s="29" t="s">
        <v>25</v>
      </c>
    </row>
    <row r="94" spans="1:9" s="27" customFormat="1" ht="14.25" customHeight="1">
      <c r="A94" s="55" t="s">
        <v>24</v>
      </c>
      <c r="B94" s="258" t="s">
        <v>324</v>
      </c>
      <c r="C94" s="258"/>
      <c r="D94" s="258"/>
      <c r="E94" s="258"/>
      <c r="F94" s="258"/>
      <c r="G94" s="258"/>
      <c r="H94" s="258"/>
      <c r="I94" s="163">
        <f>I58</f>
        <v>511.26</v>
      </c>
    </row>
    <row r="95" spans="1:9" s="27" customFormat="1" ht="14.25" customHeight="1">
      <c r="A95" s="55" t="s">
        <v>28</v>
      </c>
      <c r="B95" s="258" t="s">
        <v>29</v>
      </c>
      <c r="C95" s="258"/>
      <c r="D95" s="258"/>
      <c r="E95" s="258"/>
      <c r="F95" s="258"/>
      <c r="G95" s="258"/>
      <c r="H95" s="258"/>
      <c r="I95" s="163">
        <f>I71</f>
        <v>1728.2200000000003</v>
      </c>
    </row>
    <row r="96" spans="1:9" s="27" customFormat="1" ht="14.25" customHeight="1">
      <c r="A96" s="55" t="s">
        <v>44</v>
      </c>
      <c r="B96" s="258" t="s">
        <v>45</v>
      </c>
      <c r="C96" s="258"/>
      <c r="D96" s="258"/>
      <c r="E96" s="258"/>
      <c r="F96" s="258"/>
      <c r="G96" s="258"/>
      <c r="H96" s="258"/>
      <c r="I96" s="163">
        <f>I89</f>
        <v>559.77</v>
      </c>
    </row>
    <row r="97" spans="1:9" s="27" customFormat="1" ht="14.25" customHeight="1">
      <c r="A97" s="398" t="s">
        <v>27</v>
      </c>
      <c r="B97" s="398"/>
      <c r="C97" s="398"/>
      <c r="D97" s="398"/>
      <c r="E97" s="398"/>
      <c r="F97" s="398"/>
      <c r="G97" s="398"/>
      <c r="H97" s="398"/>
      <c r="I97" s="164">
        <f>SUM(I94+I95+I96)</f>
        <v>2799.2500000000005</v>
      </c>
    </row>
    <row r="98" spans="1:9" s="27" customFormat="1" ht="15.75">
      <c r="A98" s="261" t="s">
        <v>62</v>
      </c>
      <c r="B98" s="261"/>
      <c r="C98" s="261"/>
      <c r="D98" s="261"/>
      <c r="E98" s="261"/>
      <c r="F98" s="261"/>
      <c r="G98" s="261"/>
      <c r="H98" s="261"/>
      <c r="I98" s="261"/>
    </row>
    <row r="99" spans="1:9" s="27" customFormat="1" ht="15">
      <c r="A99" s="44">
        <v>3</v>
      </c>
      <c r="B99" s="262" t="s">
        <v>63</v>
      </c>
      <c r="C99" s="262"/>
      <c r="D99" s="262"/>
      <c r="E99" s="262"/>
      <c r="F99" s="262"/>
      <c r="G99" s="262"/>
      <c r="H99" s="262"/>
      <c r="I99" s="44" t="s">
        <v>25</v>
      </c>
    </row>
    <row r="100" spans="1:9" s="27" customFormat="1" ht="44.25" customHeight="1">
      <c r="A100" s="45" t="s">
        <v>292</v>
      </c>
      <c r="B100" s="263" t="s">
        <v>64</v>
      </c>
      <c r="C100" s="263"/>
      <c r="D100" s="263"/>
      <c r="E100" s="263"/>
      <c r="F100" s="263"/>
      <c r="G100" s="263"/>
      <c r="H100" s="263"/>
      <c r="I100" s="18">
        <f>ROUND(((I44/12)+($I$56/12)+(I44/12/12)+($I$57/12))*(30/30)*0.05,2)</f>
        <v>22.9</v>
      </c>
    </row>
    <row r="101" spans="1:9" s="27" customFormat="1" ht="14.25" customHeight="1">
      <c r="A101" s="45" t="s">
        <v>294</v>
      </c>
      <c r="B101" s="241" t="s">
        <v>65</v>
      </c>
      <c r="C101" s="241"/>
      <c r="D101" s="241"/>
      <c r="E101" s="241"/>
      <c r="F101" s="241"/>
      <c r="G101" s="241"/>
      <c r="H101" s="241"/>
      <c r="I101" s="18">
        <f>ROUND($H$70*I100,2)</f>
        <v>1.83</v>
      </c>
    </row>
    <row r="102" spans="1:9" s="27" customFormat="1" ht="27.75" customHeight="1">
      <c r="A102" s="45" t="s">
        <v>297</v>
      </c>
      <c r="B102" s="251" t="s">
        <v>66</v>
      </c>
      <c r="C102" s="251"/>
      <c r="D102" s="251"/>
      <c r="E102" s="251"/>
      <c r="F102" s="251"/>
      <c r="G102" s="251"/>
      <c r="H102" s="251"/>
      <c r="I102" s="18">
        <f>ROUND(((7/30)/$H$11)*I44*1,2)</f>
        <v>89.48</v>
      </c>
    </row>
    <row r="103" spans="1:9" s="27" customFormat="1" ht="19.5" customHeight="1">
      <c r="A103" s="45" t="s">
        <v>300</v>
      </c>
      <c r="B103" s="241" t="s">
        <v>258</v>
      </c>
      <c r="C103" s="241"/>
      <c r="D103" s="241"/>
      <c r="E103" s="241"/>
      <c r="F103" s="241"/>
      <c r="G103" s="241"/>
      <c r="H103" s="241"/>
      <c r="I103" s="18">
        <f>ROUND($H$71*I102,2)</f>
        <v>30.24</v>
      </c>
    </row>
    <row r="104" spans="1:9" s="27" customFormat="1" ht="36.75" customHeight="1">
      <c r="A104" s="45" t="s">
        <v>16</v>
      </c>
      <c r="B104" s="251" t="s">
        <v>144</v>
      </c>
      <c r="C104" s="251"/>
      <c r="D104" s="251"/>
      <c r="E104" s="251"/>
      <c r="F104" s="251"/>
      <c r="G104" s="251"/>
      <c r="H104" s="128">
        <v>0.05</v>
      </c>
      <c r="I104" s="18">
        <f>ROUND(I44*H104,2)</f>
        <v>230.09</v>
      </c>
    </row>
    <row r="105" spans="1:9" s="27" customFormat="1" ht="15.75" customHeight="1">
      <c r="A105" s="412" t="s">
        <v>27</v>
      </c>
      <c r="B105" s="412"/>
      <c r="C105" s="412"/>
      <c r="D105" s="412"/>
      <c r="E105" s="412"/>
      <c r="F105" s="412"/>
      <c r="G105" s="412"/>
      <c r="H105" s="412"/>
      <c r="I105" s="160">
        <f>SUM(I100:I104)</f>
        <v>374.54</v>
      </c>
    </row>
    <row r="106" spans="1:9" ht="15.75">
      <c r="A106" s="265" t="s">
        <v>68</v>
      </c>
      <c r="B106" s="265"/>
      <c r="C106" s="265"/>
      <c r="D106" s="265"/>
      <c r="E106" s="265"/>
      <c r="F106" s="265"/>
      <c r="G106" s="265"/>
      <c r="H106" s="265"/>
      <c r="I106" s="265"/>
    </row>
    <row r="107" spans="1:9" ht="24.75" customHeight="1">
      <c r="A107" s="266" t="s">
        <v>259</v>
      </c>
      <c r="B107" s="266"/>
      <c r="C107" s="266"/>
      <c r="D107" s="266"/>
      <c r="E107" s="266"/>
      <c r="F107" s="266"/>
      <c r="G107" s="266"/>
      <c r="H107" s="266"/>
      <c r="I107" s="266"/>
    </row>
    <row r="108" spans="1:9" ht="38.25" customHeight="1">
      <c r="A108" s="268" t="s">
        <v>149</v>
      </c>
      <c r="B108" s="344"/>
      <c r="C108" s="344"/>
      <c r="D108" s="344"/>
      <c r="E108" s="344"/>
      <c r="F108" s="344"/>
      <c r="G108" s="344"/>
      <c r="H108" s="344"/>
      <c r="I108" s="273"/>
    </row>
    <row r="109" spans="1:9" ht="12.75" customHeight="1">
      <c r="A109" s="456"/>
      <c r="B109" s="457"/>
      <c r="C109" s="457"/>
      <c r="D109" s="457"/>
      <c r="E109" s="457"/>
      <c r="F109" s="457"/>
      <c r="G109" s="457"/>
      <c r="H109" s="457"/>
      <c r="I109" s="458"/>
    </row>
    <row r="110" spans="1:9" ht="42" customHeight="1">
      <c r="A110" s="129" t="s">
        <v>330</v>
      </c>
      <c r="B110" s="130">
        <f>I44</f>
        <v>4601.780000000001</v>
      </c>
      <c r="C110" s="174"/>
      <c r="D110" s="129" t="s">
        <v>329</v>
      </c>
      <c r="E110" s="130">
        <f>I97-I76-I81</f>
        <v>2268.3000000000006</v>
      </c>
      <c r="F110" s="174"/>
      <c r="G110" s="129" t="s">
        <v>279</v>
      </c>
      <c r="H110" s="130">
        <f>I105</f>
        <v>374.54</v>
      </c>
      <c r="I110" s="131">
        <f>B110+E110+H110</f>
        <v>7244.620000000002</v>
      </c>
    </row>
    <row r="111" spans="1:9" ht="12">
      <c r="A111" s="455"/>
      <c r="B111" s="455"/>
      <c r="C111" s="455"/>
      <c r="D111" s="455"/>
      <c r="E111" s="455"/>
      <c r="F111" s="455"/>
      <c r="G111" s="455"/>
      <c r="H111" s="455"/>
      <c r="I111" s="455"/>
    </row>
    <row r="112" spans="1:9" ht="15">
      <c r="A112" s="459" t="s">
        <v>260</v>
      </c>
      <c r="B112" s="459"/>
      <c r="C112" s="459"/>
      <c r="D112" s="459"/>
      <c r="E112" s="459"/>
      <c r="F112" s="459"/>
      <c r="G112" s="459"/>
      <c r="H112" s="459"/>
      <c r="I112" s="459"/>
    </row>
    <row r="113" spans="1:9" ht="24" customHeight="1">
      <c r="A113" s="58" t="s">
        <v>69</v>
      </c>
      <c r="B113" s="262" t="s">
        <v>261</v>
      </c>
      <c r="C113" s="262"/>
      <c r="D113" s="262"/>
      <c r="E113" s="262"/>
      <c r="F113" s="262"/>
      <c r="G113" s="262"/>
      <c r="H113" s="262"/>
      <c r="I113" s="58" t="s">
        <v>25</v>
      </c>
    </row>
    <row r="114" spans="1:9" ht="17.25" customHeight="1">
      <c r="A114" s="94" t="s">
        <v>292</v>
      </c>
      <c r="B114" s="407" t="s">
        <v>267</v>
      </c>
      <c r="C114" s="408"/>
      <c r="D114" s="408"/>
      <c r="E114" s="408"/>
      <c r="F114" s="408"/>
      <c r="G114" s="408"/>
      <c r="H114" s="409"/>
      <c r="I114" s="18">
        <f>ROUND(I110/12,2)</f>
        <v>603.72</v>
      </c>
    </row>
    <row r="115" spans="1:9" ht="15.75" customHeight="1">
      <c r="A115" s="45" t="s">
        <v>294</v>
      </c>
      <c r="B115" s="251" t="s">
        <v>150</v>
      </c>
      <c r="C115" s="251"/>
      <c r="D115" s="251"/>
      <c r="E115" s="251"/>
      <c r="F115" s="251"/>
      <c r="G115" s="251"/>
      <c r="H115" s="251"/>
      <c r="I115" s="18">
        <f>ROUND((1/30)/12*(I110),2)</f>
        <v>20.12</v>
      </c>
    </row>
    <row r="116" spans="1:9" ht="25.5" customHeight="1">
      <c r="A116" s="45" t="s">
        <v>297</v>
      </c>
      <c r="B116" s="251" t="s">
        <v>263</v>
      </c>
      <c r="C116" s="251"/>
      <c r="D116" s="251"/>
      <c r="E116" s="251"/>
      <c r="F116" s="251"/>
      <c r="G116" s="251"/>
      <c r="H116" s="251"/>
      <c r="I116" s="18">
        <f>ROUND((5/30)/12*0.015*(I110),2)</f>
        <v>1.51</v>
      </c>
    </row>
    <row r="117" spans="1:9" ht="24" customHeight="1">
      <c r="A117" s="45" t="s">
        <v>300</v>
      </c>
      <c r="B117" s="251" t="s">
        <v>264</v>
      </c>
      <c r="C117" s="251"/>
      <c r="D117" s="251"/>
      <c r="E117" s="251"/>
      <c r="F117" s="251"/>
      <c r="G117" s="251"/>
      <c r="H117" s="251"/>
      <c r="I117" s="18">
        <f>ROUND(((15/30)/12)*0.0078*(I110),2)</f>
        <v>2.35</v>
      </c>
    </row>
    <row r="118" spans="1:9" ht="24.75" customHeight="1">
      <c r="A118" s="45" t="s">
        <v>16</v>
      </c>
      <c r="B118" s="187" t="s">
        <v>159</v>
      </c>
      <c r="C118" s="187"/>
      <c r="D118" s="187"/>
      <c r="E118" s="187"/>
      <c r="F118" s="187"/>
      <c r="G118" s="187"/>
      <c r="H118" s="187"/>
      <c r="I118" s="18">
        <f>ROUND(((((I44+I44/3)/12)+(I71+I89-I76-I81+I105))*4/12)*0.02,2)</f>
        <v>17.62</v>
      </c>
    </row>
    <row r="119" spans="1:9" ht="27" customHeight="1">
      <c r="A119" s="45" t="s">
        <v>18</v>
      </c>
      <c r="B119" s="251" t="s">
        <v>152</v>
      </c>
      <c r="C119" s="251"/>
      <c r="D119" s="251"/>
      <c r="E119" s="251"/>
      <c r="F119" s="251"/>
      <c r="G119" s="251"/>
      <c r="H119" s="251"/>
      <c r="I119" s="18">
        <f>ROUND(((3/30)/12)*(I110),2)</f>
        <v>60.37</v>
      </c>
    </row>
    <row r="120" spans="1:9" ht="15.75" customHeight="1">
      <c r="A120" s="412" t="s">
        <v>27</v>
      </c>
      <c r="B120" s="412"/>
      <c r="C120" s="412"/>
      <c r="D120" s="412"/>
      <c r="E120" s="412"/>
      <c r="F120" s="412"/>
      <c r="G120" s="412"/>
      <c r="H120" s="412"/>
      <c r="I120" s="160">
        <f>SUM(I114:I119)</f>
        <v>705.69</v>
      </c>
    </row>
    <row r="121" spans="1:9" ht="15.75" customHeight="1">
      <c r="A121" s="253" t="s">
        <v>285</v>
      </c>
      <c r="B121" s="253"/>
      <c r="C121" s="253"/>
      <c r="D121" s="253"/>
      <c r="E121" s="253"/>
      <c r="F121" s="253"/>
      <c r="G121" s="253"/>
      <c r="H121" s="253"/>
      <c r="I121" s="253"/>
    </row>
    <row r="122" spans="1:9" ht="15.75" customHeight="1">
      <c r="A122" s="59" t="s">
        <v>70</v>
      </c>
      <c r="B122" s="279" t="s">
        <v>286</v>
      </c>
      <c r="C122" s="279"/>
      <c r="D122" s="279"/>
      <c r="E122" s="279"/>
      <c r="F122" s="279"/>
      <c r="G122" s="279"/>
      <c r="H122" s="279"/>
      <c r="I122" s="60" t="s">
        <v>25</v>
      </c>
    </row>
    <row r="123" spans="1:9" ht="15.75" customHeight="1">
      <c r="A123" s="24" t="s">
        <v>292</v>
      </c>
      <c r="B123" s="240" t="s">
        <v>287</v>
      </c>
      <c r="C123" s="240"/>
      <c r="D123" s="240"/>
      <c r="E123" s="240"/>
      <c r="F123" s="240"/>
      <c r="G123" s="240"/>
      <c r="H123" s="240"/>
      <c r="I123" s="165">
        <v>0</v>
      </c>
    </row>
    <row r="124" spans="1:9" ht="15.75" customHeight="1">
      <c r="A124" s="412" t="s">
        <v>27</v>
      </c>
      <c r="B124" s="412"/>
      <c r="C124" s="412"/>
      <c r="D124" s="412"/>
      <c r="E124" s="412"/>
      <c r="F124" s="412"/>
      <c r="G124" s="412"/>
      <c r="H124" s="412"/>
      <c r="I124" s="160">
        <v>0</v>
      </c>
    </row>
    <row r="125" spans="1:9" ht="15.75">
      <c r="A125" s="237" t="s">
        <v>71</v>
      </c>
      <c r="B125" s="237"/>
      <c r="C125" s="237"/>
      <c r="D125" s="237"/>
      <c r="E125" s="237"/>
      <c r="F125" s="237"/>
      <c r="G125" s="237"/>
      <c r="H125" s="237"/>
      <c r="I125" s="237"/>
    </row>
    <row r="126" spans="1:9" ht="15">
      <c r="A126" s="29">
        <v>4</v>
      </c>
      <c r="B126" s="279" t="s">
        <v>72</v>
      </c>
      <c r="C126" s="279"/>
      <c r="D126" s="279"/>
      <c r="E126" s="279"/>
      <c r="F126" s="279"/>
      <c r="G126" s="279"/>
      <c r="H126" s="279"/>
      <c r="I126" s="60" t="s">
        <v>25</v>
      </c>
    </row>
    <row r="127" spans="1:9" ht="12.75">
      <c r="A127" s="62" t="s">
        <v>69</v>
      </c>
      <c r="B127" s="240" t="s">
        <v>261</v>
      </c>
      <c r="C127" s="240"/>
      <c r="D127" s="240"/>
      <c r="E127" s="240"/>
      <c r="F127" s="240"/>
      <c r="G127" s="240"/>
      <c r="H127" s="240"/>
      <c r="I127" s="165">
        <f>I120</f>
        <v>705.69</v>
      </c>
    </row>
    <row r="128" spans="1:9" ht="12.75">
      <c r="A128" s="62" t="s">
        <v>73</v>
      </c>
      <c r="B128" s="240" t="s">
        <v>286</v>
      </c>
      <c r="C128" s="240"/>
      <c r="D128" s="240"/>
      <c r="E128" s="240"/>
      <c r="F128" s="240"/>
      <c r="G128" s="240"/>
      <c r="H128" s="240"/>
      <c r="I128" s="165">
        <f>I124</f>
        <v>0</v>
      </c>
    </row>
    <row r="129" spans="1:9" ht="12.75">
      <c r="A129" s="392" t="s">
        <v>27</v>
      </c>
      <c r="B129" s="392"/>
      <c r="C129" s="392"/>
      <c r="D129" s="392"/>
      <c r="E129" s="392"/>
      <c r="F129" s="392"/>
      <c r="G129" s="392"/>
      <c r="H129" s="392"/>
      <c r="I129" s="166">
        <f>SUM(I127+I128)</f>
        <v>705.69</v>
      </c>
    </row>
    <row r="130" spans="1:9" s="27" customFormat="1" ht="15.75">
      <c r="A130" s="265" t="s">
        <v>74</v>
      </c>
      <c r="B130" s="265"/>
      <c r="C130" s="265"/>
      <c r="D130" s="265"/>
      <c r="E130" s="265"/>
      <c r="F130" s="265"/>
      <c r="G130" s="265"/>
      <c r="H130" s="265"/>
      <c r="I130" s="265"/>
    </row>
    <row r="131" spans="1:9" ht="15">
      <c r="A131" s="44">
        <v>5</v>
      </c>
      <c r="B131" s="221" t="s">
        <v>75</v>
      </c>
      <c r="C131" s="221"/>
      <c r="D131" s="221"/>
      <c r="E131" s="221"/>
      <c r="F131" s="221"/>
      <c r="G131" s="221"/>
      <c r="H131" s="221"/>
      <c r="I131" s="44" t="s">
        <v>25</v>
      </c>
    </row>
    <row r="132" spans="1:9" ht="27" customHeight="1">
      <c r="A132" s="45" t="s">
        <v>292</v>
      </c>
      <c r="B132" s="187" t="s">
        <v>352</v>
      </c>
      <c r="C132" s="187"/>
      <c r="D132" s="187"/>
      <c r="E132" s="187"/>
      <c r="F132" s="187"/>
      <c r="G132" s="187"/>
      <c r="H132" s="187"/>
      <c r="I132" s="184">
        <v>0</v>
      </c>
    </row>
    <row r="133" spans="1:9" ht="15.75" customHeight="1">
      <c r="A133" s="45" t="s">
        <v>294</v>
      </c>
      <c r="B133" s="187" t="s">
        <v>58</v>
      </c>
      <c r="C133" s="187"/>
      <c r="D133" s="187"/>
      <c r="E133" s="187"/>
      <c r="F133" s="187"/>
      <c r="G133" s="187"/>
      <c r="H133" s="187"/>
      <c r="I133" s="145">
        <v>0</v>
      </c>
    </row>
    <row r="134" spans="1:9" ht="15.75" customHeight="1">
      <c r="A134" s="412" t="s">
        <v>78</v>
      </c>
      <c r="B134" s="412"/>
      <c r="C134" s="412"/>
      <c r="D134" s="412"/>
      <c r="E134" s="412"/>
      <c r="F134" s="412"/>
      <c r="G134" s="412"/>
      <c r="H134" s="412"/>
      <c r="I134" s="146">
        <f>SUM(I132:I133)</f>
        <v>0</v>
      </c>
    </row>
    <row r="135" spans="1:9" ht="15.75" customHeight="1">
      <c r="A135" s="282" t="s">
        <v>79</v>
      </c>
      <c r="B135" s="282"/>
      <c r="C135" s="282"/>
      <c r="D135" s="282"/>
      <c r="E135" s="282"/>
      <c r="F135" s="282"/>
      <c r="G135" s="282"/>
      <c r="H135" s="282"/>
      <c r="I135" s="282"/>
    </row>
    <row r="136" spans="1:9" ht="12.75" customHeight="1">
      <c r="A136" s="175"/>
      <c r="B136" s="176"/>
      <c r="C136" s="176"/>
      <c r="D136" s="176"/>
      <c r="E136" s="176"/>
      <c r="F136" s="176"/>
      <c r="G136" s="176"/>
      <c r="H136" s="176"/>
      <c r="I136" s="177"/>
    </row>
    <row r="137" spans="1:9" ht="15.75">
      <c r="A137" s="460" t="s">
        <v>80</v>
      </c>
      <c r="B137" s="460"/>
      <c r="C137" s="460"/>
      <c r="D137" s="460"/>
      <c r="E137" s="460"/>
      <c r="F137" s="460"/>
      <c r="G137" s="460"/>
      <c r="H137" s="460"/>
      <c r="I137" s="460"/>
    </row>
    <row r="138" spans="1:9" ht="25.5">
      <c r="A138" s="44">
        <v>6</v>
      </c>
      <c r="B138" s="262" t="s">
        <v>81</v>
      </c>
      <c r="C138" s="262"/>
      <c r="D138" s="262"/>
      <c r="E138" s="262"/>
      <c r="F138" s="262"/>
      <c r="G138" s="262"/>
      <c r="H138" s="5" t="s">
        <v>12</v>
      </c>
      <c r="I138" s="67" t="s">
        <v>25</v>
      </c>
    </row>
    <row r="139" spans="1:9" ht="50.25" customHeight="1">
      <c r="A139" s="283" t="s">
        <v>82</v>
      </c>
      <c r="B139" s="283"/>
      <c r="C139" s="283"/>
      <c r="D139" s="283"/>
      <c r="E139" s="283"/>
      <c r="F139" s="283"/>
      <c r="G139" s="283"/>
      <c r="H139" s="68" t="s">
        <v>308</v>
      </c>
      <c r="I139" s="167">
        <f>SUM(I49+I97+I105+I129+I134)</f>
        <v>8634.710000000001</v>
      </c>
    </row>
    <row r="140" spans="1:9" ht="15.75" customHeight="1">
      <c r="A140" s="45" t="s">
        <v>292</v>
      </c>
      <c r="B140" s="284" t="s">
        <v>83</v>
      </c>
      <c r="C140" s="284"/>
      <c r="D140" s="284"/>
      <c r="E140" s="284"/>
      <c r="F140" s="284"/>
      <c r="G140" s="284"/>
      <c r="H140" s="183">
        <v>0.06</v>
      </c>
      <c r="I140" s="18">
        <f>ROUND(H140*I139,2)</f>
        <v>518.08</v>
      </c>
    </row>
    <row r="141" spans="1:9" ht="50.25" customHeight="1">
      <c r="A141" s="283" t="s">
        <v>84</v>
      </c>
      <c r="B141" s="283"/>
      <c r="C141" s="283"/>
      <c r="D141" s="283"/>
      <c r="E141" s="283"/>
      <c r="F141" s="283"/>
      <c r="G141" s="283"/>
      <c r="H141" s="70" t="s">
        <v>308</v>
      </c>
      <c r="I141" s="167">
        <f>SUM(I49+I97+I105+I129+I134+I140)</f>
        <v>9152.79</v>
      </c>
    </row>
    <row r="142" spans="1:9" ht="15.75" customHeight="1">
      <c r="A142" s="45" t="s">
        <v>294</v>
      </c>
      <c r="B142" s="284" t="s">
        <v>85</v>
      </c>
      <c r="C142" s="284"/>
      <c r="D142" s="284"/>
      <c r="E142" s="284"/>
      <c r="F142" s="284"/>
      <c r="G142" s="284"/>
      <c r="H142" s="183">
        <v>0.0679</v>
      </c>
      <c r="I142" s="18">
        <f>ROUND(H142*I141,2)</f>
        <v>621.47</v>
      </c>
    </row>
    <row r="143" spans="1:9" ht="48.75" customHeight="1">
      <c r="A143" s="283" t="s">
        <v>86</v>
      </c>
      <c r="B143" s="283"/>
      <c r="C143" s="283"/>
      <c r="D143" s="283"/>
      <c r="E143" s="283"/>
      <c r="F143" s="283"/>
      <c r="G143" s="283"/>
      <c r="H143" s="70" t="s">
        <v>308</v>
      </c>
      <c r="I143" s="167">
        <f>SUM(I44+I97+I105+I129+I134+I140+I142)</f>
        <v>9620.81</v>
      </c>
    </row>
    <row r="144" spans="1:9" ht="16.5" customHeight="1">
      <c r="A144" s="71" t="s">
        <v>297</v>
      </c>
      <c r="B144" s="285" t="s">
        <v>87</v>
      </c>
      <c r="C144" s="285"/>
      <c r="D144" s="285"/>
      <c r="E144" s="285"/>
      <c r="F144" s="285"/>
      <c r="G144" s="285"/>
      <c r="H144" s="72" t="s">
        <v>308</v>
      </c>
      <c r="I144" s="18" t="s">
        <v>308</v>
      </c>
    </row>
    <row r="145" spans="1:9" ht="12.75">
      <c r="A145" s="45"/>
      <c r="B145" s="286" t="s">
        <v>88</v>
      </c>
      <c r="C145" s="286"/>
      <c r="D145" s="286"/>
      <c r="E145" s="286"/>
      <c r="F145" s="286"/>
      <c r="G145" s="286"/>
      <c r="H145" s="72" t="s">
        <v>308</v>
      </c>
      <c r="I145" s="18" t="s">
        <v>308</v>
      </c>
    </row>
    <row r="146" spans="1:9" ht="22.5" customHeight="1">
      <c r="A146" s="45"/>
      <c r="B146" s="287" t="s">
        <v>89</v>
      </c>
      <c r="C146" s="287"/>
      <c r="D146" s="287"/>
      <c r="E146" s="287"/>
      <c r="F146" s="287"/>
      <c r="G146" s="287"/>
      <c r="H146" s="75">
        <v>0.03</v>
      </c>
      <c r="I146" s="77">
        <f>ROUND(($I$143/(1-$H$154))*H146,2)</f>
        <v>312.53</v>
      </c>
    </row>
    <row r="147" spans="1:9" ht="22.5" customHeight="1">
      <c r="A147" s="45"/>
      <c r="B147" s="287" t="s">
        <v>90</v>
      </c>
      <c r="C147" s="287"/>
      <c r="D147" s="287"/>
      <c r="E147" s="287"/>
      <c r="F147" s="287"/>
      <c r="G147" s="287"/>
      <c r="H147" s="75">
        <v>0.0065</v>
      </c>
      <c r="I147" s="77">
        <f>ROUND(($I$143/(1-$H$154))*H147,2)</f>
        <v>67.72</v>
      </c>
    </row>
    <row r="148" spans="1:9" ht="29.25" customHeight="1">
      <c r="A148" s="45"/>
      <c r="B148" s="263" t="s">
        <v>138</v>
      </c>
      <c r="C148" s="263"/>
      <c r="D148" s="263"/>
      <c r="E148" s="263"/>
      <c r="F148" s="263"/>
      <c r="G148" s="263"/>
      <c r="H148" s="75" t="s">
        <v>308</v>
      </c>
      <c r="I148" s="18" t="s">
        <v>308</v>
      </c>
    </row>
    <row r="149" spans="1:9" ht="29.25" customHeight="1">
      <c r="A149" s="45"/>
      <c r="B149" s="263" t="s">
        <v>139</v>
      </c>
      <c r="C149" s="263"/>
      <c r="D149" s="263"/>
      <c r="E149" s="263"/>
      <c r="F149" s="263"/>
      <c r="G149" s="263"/>
      <c r="H149" s="75" t="s">
        <v>308</v>
      </c>
      <c r="I149" s="18" t="s">
        <v>308</v>
      </c>
    </row>
    <row r="150" spans="1:9" ht="18" customHeight="1">
      <c r="A150" s="45"/>
      <c r="B150" s="288" t="s">
        <v>93</v>
      </c>
      <c r="C150" s="288"/>
      <c r="D150" s="288"/>
      <c r="E150" s="288"/>
      <c r="F150" s="288"/>
      <c r="G150" s="288"/>
      <c r="H150" s="76" t="s">
        <v>308</v>
      </c>
      <c r="I150" s="77" t="s">
        <v>308</v>
      </c>
    </row>
    <row r="151" spans="1:9" ht="18" customHeight="1">
      <c r="A151" s="45"/>
      <c r="B151" s="288" t="s">
        <v>94</v>
      </c>
      <c r="C151" s="288"/>
      <c r="D151" s="288"/>
      <c r="E151" s="288"/>
      <c r="F151" s="288"/>
      <c r="G151" s="288"/>
      <c r="H151" s="76" t="s">
        <v>308</v>
      </c>
      <c r="I151" s="77" t="s">
        <v>308</v>
      </c>
    </row>
    <row r="152" spans="1:9" ht="25.5" customHeight="1">
      <c r="A152" s="45"/>
      <c r="B152" s="251" t="s">
        <v>351</v>
      </c>
      <c r="C152" s="251"/>
      <c r="D152" s="251"/>
      <c r="E152" s="251"/>
      <c r="F152" s="251"/>
      <c r="G152" s="251"/>
      <c r="H152" s="75">
        <v>0.04</v>
      </c>
      <c r="I152" s="77">
        <f>ROUND(($I$143/(1-$H$154))*H152,2)</f>
        <v>416.71</v>
      </c>
    </row>
    <row r="153" spans="1:9" ht="15.75" customHeight="1">
      <c r="A153" s="412" t="s">
        <v>67</v>
      </c>
      <c r="B153" s="412"/>
      <c r="C153" s="412"/>
      <c r="D153" s="412"/>
      <c r="E153" s="412"/>
      <c r="F153" s="412"/>
      <c r="G153" s="412"/>
      <c r="H153" s="412"/>
      <c r="I153" s="160">
        <f>SUM(I140+I142+I146+I147+I152)</f>
        <v>1936.5100000000002</v>
      </c>
    </row>
    <row r="154" spans="1:9" ht="15.75" customHeight="1">
      <c r="A154" s="461" t="s">
        <v>96</v>
      </c>
      <c r="B154" s="461"/>
      <c r="C154" s="462"/>
      <c r="D154" s="462"/>
      <c r="E154" s="462"/>
      <c r="F154" s="462"/>
      <c r="G154" s="462"/>
      <c r="H154" s="173">
        <f>SUM(H146:H152)</f>
        <v>0.0765</v>
      </c>
      <c r="I154" s="170">
        <f>SUM(I146:I152)</f>
        <v>796.96</v>
      </c>
    </row>
    <row r="155" spans="1:9" ht="12.75" customHeight="1">
      <c r="A155" s="463" t="s">
        <v>97</v>
      </c>
      <c r="B155" s="464"/>
      <c r="C155" s="422" t="s">
        <v>98</v>
      </c>
      <c r="D155" s="423"/>
      <c r="E155" s="423"/>
      <c r="F155" s="423"/>
      <c r="G155" s="423"/>
      <c r="H155" s="423"/>
      <c r="I155" s="424"/>
    </row>
    <row r="156" spans="1:9" ht="12" customHeight="1">
      <c r="A156" s="463"/>
      <c r="B156" s="464"/>
      <c r="C156" s="425" t="s">
        <v>99</v>
      </c>
      <c r="D156" s="292"/>
      <c r="E156" s="292"/>
      <c r="F156" s="292"/>
      <c r="G156" s="292"/>
      <c r="H156" s="292"/>
      <c r="I156" s="426"/>
    </row>
    <row r="157" spans="1:9" ht="13.5" customHeight="1">
      <c r="A157" s="463"/>
      <c r="B157" s="464"/>
      <c r="C157" s="427" t="s">
        <v>100</v>
      </c>
      <c r="D157" s="428"/>
      <c r="E157" s="428"/>
      <c r="F157" s="428"/>
      <c r="G157" s="428"/>
      <c r="H157" s="428"/>
      <c r="I157" s="429"/>
    </row>
    <row r="158" spans="1:9" ht="12.75">
      <c r="A158" s="430"/>
      <c r="B158" s="430"/>
      <c r="C158" s="430"/>
      <c r="D158" s="430"/>
      <c r="E158" s="430"/>
      <c r="F158" s="430"/>
      <c r="G158" s="430"/>
      <c r="H158" s="430"/>
      <c r="I158" s="430"/>
    </row>
    <row r="159" spans="1:9" ht="24" customHeight="1">
      <c r="A159" s="295" t="s">
        <v>101</v>
      </c>
      <c r="B159" s="295"/>
      <c r="C159" s="295"/>
      <c r="D159" s="295"/>
      <c r="E159" s="295"/>
      <c r="F159" s="295"/>
      <c r="G159" s="295"/>
      <c r="H159" s="295"/>
      <c r="I159" s="295"/>
    </row>
    <row r="160" spans="1:9" ht="12.75">
      <c r="A160" s="431"/>
      <c r="B160" s="431"/>
      <c r="C160" s="431"/>
      <c r="D160" s="431"/>
      <c r="E160" s="431"/>
      <c r="F160" s="431"/>
      <c r="G160" s="431"/>
      <c r="H160" s="431"/>
      <c r="I160" s="431"/>
    </row>
    <row r="161" spans="1:9" ht="16.5" customHeight="1">
      <c r="A161" s="432" t="s">
        <v>339</v>
      </c>
      <c r="B161" s="433"/>
      <c r="C161" s="433"/>
      <c r="D161" s="433"/>
      <c r="E161" s="433"/>
      <c r="F161" s="433"/>
      <c r="G161" s="433"/>
      <c r="H161" s="433"/>
      <c r="I161" s="433"/>
    </row>
    <row r="162" spans="1:9" ht="15" customHeight="1">
      <c r="A162" s="189" t="s">
        <v>103</v>
      </c>
      <c r="B162" s="189"/>
      <c r="C162" s="189"/>
      <c r="D162" s="189"/>
      <c r="E162" s="189"/>
      <c r="F162" s="189"/>
      <c r="G162" s="189"/>
      <c r="H162" s="189"/>
      <c r="I162" s="5" t="s">
        <v>25</v>
      </c>
    </row>
    <row r="163" spans="1:9" ht="15" customHeight="1">
      <c r="A163" s="81" t="s">
        <v>292</v>
      </c>
      <c r="B163" s="297" t="s">
        <v>104</v>
      </c>
      <c r="C163" s="297"/>
      <c r="D163" s="297"/>
      <c r="E163" s="297"/>
      <c r="F163" s="297"/>
      <c r="G163" s="297"/>
      <c r="H163" s="297"/>
      <c r="I163" s="145">
        <f>I49</f>
        <v>4755.2300000000005</v>
      </c>
    </row>
    <row r="164" spans="1:9" ht="15" customHeight="1">
      <c r="A164" s="81" t="s">
        <v>294</v>
      </c>
      <c r="B164" s="297" t="s">
        <v>105</v>
      </c>
      <c r="C164" s="297"/>
      <c r="D164" s="297"/>
      <c r="E164" s="297"/>
      <c r="F164" s="297"/>
      <c r="G164" s="297"/>
      <c r="H164" s="297"/>
      <c r="I164" s="145">
        <f>I97</f>
        <v>2799.2500000000005</v>
      </c>
    </row>
    <row r="165" spans="1:9" ht="15" customHeight="1">
      <c r="A165" s="81" t="s">
        <v>297</v>
      </c>
      <c r="B165" s="297" t="s">
        <v>106</v>
      </c>
      <c r="C165" s="297"/>
      <c r="D165" s="297"/>
      <c r="E165" s="297"/>
      <c r="F165" s="297"/>
      <c r="G165" s="297"/>
      <c r="H165" s="297"/>
      <c r="I165" s="145">
        <f>I105</f>
        <v>374.54</v>
      </c>
    </row>
    <row r="166" spans="1:9" ht="15" customHeight="1">
      <c r="A166" s="143" t="s">
        <v>300</v>
      </c>
      <c r="B166" s="297" t="s">
        <v>107</v>
      </c>
      <c r="C166" s="297"/>
      <c r="D166" s="297"/>
      <c r="E166" s="297"/>
      <c r="F166" s="297"/>
      <c r="G166" s="297"/>
      <c r="H166" s="297"/>
      <c r="I166" s="145">
        <f>I129</f>
        <v>705.69</v>
      </c>
    </row>
    <row r="167" spans="1:9" ht="15" customHeight="1">
      <c r="A167" s="144" t="s">
        <v>16</v>
      </c>
      <c r="B167" s="465" t="s">
        <v>108</v>
      </c>
      <c r="C167" s="465"/>
      <c r="D167" s="465"/>
      <c r="E167" s="465"/>
      <c r="F167" s="465"/>
      <c r="G167" s="465"/>
      <c r="H167" s="465"/>
      <c r="I167" s="181">
        <f>I134</f>
        <v>0</v>
      </c>
    </row>
    <row r="168" spans="1:9" ht="15" customHeight="1">
      <c r="A168" s="466" t="s">
        <v>109</v>
      </c>
      <c r="B168" s="466"/>
      <c r="C168" s="466"/>
      <c r="D168" s="466"/>
      <c r="E168" s="466"/>
      <c r="F168" s="466"/>
      <c r="G168" s="466"/>
      <c r="H168" s="466"/>
      <c r="I168" s="171">
        <f>SUM(I163:I167)</f>
        <v>8634.710000000001</v>
      </c>
    </row>
    <row r="169" spans="1:9" ht="15" customHeight="1">
      <c r="A169" s="142" t="s">
        <v>18</v>
      </c>
      <c r="B169" s="467" t="s">
        <v>80</v>
      </c>
      <c r="C169" s="467"/>
      <c r="D169" s="467"/>
      <c r="E169" s="467"/>
      <c r="F169" s="467"/>
      <c r="G169" s="467"/>
      <c r="H169" s="467"/>
      <c r="I169" s="172">
        <f>I153</f>
        <v>1936.5100000000002</v>
      </c>
    </row>
    <row r="170" spans="1:9" ht="15" customHeight="1">
      <c r="A170" s="466" t="s">
        <v>110</v>
      </c>
      <c r="B170" s="466"/>
      <c r="C170" s="466"/>
      <c r="D170" s="466"/>
      <c r="E170" s="466"/>
      <c r="F170" s="466"/>
      <c r="G170" s="466"/>
      <c r="H170" s="466"/>
      <c r="I170" s="171">
        <f>I168+I169</f>
        <v>10571.220000000001</v>
      </c>
    </row>
    <row r="171" spans="1:9" ht="36.75" customHeight="1">
      <c r="A171" s="470" t="s">
        <v>111</v>
      </c>
      <c r="B171" s="470"/>
      <c r="C171" s="470"/>
      <c r="D171" s="470"/>
      <c r="E171" s="470"/>
      <c r="F171" s="470"/>
      <c r="G171" s="470"/>
      <c r="H171" s="470"/>
      <c r="I171" s="470"/>
    </row>
    <row r="172" spans="1:9" ht="12.75">
      <c r="A172" s="471"/>
      <c r="B172" s="471"/>
      <c r="C172" s="471"/>
      <c r="D172" s="471"/>
      <c r="E172" s="471"/>
      <c r="F172" s="471"/>
      <c r="G172" s="471"/>
      <c r="H172" s="471"/>
      <c r="I172" s="471"/>
    </row>
    <row r="173" spans="1:9" ht="31.5" customHeight="1">
      <c r="A173" s="301" t="s">
        <v>112</v>
      </c>
      <c r="B173" s="301"/>
      <c r="C173" s="301"/>
      <c r="D173" s="301"/>
      <c r="E173" s="301"/>
      <c r="F173" s="301"/>
      <c r="G173" s="301"/>
      <c r="H173" s="301"/>
      <c r="I173" s="301"/>
    </row>
    <row r="174" spans="1:247" ht="34.5" customHeight="1">
      <c r="A174" s="193" t="s">
        <v>113</v>
      </c>
      <c r="B174" s="193"/>
      <c r="C174" s="193"/>
      <c r="D174" s="193"/>
      <c r="E174" s="193" t="s">
        <v>346</v>
      </c>
      <c r="F174" s="193"/>
      <c r="G174" s="5" t="s">
        <v>115</v>
      </c>
      <c r="H174" s="193" t="s">
        <v>116</v>
      </c>
      <c r="I174" s="193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1:247" ht="41.25" customHeight="1">
      <c r="A175" s="468" t="s">
        <v>119</v>
      </c>
      <c r="B175" s="468"/>
      <c r="C175" s="468"/>
      <c r="D175" s="468"/>
      <c r="E175" s="439">
        <f>I170</f>
        <v>10571.220000000001</v>
      </c>
      <c r="F175" s="439"/>
      <c r="G175" s="125">
        <v>3</v>
      </c>
      <c r="H175" s="469">
        <f>E175*G175</f>
        <v>31713.660000000003</v>
      </c>
      <c r="I175" s="469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1:247" ht="15.75">
      <c r="A176" s="472" t="s">
        <v>123</v>
      </c>
      <c r="B176" s="472"/>
      <c r="C176" s="472"/>
      <c r="D176" s="472"/>
      <c r="E176" s="472"/>
      <c r="F176" s="472"/>
      <c r="G176" s="89">
        <f>SUM(G175:G175)</f>
        <v>3</v>
      </c>
      <c r="H176" s="309">
        <f>SUM(H175:I175)</f>
        <v>31713.660000000003</v>
      </c>
      <c r="I176" s="309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1:247" ht="17.25" customHeight="1">
      <c r="A177" s="311" t="s">
        <v>124</v>
      </c>
      <c r="B177" s="311"/>
      <c r="C177" s="311"/>
      <c r="D177" s="311"/>
      <c r="E177" s="311"/>
      <c r="F177" s="311"/>
      <c r="G177" s="311"/>
      <c r="H177" s="311"/>
      <c r="I177" s="31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9" ht="12.75">
      <c r="A178" s="440"/>
      <c r="B178" s="440"/>
      <c r="C178" s="440"/>
      <c r="D178" s="440"/>
      <c r="E178" s="440"/>
      <c r="F178" s="440"/>
      <c r="G178" s="440"/>
      <c r="H178" s="440"/>
      <c r="I178" s="440"/>
    </row>
    <row r="179" spans="1:9" ht="18.75" customHeight="1">
      <c r="A179" s="313" t="s">
        <v>125</v>
      </c>
      <c r="B179" s="313"/>
      <c r="C179" s="313"/>
      <c r="D179" s="313"/>
      <c r="E179" s="313"/>
      <c r="F179" s="313"/>
      <c r="G179" s="314">
        <f>$H$176</f>
        <v>31713.660000000003</v>
      </c>
      <c r="H179" s="314"/>
      <c r="I179" s="314"/>
    </row>
    <row r="180" spans="1:9" ht="18">
      <c r="A180" s="441"/>
      <c r="B180" s="441"/>
      <c r="C180" s="441"/>
      <c r="D180" s="441"/>
      <c r="E180" s="441"/>
      <c r="F180" s="441"/>
      <c r="G180" s="441"/>
      <c r="H180" s="441"/>
      <c r="I180" s="441"/>
    </row>
    <row r="181" spans="1:9" ht="19.5" customHeight="1">
      <c r="A181" s="316" t="s">
        <v>126</v>
      </c>
      <c r="B181" s="316"/>
      <c r="C181" s="316"/>
      <c r="D181" s="316"/>
      <c r="E181" s="316"/>
      <c r="F181" s="316"/>
      <c r="G181" s="317">
        <f>$H$11</f>
        <v>12</v>
      </c>
      <c r="H181" s="317"/>
      <c r="I181" s="317"/>
    </row>
    <row r="182" spans="1:9" ht="18">
      <c r="A182" s="442"/>
      <c r="B182" s="442"/>
      <c r="C182" s="442"/>
      <c r="D182" s="442"/>
      <c r="E182" s="442"/>
      <c r="F182" s="442"/>
      <c r="G182" s="442"/>
      <c r="H182" s="442"/>
      <c r="I182" s="442"/>
    </row>
    <row r="183" spans="1:9" ht="31.5" customHeight="1">
      <c r="A183" s="319" t="s">
        <v>127</v>
      </c>
      <c r="B183" s="319"/>
      <c r="C183" s="319"/>
      <c r="D183" s="319"/>
      <c r="E183" s="319"/>
      <c r="F183" s="319"/>
      <c r="G183" s="320">
        <f>ROUND(G179*G181,2)</f>
        <v>380563.92</v>
      </c>
      <c r="H183" s="320"/>
      <c r="I183" s="320"/>
    </row>
    <row r="184" spans="1:9" ht="12.75">
      <c r="A184" s="444"/>
      <c r="B184" s="444"/>
      <c r="C184" s="444"/>
      <c r="D184" s="444"/>
      <c r="E184" s="444"/>
      <c r="F184" s="444"/>
      <c r="G184" s="444"/>
      <c r="H184" s="444"/>
      <c r="I184" s="444"/>
    </row>
    <row r="185" spans="1:9" ht="12.75">
      <c r="A185" s="322" t="s">
        <v>348</v>
      </c>
      <c r="B185" s="322"/>
      <c r="C185" s="322"/>
      <c r="D185" s="322"/>
      <c r="E185" s="322"/>
      <c r="F185" s="322"/>
      <c r="G185" s="322"/>
      <c r="H185" s="322"/>
      <c r="I185" s="322"/>
    </row>
    <row r="186" spans="1:9" ht="12">
      <c r="A186" s="323" t="s">
        <v>129</v>
      </c>
      <c r="B186" s="323"/>
      <c r="C186" s="323"/>
      <c r="D186" s="195" t="s">
        <v>130</v>
      </c>
      <c r="E186" s="195"/>
      <c r="F186" s="195"/>
      <c r="G186" s="195"/>
      <c r="H186" s="195"/>
      <c r="I186" s="195"/>
    </row>
    <row r="187" spans="1:9" ht="12">
      <c r="A187" s="323"/>
      <c r="B187" s="323"/>
      <c r="C187" s="323"/>
      <c r="D187" s="195"/>
      <c r="E187" s="195"/>
      <c r="F187" s="195"/>
      <c r="G187" s="195"/>
      <c r="H187" s="195"/>
      <c r="I187" s="195"/>
    </row>
    <row r="188" spans="1:9" ht="14.25" customHeight="1">
      <c r="A188" s="324" t="s">
        <v>131</v>
      </c>
      <c r="B188" s="324"/>
      <c r="C188" s="324"/>
      <c r="D188" s="325">
        <v>6</v>
      </c>
      <c r="E188" s="325"/>
      <c r="F188" s="325"/>
      <c r="G188" s="325"/>
      <c r="H188" s="325"/>
      <c r="I188" s="325"/>
    </row>
    <row r="189" spans="1:9" ht="12.75">
      <c r="A189" s="473"/>
      <c r="B189" s="473"/>
      <c r="C189" s="473"/>
      <c r="D189" s="473"/>
      <c r="E189" s="473"/>
      <c r="F189" s="473"/>
      <c r="G189" s="473"/>
      <c r="H189" s="473"/>
      <c r="I189" s="473"/>
    </row>
  </sheetData>
  <sheetProtection selectLockedCells="1" selectUnlockedCells="1"/>
  <mergeCells count="246">
    <mergeCell ref="A182:I182"/>
    <mergeCell ref="A183:F183"/>
    <mergeCell ref="G183:I183"/>
    <mergeCell ref="A189:I189"/>
    <mergeCell ref="A184:I184"/>
    <mergeCell ref="A185:I185"/>
    <mergeCell ref="A186:C187"/>
    <mergeCell ref="D186:I187"/>
    <mergeCell ref="A188:C188"/>
    <mergeCell ref="D188:I188"/>
    <mergeCell ref="A177:I177"/>
    <mergeCell ref="A178:I178"/>
    <mergeCell ref="A179:F179"/>
    <mergeCell ref="G179:I179"/>
    <mergeCell ref="A180:I180"/>
    <mergeCell ref="A181:F181"/>
    <mergeCell ref="G181:I181"/>
    <mergeCell ref="A173:I173"/>
    <mergeCell ref="A174:D174"/>
    <mergeCell ref="E174:F174"/>
    <mergeCell ref="H174:I174"/>
    <mergeCell ref="A176:F176"/>
    <mergeCell ref="H176:I176"/>
    <mergeCell ref="B166:H166"/>
    <mergeCell ref="B167:H167"/>
    <mergeCell ref="A168:H168"/>
    <mergeCell ref="B169:H169"/>
    <mergeCell ref="A170:H170"/>
    <mergeCell ref="A175:D175"/>
    <mergeCell ref="E175:F175"/>
    <mergeCell ref="H175:I175"/>
    <mergeCell ref="A171:I171"/>
    <mergeCell ref="A172:I172"/>
    <mergeCell ref="A160:I160"/>
    <mergeCell ref="A161:I161"/>
    <mergeCell ref="A162:H162"/>
    <mergeCell ref="B163:H163"/>
    <mergeCell ref="B164:H164"/>
    <mergeCell ref="B165:H165"/>
    <mergeCell ref="A155:B157"/>
    <mergeCell ref="C155:I155"/>
    <mergeCell ref="C156:I156"/>
    <mergeCell ref="C157:I157"/>
    <mergeCell ref="A158:I158"/>
    <mergeCell ref="A159:I159"/>
    <mergeCell ref="B149:G149"/>
    <mergeCell ref="B150:G150"/>
    <mergeCell ref="B151:G151"/>
    <mergeCell ref="B152:G152"/>
    <mergeCell ref="A153:H153"/>
    <mergeCell ref="A154:G154"/>
    <mergeCell ref="A143:G143"/>
    <mergeCell ref="B144:G144"/>
    <mergeCell ref="B145:G145"/>
    <mergeCell ref="B146:G146"/>
    <mergeCell ref="B147:G147"/>
    <mergeCell ref="B148:G148"/>
    <mergeCell ref="A137:I137"/>
    <mergeCell ref="B138:G138"/>
    <mergeCell ref="A139:G139"/>
    <mergeCell ref="B140:G140"/>
    <mergeCell ref="A141:G141"/>
    <mergeCell ref="B142:G142"/>
    <mergeCell ref="B132:H132"/>
    <mergeCell ref="B133:H133"/>
    <mergeCell ref="A134:H134"/>
    <mergeCell ref="A135:I135"/>
    <mergeCell ref="B127:H127"/>
    <mergeCell ref="B128:H128"/>
    <mergeCell ref="A129:H129"/>
    <mergeCell ref="A130:I130"/>
    <mergeCell ref="B131:H131"/>
    <mergeCell ref="A125:I125"/>
    <mergeCell ref="B126:H126"/>
    <mergeCell ref="B122:H122"/>
    <mergeCell ref="B123:H123"/>
    <mergeCell ref="A124:H124"/>
    <mergeCell ref="B113:H113"/>
    <mergeCell ref="B115:H115"/>
    <mergeCell ref="B116:H116"/>
    <mergeCell ref="B114:H114"/>
    <mergeCell ref="A121:I121"/>
    <mergeCell ref="B117:H117"/>
    <mergeCell ref="B118:H118"/>
    <mergeCell ref="B119:H119"/>
    <mergeCell ref="A120:H120"/>
    <mergeCell ref="B104:G104"/>
    <mergeCell ref="A105:H105"/>
    <mergeCell ref="A106:I106"/>
    <mergeCell ref="A107:I107"/>
    <mergeCell ref="A112:I112"/>
    <mergeCell ref="A108:I108"/>
    <mergeCell ref="A111:I111"/>
    <mergeCell ref="A109:I109"/>
    <mergeCell ref="A98:I98"/>
    <mergeCell ref="B99:H99"/>
    <mergeCell ref="B100:H100"/>
    <mergeCell ref="B101:H101"/>
    <mergeCell ref="B102:H102"/>
    <mergeCell ref="B103:H103"/>
    <mergeCell ref="A92:I92"/>
    <mergeCell ref="B93:H93"/>
    <mergeCell ref="B94:H94"/>
    <mergeCell ref="B95:H95"/>
    <mergeCell ref="B96:H96"/>
    <mergeCell ref="A97:H97"/>
    <mergeCell ref="B86:H86"/>
    <mergeCell ref="B87:H87"/>
    <mergeCell ref="B88:H88"/>
    <mergeCell ref="A89:H89"/>
    <mergeCell ref="A90:I90"/>
    <mergeCell ref="A91:I91"/>
    <mergeCell ref="B80:G80"/>
    <mergeCell ref="B81:H81"/>
    <mergeCell ref="B82:G82"/>
    <mergeCell ref="B83:G83"/>
    <mergeCell ref="B84:G84"/>
    <mergeCell ref="B85:H85"/>
    <mergeCell ref="A74:I74"/>
    <mergeCell ref="B75:H75"/>
    <mergeCell ref="B76:H76"/>
    <mergeCell ref="B77:G77"/>
    <mergeCell ref="B78:G78"/>
    <mergeCell ref="B79:G79"/>
    <mergeCell ref="B68:G68"/>
    <mergeCell ref="B69:G69"/>
    <mergeCell ref="B70:G70"/>
    <mergeCell ref="A71:G71"/>
    <mergeCell ref="A72:I72"/>
    <mergeCell ref="A73:I73"/>
    <mergeCell ref="B62:G62"/>
    <mergeCell ref="B63:G63"/>
    <mergeCell ref="B64:G64"/>
    <mergeCell ref="B65:C65"/>
    <mergeCell ref="B66:G66"/>
    <mergeCell ref="B67:G67"/>
    <mergeCell ref="B56:G56"/>
    <mergeCell ref="B57:G57"/>
    <mergeCell ref="A58:H58"/>
    <mergeCell ref="A59:I59"/>
    <mergeCell ref="A60:I60"/>
    <mergeCell ref="A61:I61"/>
    <mergeCell ref="A50:I50"/>
    <mergeCell ref="A51:I51"/>
    <mergeCell ref="A52:I52"/>
    <mergeCell ref="A53:I53"/>
    <mergeCell ref="A54:I54"/>
    <mergeCell ref="B55:H55"/>
    <mergeCell ref="A44:H44"/>
    <mergeCell ref="A45:I45"/>
    <mergeCell ref="B46:H46"/>
    <mergeCell ref="A47:H47"/>
    <mergeCell ref="A48:I48"/>
    <mergeCell ref="A49:H49"/>
    <mergeCell ref="B38:H38"/>
    <mergeCell ref="B39:H39"/>
    <mergeCell ref="B41:H41"/>
    <mergeCell ref="B42:G42"/>
    <mergeCell ref="B40:H40"/>
    <mergeCell ref="B43:H43"/>
    <mergeCell ref="A32:I32"/>
    <mergeCell ref="A33:I33"/>
    <mergeCell ref="A34:I34"/>
    <mergeCell ref="A35:I35"/>
    <mergeCell ref="B36:G36"/>
    <mergeCell ref="B37:H37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HP21:HW21"/>
    <mergeCell ref="HX21:IE21"/>
    <mergeCell ref="IF21:IM21"/>
    <mergeCell ref="B22:G22"/>
    <mergeCell ref="H22:I22"/>
    <mergeCell ref="GJ21:GQ21"/>
    <mergeCell ref="GR21:GY21"/>
    <mergeCell ref="GZ21:HG21"/>
    <mergeCell ref="HH21:HO21"/>
    <mergeCell ref="FD21:FK21"/>
    <mergeCell ref="FL21:FS21"/>
    <mergeCell ref="FT21:GA21"/>
    <mergeCell ref="GB21:GI21"/>
    <mergeCell ref="DX21:EE21"/>
    <mergeCell ref="EF21:EM21"/>
    <mergeCell ref="EN21:EU21"/>
    <mergeCell ref="EV21:FC21"/>
    <mergeCell ref="CB21:CI21"/>
    <mergeCell ref="CJ21:CQ21"/>
    <mergeCell ref="CR21:CY21"/>
    <mergeCell ref="CZ21:DG21"/>
    <mergeCell ref="DH21:DO21"/>
    <mergeCell ref="DP21:DW21"/>
    <mergeCell ref="AF21:AM21"/>
    <mergeCell ref="AN21:AU21"/>
    <mergeCell ref="AV21:BC21"/>
    <mergeCell ref="BD21:BK21"/>
    <mergeCell ref="BL21:BS21"/>
    <mergeCell ref="BT21:CA21"/>
    <mergeCell ref="A20:I20"/>
    <mergeCell ref="A21:I21"/>
    <mergeCell ref="J21:O21"/>
    <mergeCell ref="P21:W21"/>
    <mergeCell ref="X21:AE21"/>
    <mergeCell ref="A15:G15"/>
    <mergeCell ref="H15:I15"/>
    <mergeCell ref="A16:I16"/>
    <mergeCell ref="A17:I17"/>
    <mergeCell ref="A18:I18"/>
    <mergeCell ref="A19:I19"/>
    <mergeCell ref="A14:E14"/>
    <mergeCell ref="F14:G14"/>
    <mergeCell ref="H14:I14"/>
    <mergeCell ref="B10:G10"/>
    <mergeCell ref="H10:I10"/>
    <mergeCell ref="B11:G11"/>
    <mergeCell ref="H11:I11"/>
    <mergeCell ref="A12:I12"/>
    <mergeCell ref="A13:E13"/>
    <mergeCell ref="F13:G13"/>
    <mergeCell ref="H13:I13"/>
    <mergeCell ref="A7:I7"/>
    <mergeCell ref="B8:G8"/>
    <mergeCell ref="H8:I8"/>
    <mergeCell ref="B9:G9"/>
    <mergeCell ref="H9:I9"/>
    <mergeCell ref="A2:I2"/>
    <mergeCell ref="A3:I3"/>
    <mergeCell ref="A4:E4"/>
    <mergeCell ref="A5:E5"/>
    <mergeCell ref="F4:I6"/>
    <mergeCell ref="A6:E6"/>
  </mergeCells>
  <printOptions horizontalCentered="1"/>
  <pageMargins left="0.3937007874015748" right="0.31496062992125984" top="1.220472440944882" bottom="0.5118110236220472" header="0.5118110236220472" footer="0.5118110236220472"/>
  <pageSetup horizontalDpi="600" verticalDpi="600" orientation="landscape" paperSize="9" r:id="rId1"/>
  <rowBreaks count="3" manualBreakCount="3">
    <brk id="41" max="255" man="1"/>
    <brk id="90" max="255" man="1"/>
    <brk id="1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222"/>
  <sheetViews>
    <sheetView view="pageBreakPreview" zoomScale="130" zoomScaleNormal="130" zoomScaleSheetLayoutView="130" zoomScalePageLayoutView="0" workbookViewId="0" topLeftCell="A1">
      <selection activeCell="A154" sqref="A154:I154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1.2812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18.75" customHeight="1">
      <c r="A2" s="185" t="s">
        <v>255</v>
      </c>
      <c r="B2" s="185"/>
      <c r="C2" s="185"/>
      <c r="D2" s="185"/>
      <c r="E2" s="185"/>
      <c r="F2" s="185"/>
      <c r="G2" s="185"/>
      <c r="H2" s="185"/>
      <c r="I2" s="185"/>
    </row>
    <row r="3" spans="1:9" ht="64.5" customHeight="1">
      <c r="A3" s="186" t="s">
        <v>246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288</v>
      </c>
      <c r="B4" s="187"/>
      <c r="C4" s="187"/>
      <c r="D4" s="187"/>
      <c r="E4" s="187"/>
      <c r="F4" s="188" t="s">
        <v>146</v>
      </c>
      <c r="G4" s="188"/>
      <c r="H4" s="188"/>
      <c r="I4" s="188"/>
    </row>
    <row r="5" spans="1:9" ht="15.75" customHeight="1">
      <c r="A5" s="187" t="s">
        <v>290</v>
      </c>
      <c r="B5" s="187"/>
      <c r="C5" s="187"/>
      <c r="D5" s="187"/>
      <c r="E5" s="187"/>
      <c r="F5" s="188" t="s">
        <v>147</v>
      </c>
      <c r="G5" s="188"/>
      <c r="H5" s="188"/>
      <c r="I5" s="188"/>
    </row>
    <row r="6" spans="1:9" ht="14.25" customHeight="1">
      <c r="A6" s="187" t="s">
        <v>145</v>
      </c>
      <c r="B6" s="187"/>
      <c r="C6" s="187"/>
      <c r="D6" s="187"/>
      <c r="E6" s="187"/>
      <c r="F6" s="187"/>
      <c r="G6" s="187"/>
      <c r="H6" s="187"/>
      <c r="I6" s="187"/>
    </row>
    <row r="7" spans="1:9" ht="20.25" customHeight="1">
      <c r="A7" s="189" t="s">
        <v>291</v>
      </c>
      <c r="B7" s="189"/>
      <c r="C7" s="189"/>
      <c r="D7" s="189"/>
      <c r="E7" s="189"/>
      <c r="F7" s="189"/>
      <c r="G7" s="189"/>
      <c r="H7" s="189"/>
      <c r="I7" s="189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>
        <v>43830</v>
      </c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296</v>
      </c>
      <c r="I9" s="188"/>
    </row>
    <row r="10" spans="1:9" ht="19.5" customHeight="1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11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  <c r="K11" s="4"/>
    </row>
    <row r="12" spans="1:9" ht="21" customHeight="1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2.75" customHeight="1">
      <c r="A14" s="187" t="s">
        <v>306</v>
      </c>
      <c r="B14" s="187"/>
      <c r="C14" s="187"/>
      <c r="D14" s="187"/>
      <c r="E14" s="187"/>
      <c r="F14" s="195" t="s">
        <v>307</v>
      </c>
      <c r="G14" s="195"/>
      <c r="H14" s="196" t="s">
        <v>308</v>
      </c>
      <c r="I14" s="196"/>
    </row>
    <row r="15" spans="1:9" ht="12.75" customHeight="1">
      <c r="A15" s="187" t="s">
        <v>309</v>
      </c>
      <c r="B15" s="187"/>
      <c r="C15" s="187"/>
      <c r="D15" s="187"/>
      <c r="E15" s="187"/>
      <c r="F15" s="195" t="s">
        <v>307</v>
      </c>
      <c r="G15" s="195"/>
      <c r="H15" s="196" t="s">
        <v>308</v>
      </c>
      <c r="I15" s="196"/>
    </row>
    <row r="16" spans="1:9" ht="12.75" customHeight="1">
      <c r="A16" s="187" t="s">
        <v>310</v>
      </c>
      <c r="B16" s="187"/>
      <c r="C16" s="187"/>
      <c r="D16" s="187"/>
      <c r="E16" s="187"/>
      <c r="F16" s="195" t="s">
        <v>307</v>
      </c>
      <c r="G16" s="195"/>
      <c r="H16" s="196" t="s">
        <v>308</v>
      </c>
      <c r="I16" s="196"/>
    </row>
    <row r="17" spans="1:9" ht="12.75" customHeight="1">
      <c r="A17" s="197" t="s">
        <v>311</v>
      </c>
      <c r="B17" s="197"/>
      <c r="C17" s="197"/>
      <c r="D17" s="197"/>
      <c r="E17" s="197"/>
      <c r="F17" s="193" t="s">
        <v>307</v>
      </c>
      <c r="G17" s="193"/>
      <c r="H17" s="198">
        <v>3</v>
      </c>
      <c r="I17" s="198"/>
    </row>
    <row r="18" spans="1:9" ht="12.75" customHeight="1">
      <c r="A18" s="187" t="s">
        <v>312</v>
      </c>
      <c r="B18" s="187"/>
      <c r="C18" s="187"/>
      <c r="D18" s="187"/>
      <c r="E18" s="187"/>
      <c r="F18" s="195" t="s">
        <v>307</v>
      </c>
      <c r="G18" s="195"/>
      <c r="H18" s="196" t="s">
        <v>308</v>
      </c>
      <c r="I18" s="196"/>
    </row>
    <row r="19" spans="1:9" ht="12.75" customHeight="1">
      <c r="A19" s="187" t="s">
        <v>313</v>
      </c>
      <c r="B19" s="187"/>
      <c r="C19" s="187"/>
      <c r="D19" s="187"/>
      <c r="E19" s="187"/>
      <c r="F19" s="195" t="s">
        <v>307</v>
      </c>
      <c r="G19" s="195"/>
      <c r="H19" s="196" t="s">
        <v>308</v>
      </c>
      <c r="I19" s="196"/>
    </row>
    <row r="20" spans="1:9" ht="12.75" customHeight="1">
      <c r="A20" s="199" t="s">
        <v>314</v>
      </c>
      <c r="B20" s="199"/>
      <c r="C20" s="199"/>
      <c r="D20" s="199"/>
      <c r="E20" s="199"/>
      <c r="F20" s="199"/>
      <c r="G20" s="199"/>
      <c r="H20" s="200">
        <f>SUM(H14:H19)</f>
        <v>3</v>
      </c>
      <c r="I20" s="200"/>
    </row>
    <row r="21" spans="1:9" ht="8.25" customHeight="1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12" ht="47.25" customHeight="1">
      <c r="A22" s="202" t="s">
        <v>315</v>
      </c>
      <c r="B22" s="202"/>
      <c r="C22" s="202"/>
      <c r="D22" s="202"/>
      <c r="E22" s="202"/>
      <c r="F22" s="202"/>
      <c r="G22" s="202"/>
      <c r="H22" s="202"/>
      <c r="I22" s="202"/>
      <c r="J22" s="6"/>
      <c r="K22" s="7"/>
      <c r="L22" s="8"/>
    </row>
    <row r="23" spans="1:12" ht="7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L23" s="8"/>
    </row>
    <row r="24" spans="1:12" ht="51.75" customHeight="1">
      <c r="A24" s="204" t="s">
        <v>316</v>
      </c>
      <c r="B24" s="204"/>
      <c r="C24" s="204"/>
      <c r="D24" s="204"/>
      <c r="E24" s="204"/>
      <c r="F24" s="204"/>
      <c r="G24" s="204"/>
      <c r="H24" s="204"/>
      <c r="I24" s="204"/>
      <c r="J24" s="6"/>
      <c r="K24" s="7"/>
      <c r="L24" s="8"/>
    </row>
    <row r="25" spans="1:12" ht="9.7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6"/>
      <c r="K25" s="7"/>
      <c r="L25" s="8"/>
    </row>
    <row r="26" spans="1:256" s="9" customFormat="1" ht="21.75" customHeight="1">
      <c r="A26" s="189" t="s">
        <v>281</v>
      </c>
      <c r="B26" s="189"/>
      <c r="C26" s="189"/>
      <c r="D26" s="189"/>
      <c r="E26" s="189"/>
      <c r="F26" s="189"/>
      <c r="G26" s="189"/>
      <c r="H26" s="189"/>
      <c r="I26" s="18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9" ht="27" customHeight="1">
      <c r="A27" s="3">
        <v>1</v>
      </c>
      <c r="B27" s="187" t="s">
        <v>317</v>
      </c>
      <c r="C27" s="187"/>
      <c r="D27" s="187"/>
      <c r="E27" s="187"/>
      <c r="F27" s="187"/>
      <c r="G27" s="187"/>
      <c r="H27" s="207" t="s">
        <v>318</v>
      </c>
      <c r="I27" s="207"/>
    </row>
    <row r="28" spans="1:9" ht="19.5" customHeight="1">
      <c r="A28" s="10">
        <v>2</v>
      </c>
      <c r="B28" s="208" t="s">
        <v>319</v>
      </c>
      <c r="C28" s="208"/>
      <c r="D28" s="208"/>
      <c r="E28" s="208"/>
      <c r="F28" s="208"/>
      <c r="G28" s="208"/>
      <c r="H28" s="209" t="s">
        <v>0</v>
      </c>
      <c r="I28" s="209"/>
    </row>
    <row r="29" spans="1:9" ht="15.75" customHeight="1">
      <c r="A29" s="3">
        <v>3</v>
      </c>
      <c r="B29" s="187" t="s">
        <v>1</v>
      </c>
      <c r="C29" s="187"/>
      <c r="D29" s="187"/>
      <c r="E29" s="187"/>
      <c r="F29" s="187"/>
      <c r="G29" s="187"/>
      <c r="H29" s="210">
        <v>1447.6</v>
      </c>
      <c r="I29" s="210"/>
    </row>
    <row r="30" spans="1:9" ht="15.75" customHeight="1">
      <c r="A30" s="3">
        <v>4</v>
      </c>
      <c r="B30" s="187" t="s">
        <v>2</v>
      </c>
      <c r="C30" s="187"/>
      <c r="D30" s="187"/>
      <c r="E30" s="187"/>
      <c r="F30" s="187"/>
      <c r="G30" s="187"/>
      <c r="H30" s="211" t="s">
        <v>3</v>
      </c>
      <c r="I30" s="211"/>
    </row>
    <row r="31" spans="1:9" ht="15.75" customHeight="1">
      <c r="A31" s="3">
        <v>5</v>
      </c>
      <c r="B31" s="187" t="s">
        <v>4</v>
      </c>
      <c r="C31" s="187"/>
      <c r="D31" s="187"/>
      <c r="E31" s="187"/>
      <c r="F31" s="187"/>
      <c r="G31" s="187"/>
      <c r="H31" s="212" t="s">
        <v>148</v>
      </c>
      <c r="I31" s="212"/>
    </row>
    <row r="32" spans="1:9" ht="27" customHeight="1">
      <c r="A32" s="11">
        <v>6</v>
      </c>
      <c r="B32" s="213" t="s">
        <v>165</v>
      </c>
      <c r="C32" s="213"/>
      <c r="D32" s="213"/>
      <c r="E32" s="213"/>
      <c r="F32" s="213"/>
      <c r="G32" s="213"/>
      <c r="H32" s="214">
        <f>ROUND(H29/220,2)</f>
        <v>6.58</v>
      </c>
      <c r="I32" s="214"/>
    </row>
    <row r="33" spans="1:256" ht="27" customHeight="1">
      <c r="A33" s="11">
        <v>7</v>
      </c>
      <c r="B33" s="213" t="s">
        <v>166</v>
      </c>
      <c r="C33" s="213"/>
      <c r="D33" s="213"/>
      <c r="E33" s="213"/>
      <c r="F33" s="213"/>
      <c r="G33" s="213"/>
      <c r="H33" s="214">
        <f>SUM(H32+H37)</f>
        <v>8.55</v>
      </c>
      <c r="I33" s="21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7" customHeight="1">
      <c r="A34" s="11">
        <v>8</v>
      </c>
      <c r="B34" s="213" t="s">
        <v>170</v>
      </c>
      <c r="C34" s="213"/>
      <c r="D34" s="213"/>
      <c r="E34" s="213"/>
      <c r="F34" s="213"/>
      <c r="G34" s="213"/>
      <c r="H34" s="214">
        <f>ROUND(H32*1.5,2)</f>
        <v>9.87</v>
      </c>
      <c r="I34" s="21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 s="11">
        <v>9</v>
      </c>
      <c r="B35" s="213" t="s">
        <v>171</v>
      </c>
      <c r="C35" s="213"/>
      <c r="D35" s="213"/>
      <c r="E35" s="213"/>
      <c r="F35" s="213"/>
      <c r="G35" s="213"/>
      <c r="H35" s="215">
        <f>ROUND(1.3*H32*1.5,2)</f>
        <v>12.83</v>
      </c>
      <c r="I35" s="21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11">
        <v>10</v>
      </c>
      <c r="B36" s="213" t="s">
        <v>172</v>
      </c>
      <c r="C36" s="213"/>
      <c r="D36" s="213"/>
      <c r="E36" s="213"/>
      <c r="F36" s="213"/>
      <c r="G36" s="213"/>
      <c r="H36" s="214">
        <f>ROUND(1.3*H32*0.2,2)</f>
        <v>1.71</v>
      </c>
      <c r="I36" s="21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" customHeight="1">
      <c r="A37" s="105">
        <v>11</v>
      </c>
      <c r="B37" s="337" t="s">
        <v>173</v>
      </c>
      <c r="C37" s="337"/>
      <c r="D37" s="337"/>
      <c r="E37" s="337"/>
      <c r="F37" s="337"/>
      <c r="G37" s="337"/>
      <c r="H37" s="214">
        <f>ROUND(H32*0.3,2)</f>
        <v>1.97</v>
      </c>
      <c r="I37" s="21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11">
        <v>12</v>
      </c>
      <c r="B38" s="213" t="s">
        <v>174</v>
      </c>
      <c r="C38" s="213"/>
      <c r="D38" s="213"/>
      <c r="E38" s="213"/>
      <c r="F38" s="213"/>
      <c r="G38" s="213"/>
      <c r="H38" s="214">
        <f>H29*0.3</f>
        <v>434.28000000000003</v>
      </c>
      <c r="I38" s="21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 s="11">
        <v>13</v>
      </c>
      <c r="B39" s="213" t="s">
        <v>175</v>
      </c>
      <c r="C39" s="213"/>
      <c r="D39" s="213"/>
      <c r="E39" s="213"/>
      <c r="F39" s="213"/>
      <c r="G39" s="213"/>
      <c r="H39" s="214">
        <f>ROUND(H32/6,2)*1.3</f>
        <v>1.4300000000000002</v>
      </c>
      <c r="I39" s="21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customHeight="1">
      <c r="A40" s="11">
        <v>14</v>
      </c>
      <c r="B40" s="216" t="s">
        <v>8</v>
      </c>
      <c r="C40" s="216"/>
      <c r="D40" s="216"/>
      <c r="E40" s="216"/>
      <c r="F40" s="216"/>
      <c r="G40" s="216"/>
      <c r="H40" s="217">
        <v>2</v>
      </c>
      <c r="I40" s="21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9" ht="9" customHeight="1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21.75" customHeight="1">
      <c r="A42" s="218" t="s">
        <v>9</v>
      </c>
      <c r="B42" s="218"/>
      <c r="C42" s="218"/>
      <c r="D42" s="218"/>
      <c r="E42" s="218"/>
      <c r="F42" s="218"/>
      <c r="G42" s="218"/>
      <c r="H42" s="218"/>
      <c r="I42" s="218"/>
    </row>
    <row r="43" spans="1:9" ht="9" customHeight="1">
      <c r="A43" s="219"/>
      <c r="B43" s="219"/>
      <c r="C43" s="219"/>
      <c r="D43" s="219"/>
      <c r="E43" s="219"/>
      <c r="F43" s="219"/>
      <c r="G43" s="219"/>
      <c r="H43" s="219"/>
      <c r="I43" s="219"/>
    </row>
    <row r="44" spans="1:9" ht="20.25" customHeight="1">
      <c r="A44" s="220" t="s">
        <v>10</v>
      </c>
      <c r="B44" s="220"/>
      <c r="C44" s="220"/>
      <c r="D44" s="220"/>
      <c r="E44" s="220"/>
      <c r="F44" s="220"/>
      <c r="G44" s="220"/>
      <c r="H44" s="220"/>
      <c r="I44" s="220"/>
    </row>
    <row r="45" spans="1:9" s="15" customFormat="1" ht="30" customHeight="1">
      <c r="A45" s="108">
        <v>1</v>
      </c>
      <c r="B45" s="351" t="s">
        <v>11</v>
      </c>
      <c r="C45" s="351"/>
      <c r="D45" s="351"/>
      <c r="E45" s="351"/>
      <c r="F45" s="351"/>
      <c r="G45" s="351"/>
      <c r="H45" s="14" t="s">
        <v>12</v>
      </c>
      <c r="I45" s="12" t="s">
        <v>13</v>
      </c>
    </row>
    <row r="46" spans="1:9" ht="15.75" customHeight="1">
      <c r="A46" s="3" t="s">
        <v>292</v>
      </c>
      <c r="B46" s="187" t="s">
        <v>14</v>
      </c>
      <c r="C46" s="187"/>
      <c r="D46" s="187"/>
      <c r="E46" s="187"/>
      <c r="F46" s="187"/>
      <c r="G46" s="187"/>
      <c r="H46" s="187"/>
      <c r="I46" s="16">
        <f>H29*2</f>
        <v>2895.2</v>
      </c>
    </row>
    <row r="47" spans="1:9" ht="23.25" customHeight="1">
      <c r="A47" s="3" t="s">
        <v>294</v>
      </c>
      <c r="B47" s="222" t="s">
        <v>176</v>
      </c>
      <c r="C47" s="222"/>
      <c r="D47" s="222"/>
      <c r="E47" s="222"/>
      <c r="F47" s="222"/>
      <c r="G47" s="222"/>
      <c r="H47" s="17">
        <v>0.3</v>
      </c>
      <c r="I47" s="16">
        <f>ROUND(I46*H47,2)</f>
        <v>868.56</v>
      </c>
    </row>
    <row r="48" spans="1:9" ht="37.5" customHeight="1">
      <c r="A48" s="3" t="s">
        <v>297</v>
      </c>
      <c r="B48" s="187" t="s">
        <v>202</v>
      </c>
      <c r="C48" s="187"/>
      <c r="D48" s="187"/>
      <c r="E48" s="187"/>
      <c r="F48" s="187"/>
      <c r="G48" s="187"/>
      <c r="H48" s="187"/>
      <c r="I48" s="16">
        <f>ROUND(2*7.42857115*15*H36,2)</f>
        <v>381.09</v>
      </c>
    </row>
    <row r="49" spans="1:9" ht="50.25" customHeight="1">
      <c r="A49" s="3" t="s">
        <v>300</v>
      </c>
      <c r="B49" s="187" t="s">
        <v>151</v>
      </c>
      <c r="C49" s="187"/>
      <c r="D49" s="187"/>
      <c r="E49" s="187"/>
      <c r="F49" s="187"/>
      <c r="G49" s="187"/>
      <c r="H49" s="187"/>
      <c r="I49" s="16">
        <f>ROUND(H35*3.26*2,2)</f>
        <v>83.65</v>
      </c>
    </row>
    <row r="50" spans="1:9" ht="29.25" customHeight="1">
      <c r="A50" s="3" t="s">
        <v>300</v>
      </c>
      <c r="B50" s="187" t="s">
        <v>210</v>
      </c>
      <c r="C50" s="187"/>
      <c r="D50" s="187"/>
      <c r="E50" s="187"/>
      <c r="F50" s="187"/>
      <c r="G50" s="187"/>
      <c r="H50" s="187"/>
      <c r="I50" s="16">
        <f>ROUND(H39*H40*15,2)</f>
        <v>42.9</v>
      </c>
    </row>
    <row r="51" spans="1:9" s="109" customFormat="1" ht="27" customHeight="1">
      <c r="A51" s="3" t="s">
        <v>16</v>
      </c>
      <c r="B51" s="187" t="s">
        <v>282</v>
      </c>
      <c r="C51" s="187"/>
      <c r="D51" s="187"/>
      <c r="E51" s="187"/>
      <c r="F51" s="187"/>
      <c r="G51" s="187"/>
      <c r="H51" s="187"/>
      <c r="I51" s="16">
        <f>ROUND(SUM(I48:I50)*0.2,2)</f>
        <v>101.53</v>
      </c>
    </row>
    <row r="52" spans="1:9" ht="24.75" customHeight="1">
      <c r="A52" s="3" t="s">
        <v>18</v>
      </c>
      <c r="B52" s="187" t="s">
        <v>19</v>
      </c>
      <c r="C52" s="187"/>
      <c r="D52" s="187"/>
      <c r="E52" s="187"/>
      <c r="F52" s="187"/>
      <c r="G52" s="187"/>
      <c r="H52" s="187"/>
      <c r="I52" s="18" t="s">
        <v>308</v>
      </c>
    </row>
    <row r="53" spans="1:9" ht="44.25" customHeight="1">
      <c r="A53" s="348" t="s">
        <v>242</v>
      </c>
      <c r="B53" s="349"/>
      <c r="C53" s="349"/>
      <c r="D53" s="349"/>
      <c r="E53" s="349"/>
      <c r="F53" s="349"/>
      <c r="G53" s="349"/>
      <c r="H53" s="350"/>
      <c r="I53" s="110">
        <f>SUM(I46:I52)</f>
        <v>4372.9299999999985</v>
      </c>
    </row>
    <row r="54" spans="1:9" ht="10.5" customHeight="1">
      <c r="A54" s="235"/>
      <c r="B54" s="235"/>
      <c r="C54" s="235"/>
      <c r="D54" s="235"/>
      <c r="E54" s="235"/>
      <c r="F54" s="235"/>
      <c r="G54" s="235"/>
      <c r="H54" s="235"/>
      <c r="I54" s="235"/>
    </row>
    <row r="55" spans="1:9" ht="18" customHeight="1">
      <c r="A55" s="236" t="s">
        <v>268</v>
      </c>
      <c r="B55" s="236"/>
      <c r="C55" s="236"/>
      <c r="D55" s="236"/>
      <c r="E55" s="236"/>
      <c r="F55" s="236"/>
      <c r="G55" s="236"/>
      <c r="H55" s="236"/>
      <c r="I55" s="236"/>
    </row>
    <row r="56" spans="1:9" ht="8.25" customHeight="1">
      <c r="A56" s="347"/>
      <c r="B56" s="347"/>
      <c r="C56" s="347"/>
      <c r="D56" s="347"/>
      <c r="E56" s="347"/>
      <c r="F56" s="347"/>
      <c r="G56" s="347"/>
      <c r="H56" s="347"/>
      <c r="I56" s="347"/>
    </row>
    <row r="57" spans="1:9" ht="27" customHeight="1">
      <c r="A57" s="237" t="s">
        <v>23</v>
      </c>
      <c r="B57" s="237"/>
      <c r="C57" s="237"/>
      <c r="D57" s="237"/>
      <c r="E57" s="237"/>
      <c r="F57" s="237"/>
      <c r="G57" s="237"/>
      <c r="H57" s="237"/>
      <c r="I57" s="237"/>
    </row>
    <row r="58" spans="1:9" ht="27" customHeight="1">
      <c r="A58" s="238" t="s">
        <v>238</v>
      </c>
      <c r="B58" s="238"/>
      <c r="C58" s="238"/>
      <c r="D58" s="238"/>
      <c r="E58" s="238"/>
      <c r="F58" s="238"/>
      <c r="G58" s="238"/>
      <c r="H58" s="238"/>
      <c r="I58" s="238"/>
    </row>
    <row r="59" spans="1:9" ht="22.5" customHeight="1">
      <c r="A59" s="22" t="s">
        <v>24</v>
      </c>
      <c r="B59" s="239" t="s">
        <v>239</v>
      </c>
      <c r="C59" s="239"/>
      <c r="D59" s="239"/>
      <c r="E59" s="239"/>
      <c r="F59" s="239"/>
      <c r="G59" s="239"/>
      <c r="H59" s="239"/>
      <c r="I59" s="23" t="s">
        <v>25</v>
      </c>
    </row>
    <row r="60" spans="1:9" ht="19.5" customHeight="1">
      <c r="A60" s="24" t="s">
        <v>292</v>
      </c>
      <c r="B60" s="476" t="s">
        <v>26</v>
      </c>
      <c r="C60" s="477"/>
      <c r="D60" s="477"/>
      <c r="E60" s="477"/>
      <c r="F60" s="477"/>
      <c r="G60" s="478"/>
      <c r="H60" s="121">
        <v>0.0833</v>
      </c>
      <c r="I60" s="25">
        <f>ROUND(I53*H60,2)</f>
        <v>364.27</v>
      </c>
    </row>
    <row r="61" spans="1:9" ht="18.75" customHeight="1">
      <c r="A61" s="24" t="s">
        <v>294</v>
      </c>
      <c r="B61" s="479" t="s">
        <v>204</v>
      </c>
      <c r="C61" s="480"/>
      <c r="D61" s="480"/>
      <c r="E61" s="480"/>
      <c r="F61" s="480"/>
      <c r="G61" s="481"/>
      <c r="H61" s="31">
        <v>0.0278</v>
      </c>
      <c r="I61" s="25">
        <f>ROUND(I53*H61,2)</f>
        <v>121.57</v>
      </c>
    </row>
    <row r="62" spans="1:9" ht="15.75" customHeight="1">
      <c r="A62" s="252" t="s">
        <v>27</v>
      </c>
      <c r="B62" s="252"/>
      <c r="C62" s="252"/>
      <c r="D62" s="252"/>
      <c r="E62" s="252"/>
      <c r="F62" s="252"/>
      <c r="G62" s="252"/>
      <c r="H62" s="252"/>
      <c r="I62" s="39">
        <f>SUM(I60:I61)</f>
        <v>485.84</v>
      </c>
    </row>
    <row r="63" spans="1:9" ht="7.5" customHeight="1">
      <c r="A63" s="346"/>
      <c r="B63" s="346"/>
      <c r="C63" s="346"/>
      <c r="D63" s="346"/>
      <c r="E63" s="346"/>
      <c r="F63" s="346"/>
      <c r="G63" s="346"/>
      <c r="H63" s="346"/>
      <c r="I63" s="346"/>
    </row>
    <row r="64" spans="1:11" ht="54.75" customHeight="1">
      <c r="A64" s="245" t="s">
        <v>203</v>
      </c>
      <c r="B64" s="246"/>
      <c r="C64" s="246"/>
      <c r="D64" s="246"/>
      <c r="E64" s="246"/>
      <c r="F64" s="246"/>
      <c r="G64" s="246"/>
      <c r="H64" s="246"/>
      <c r="I64" s="247"/>
      <c r="K64" s="1">
        <f>5169.85/3</f>
        <v>1723.2833333333335</v>
      </c>
    </row>
    <row r="65" spans="1:11" ht="18.75" customHeight="1">
      <c r="A65" s="333"/>
      <c r="B65" s="333"/>
      <c r="C65" s="333"/>
      <c r="D65" s="333"/>
      <c r="E65" s="333"/>
      <c r="F65" s="333"/>
      <c r="G65" s="333"/>
      <c r="H65" s="333"/>
      <c r="I65" s="333"/>
      <c r="K65" s="1">
        <f>5169.85/12+5169.85+430.82+143.61</f>
        <v>6175.100833333333</v>
      </c>
    </row>
    <row r="66" spans="1:9" s="27" customFormat="1" ht="32.25" customHeight="1">
      <c r="A66" s="249" t="s">
        <v>211</v>
      </c>
      <c r="B66" s="249"/>
      <c r="C66" s="249"/>
      <c r="D66" s="249"/>
      <c r="E66" s="249"/>
      <c r="F66" s="249"/>
      <c r="G66" s="249"/>
      <c r="H66" s="249"/>
      <c r="I66" s="249"/>
    </row>
    <row r="67" spans="1:9" s="27" customFormat="1" ht="27" customHeight="1">
      <c r="A67" s="28" t="s">
        <v>28</v>
      </c>
      <c r="B67" s="250" t="s">
        <v>205</v>
      </c>
      <c r="C67" s="250"/>
      <c r="D67" s="250"/>
      <c r="E67" s="250"/>
      <c r="F67" s="250"/>
      <c r="G67" s="250"/>
      <c r="H67" s="107" t="s">
        <v>12</v>
      </c>
      <c r="I67" s="29" t="s">
        <v>30</v>
      </c>
    </row>
    <row r="68" spans="1:9" s="27" customFormat="1" ht="18.75" customHeight="1">
      <c r="A68" s="30" t="s">
        <v>292</v>
      </c>
      <c r="B68" s="251" t="s">
        <v>31</v>
      </c>
      <c r="C68" s="251"/>
      <c r="D68" s="251"/>
      <c r="E68" s="251"/>
      <c r="F68" s="251"/>
      <c r="G68" s="251"/>
      <c r="H68" s="31">
        <v>0.2</v>
      </c>
      <c r="I68" s="32">
        <f>ROUND((I53+I62)*H68,2)</f>
        <v>971.75</v>
      </c>
    </row>
    <row r="69" spans="1:9" s="27" customFormat="1" ht="18.75" customHeight="1">
      <c r="A69" s="30" t="s">
        <v>294</v>
      </c>
      <c r="B69" s="251" t="s">
        <v>32</v>
      </c>
      <c r="C69" s="251"/>
      <c r="D69" s="251"/>
      <c r="E69" s="251"/>
      <c r="F69" s="251"/>
      <c r="G69" s="251"/>
      <c r="H69" s="33">
        <v>0.025</v>
      </c>
      <c r="I69" s="32">
        <f>ROUND((I53+I62)*H69,2)</f>
        <v>121.47</v>
      </c>
    </row>
    <row r="70" spans="1:9" s="27" customFormat="1" ht="55.5" customHeight="1">
      <c r="A70" s="30" t="s">
        <v>297</v>
      </c>
      <c r="B70" s="187" t="s">
        <v>33</v>
      </c>
      <c r="C70" s="187"/>
      <c r="D70" s="34" t="s">
        <v>36</v>
      </c>
      <c r="E70" s="35">
        <v>0.03</v>
      </c>
      <c r="F70" s="34" t="s">
        <v>37</v>
      </c>
      <c r="G70" s="36">
        <v>1</v>
      </c>
      <c r="H70" s="37">
        <f>ROUND((E70*G70),6)</f>
        <v>0.03</v>
      </c>
      <c r="I70" s="32">
        <f>ROUND((I53+I62)*H70,2)</f>
        <v>145.76</v>
      </c>
    </row>
    <row r="71" spans="1:9" s="27" customFormat="1" ht="15.75" customHeight="1">
      <c r="A71" s="30" t="s">
        <v>300</v>
      </c>
      <c r="B71" s="251" t="s">
        <v>38</v>
      </c>
      <c r="C71" s="251"/>
      <c r="D71" s="251"/>
      <c r="E71" s="251"/>
      <c r="F71" s="251"/>
      <c r="G71" s="251"/>
      <c r="H71" s="31">
        <v>0.015</v>
      </c>
      <c r="I71" s="32">
        <f>ROUND((I53+I62)*H71,2)</f>
        <v>72.88</v>
      </c>
    </row>
    <row r="72" spans="1:9" s="27" customFormat="1" ht="15.75" customHeight="1">
      <c r="A72" s="30" t="s">
        <v>16</v>
      </c>
      <c r="B72" s="251" t="s">
        <v>39</v>
      </c>
      <c r="C72" s="251"/>
      <c r="D72" s="251"/>
      <c r="E72" s="251"/>
      <c r="F72" s="251"/>
      <c r="G72" s="251"/>
      <c r="H72" s="31">
        <v>0.01</v>
      </c>
      <c r="I72" s="32">
        <f>ROUND((I53+I62)*H72,2)</f>
        <v>48.59</v>
      </c>
    </row>
    <row r="73" spans="1:9" s="27" customFormat="1" ht="15.75" customHeight="1">
      <c r="A73" s="30" t="s">
        <v>18</v>
      </c>
      <c r="B73" s="187" t="s">
        <v>40</v>
      </c>
      <c r="C73" s="187"/>
      <c r="D73" s="187"/>
      <c r="E73" s="187"/>
      <c r="F73" s="187"/>
      <c r="G73" s="187"/>
      <c r="H73" s="33">
        <v>0.006</v>
      </c>
      <c r="I73" s="32">
        <f>ROUND((I53+I62)*H73,2)</f>
        <v>29.15</v>
      </c>
    </row>
    <row r="74" spans="1:9" s="27" customFormat="1" ht="15.75" customHeight="1">
      <c r="A74" s="30" t="s">
        <v>20</v>
      </c>
      <c r="B74" s="251" t="s">
        <v>41</v>
      </c>
      <c r="C74" s="251"/>
      <c r="D74" s="251"/>
      <c r="E74" s="251"/>
      <c r="F74" s="251"/>
      <c r="G74" s="251"/>
      <c r="H74" s="31">
        <v>0.002</v>
      </c>
      <c r="I74" s="32">
        <f>ROUND((I53+I62)*H74,2)</f>
        <v>9.72</v>
      </c>
    </row>
    <row r="75" spans="1:9" ht="15.75" customHeight="1">
      <c r="A75" s="30" t="s">
        <v>22</v>
      </c>
      <c r="B75" s="187" t="s">
        <v>42</v>
      </c>
      <c r="C75" s="187"/>
      <c r="D75" s="187"/>
      <c r="E75" s="187"/>
      <c r="F75" s="187"/>
      <c r="G75" s="187"/>
      <c r="H75" s="33">
        <v>0.08</v>
      </c>
      <c r="I75" s="32">
        <f>ROUND((I53+I62)*H75,2)</f>
        <v>388.7</v>
      </c>
    </row>
    <row r="76" spans="1:9" ht="15.75" customHeight="1">
      <c r="A76" s="252" t="s">
        <v>27</v>
      </c>
      <c r="B76" s="252"/>
      <c r="C76" s="252"/>
      <c r="D76" s="252"/>
      <c r="E76" s="252"/>
      <c r="F76" s="252"/>
      <c r="G76" s="252"/>
      <c r="H76" s="38">
        <f>SUM(H68:H75)</f>
        <v>0.36800000000000005</v>
      </c>
      <c r="I76" s="39">
        <f>SUM(I68:I75)</f>
        <v>1788.0200000000002</v>
      </c>
    </row>
    <row r="77" spans="1:9" ht="8.25" customHeight="1">
      <c r="A77" s="40"/>
      <c r="B77" s="41"/>
      <c r="C77" s="41"/>
      <c r="D77" s="41"/>
      <c r="E77" s="41"/>
      <c r="F77" s="41"/>
      <c r="G77" s="41"/>
      <c r="H77" s="42"/>
      <c r="I77" s="43"/>
    </row>
    <row r="78" spans="1:9" ht="35.25" customHeight="1">
      <c r="A78" s="218" t="s">
        <v>257</v>
      </c>
      <c r="B78" s="218"/>
      <c r="C78" s="218"/>
      <c r="D78" s="218"/>
      <c r="E78" s="218"/>
      <c r="F78" s="218"/>
      <c r="G78" s="218"/>
      <c r="H78" s="218"/>
      <c r="I78" s="218"/>
    </row>
    <row r="79" spans="1:9" ht="9.75" customHeight="1">
      <c r="A79" s="203"/>
      <c r="B79" s="203"/>
      <c r="C79" s="203"/>
      <c r="D79" s="203"/>
      <c r="E79" s="203"/>
      <c r="F79" s="203"/>
      <c r="G79" s="203"/>
      <c r="H79" s="203"/>
      <c r="I79" s="203"/>
    </row>
    <row r="80" spans="1:9" ht="20.25" customHeight="1">
      <c r="A80" s="253" t="s">
        <v>43</v>
      </c>
      <c r="B80" s="253"/>
      <c r="C80" s="253"/>
      <c r="D80" s="253"/>
      <c r="E80" s="253"/>
      <c r="F80" s="253"/>
      <c r="G80" s="253"/>
      <c r="H80" s="253"/>
      <c r="I80" s="253"/>
    </row>
    <row r="81" spans="1:9" ht="27" customHeight="1">
      <c r="A81" s="44" t="s">
        <v>44</v>
      </c>
      <c r="B81" s="221" t="s">
        <v>45</v>
      </c>
      <c r="C81" s="221"/>
      <c r="D81" s="221"/>
      <c r="E81" s="221"/>
      <c r="F81" s="221"/>
      <c r="G81" s="221"/>
      <c r="H81" s="221"/>
      <c r="I81" s="13" t="s">
        <v>25</v>
      </c>
    </row>
    <row r="82" spans="1:9" ht="27" customHeight="1">
      <c r="A82" s="94" t="s">
        <v>213</v>
      </c>
      <c r="B82" s="254" t="s">
        <v>46</v>
      </c>
      <c r="C82" s="254"/>
      <c r="D82" s="254"/>
      <c r="E82" s="254"/>
      <c r="F82" s="254"/>
      <c r="G82" s="254"/>
      <c r="H82" s="254"/>
      <c r="I82" s="46">
        <f>IF(ROUND((H83*H85*H84)-(I46*H86),2)&lt;0,0,ROUND((H83*H85*H84)-(I46*H86),2))</f>
        <v>108.29</v>
      </c>
    </row>
    <row r="83" spans="1:9" ht="27" customHeight="1">
      <c r="A83" s="45"/>
      <c r="B83" s="254" t="s">
        <v>47</v>
      </c>
      <c r="C83" s="254"/>
      <c r="D83" s="254"/>
      <c r="E83" s="254"/>
      <c r="F83" s="254"/>
      <c r="G83" s="254"/>
      <c r="H83" s="47">
        <v>4.7</v>
      </c>
      <c r="I83" s="48" t="s">
        <v>308</v>
      </c>
    </row>
    <row r="84" spans="1:9" ht="18.75" customHeight="1">
      <c r="A84" s="45"/>
      <c r="B84" s="187" t="s">
        <v>48</v>
      </c>
      <c r="C84" s="187"/>
      <c r="D84" s="187"/>
      <c r="E84" s="187"/>
      <c r="F84" s="187"/>
      <c r="G84" s="187"/>
      <c r="H84" s="49">
        <v>2</v>
      </c>
      <c r="I84" s="48" t="s">
        <v>308</v>
      </c>
    </row>
    <row r="85" spans="1:9" ht="19.5" customHeight="1">
      <c r="A85" s="45"/>
      <c r="B85" s="213" t="s">
        <v>49</v>
      </c>
      <c r="C85" s="213"/>
      <c r="D85" s="213"/>
      <c r="E85" s="213"/>
      <c r="F85" s="213"/>
      <c r="G85" s="213"/>
      <c r="H85" s="50">
        <v>30</v>
      </c>
      <c r="I85" s="48"/>
    </row>
    <row r="86" spans="1:9" ht="19.5" customHeight="1">
      <c r="A86" s="45"/>
      <c r="B86" s="213" t="s">
        <v>50</v>
      </c>
      <c r="C86" s="213"/>
      <c r="D86" s="213"/>
      <c r="E86" s="213"/>
      <c r="F86" s="213"/>
      <c r="G86" s="213"/>
      <c r="H86" s="51">
        <v>0.06</v>
      </c>
      <c r="I86" s="48"/>
    </row>
    <row r="87" spans="1:9" ht="19.5" customHeight="1">
      <c r="A87" s="45"/>
      <c r="B87" s="254" t="s">
        <v>51</v>
      </c>
      <c r="C87" s="254"/>
      <c r="D87" s="254"/>
      <c r="E87" s="254"/>
      <c r="F87" s="254"/>
      <c r="G87" s="254"/>
      <c r="H87" s="254"/>
      <c r="I87" s="52">
        <f>ROUND(H89*H88*(1-H90),2)*1+ROUND(21.726*6*(1-H90),2)*0</f>
        <v>461.52</v>
      </c>
    </row>
    <row r="88" spans="1:9" ht="14.25" customHeight="1">
      <c r="A88" s="45" t="s">
        <v>294</v>
      </c>
      <c r="B88" s="254" t="s">
        <v>52</v>
      </c>
      <c r="C88" s="254"/>
      <c r="D88" s="254"/>
      <c r="E88" s="254"/>
      <c r="F88" s="254"/>
      <c r="G88" s="254"/>
      <c r="H88" s="47">
        <v>19.23</v>
      </c>
      <c r="I88" s="48" t="s">
        <v>308</v>
      </c>
    </row>
    <row r="89" spans="1:9" ht="15.75" customHeight="1">
      <c r="A89" s="45"/>
      <c r="B89" s="254" t="s">
        <v>53</v>
      </c>
      <c r="C89" s="254"/>
      <c r="D89" s="254"/>
      <c r="E89" s="254"/>
      <c r="F89" s="254"/>
      <c r="G89" s="254"/>
      <c r="H89" s="50">
        <v>30</v>
      </c>
      <c r="I89" s="48"/>
    </row>
    <row r="90" spans="1:9" ht="15.75" customHeight="1">
      <c r="A90" s="45"/>
      <c r="B90" s="213" t="s">
        <v>54</v>
      </c>
      <c r="C90" s="213"/>
      <c r="D90" s="213"/>
      <c r="E90" s="213"/>
      <c r="F90" s="213"/>
      <c r="G90" s="213"/>
      <c r="H90" s="51">
        <v>0.2</v>
      </c>
      <c r="I90" s="48"/>
    </row>
    <row r="91" spans="1:9" ht="15.75" customHeight="1">
      <c r="A91" s="45" t="s">
        <v>297</v>
      </c>
      <c r="B91" s="254" t="s">
        <v>55</v>
      </c>
      <c r="C91" s="254"/>
      <c r="D91" s="254"/>
      <c r="E91" s="254"/>
      <c r="F91" s="254"/>
      <c r="G91" s="254"/>
      <c r="H91" s="254"/>
      <c r="I91" s="46">
        <v>0</v>
      </c>
    </row>
    <row r="92" spans="1:9" ht="26.25" customHeight="1">
      <c r="A92" s="45" t="s">
        <v>300</v>
      </c>
      <c r="B92" s="254" t="s">
        <v>244</v>
      </c>
      <c r="C92" s="254"/>
      <c r="D92" s="254"/>
      <c r="E92" s="254"/>
      <c r="F92" s="254"/>
      <c r="G92" s="254"/>
      <c r="H92" s="254"/>
      <c r="I92" s="46">
        <f>ROUND((I53)*26*0.00023,2)</f>
        <v>26.15</v>
      </c>
    </row>
    <row r="93" spans="1:9" s="27" customFormat="1" ht="24.75" customHeight="1">
      <c r="A93" s="45" t="s">
        <v>16</v>
      </c>
      <c r="B93" s="187" t="s">
        <v>245</v>
      </c>
      <c r="C93" s="187"/>
      <c r="D93" s="187"/>
      <c r="E93" s="187"/>
      <c r="F93" s="187"/>
      <c r="G93" s="187"/>
      <c r="H93" s="187"/>
      <c r="I93" s="46">
        <f>ROUND((($I$46+(H32*30*1.2))*0.0052066)/12,2)</f>
        <v>1.36</v>
      </c>
    </row>
    <row r="94" spans="1:9" s="27" customFormat="1" ht="15.75" customHeight="1">
      <c r="A94" s="45" t="s">
        <v>18</v>
      </c>
      <c r="B94" s="255" t="s">
        <v>58</v>
      </c>
      <c r="C94" s="255"/>
      <c r="D94" s="255"/>
      <c r="E94" s="255"/>
      <c r="F94" s="255"/>
      <c r="G94" s="255"/>
      <c r="H94" s="255"/>
      <c r="I94" s="53">
        <v>0</v>
      </c>
    </row>
    <row r="95" spans="1:9" s="27" customFormat="1" ht="18" customHeight="1">
      <c r="A95" s="54"/>
      <c r="B95" s="256" t="s">
        <v>27</v>
      </c>
      <c r="C95" s="256"/>
      <c r="D95" s="256"/>
      <c r="E95" s="256"/>
      <c r="F95" s="256"/>
      <c r="G95" s="256"/>
      <c r="H95" s="256"/>
      <c r="I95" s="39">
        <f>SUM(I82:I94)</f>
        <v>597.3199999999999</v>
      </c>
    </row>
    <row r="96" spans="1:9" s="27" customFormat="1" ht="9" customHeight="1">
      <c r="A96" s="203"/>
      <c r="B96" s="203"/>
      <c r="C96" s="203"/>
      <c r="D96" s="203"/>
      <c r="E96" s="203"/>
      <c r="F96" s="203"/>
      <c r="G96" s="203"/>
      <c r="H96" s="203"/>
      <c r="I96" s="203"/>
    </row>
    <row r="97" spans="1:9" s="27" customFormat="1" ht="32.25" customHeight="1">
      <c r="A97" s="218" t="s">
        <v>59</v>
      </c>
      <c r="B97" s="218"/>
      <c r="C97" s="218"/>
      <c r="D97" s="218"/>
      <c r="E97" s="218"/>
      <c r="F97" s="218"/>
      <c r="G97" s="218"/>
      <c r="H97" s="218"/>
      <c r="I97" s="218"/>
    </row>
    <row r="98" spans="1:9" s="27" customFormat="1" ht="8.25" customHeight="1">
      <c r="A98" s="345"/>
      <c r="B98" s="345"/>
      <c r="C98" s="345"/>
      <c r="D98" s="345"/>
      <c r="E98" s="345"/>
      <c r="F98" s="345"/>
      <c r="G98" s="345"/>
      <c r="H98" s="345"/>
      <c r="I98" s="345"/>
    </row>
    <row r="99" spans="1:9" s="27" customFormat="1" ht="17.25" customHeight="1">
      <c r="A99" s="257" t="s">
        <v>60</v>
      </c>
      <c r="B99" s="257"/>
      <c r="C99" s="257"/>
      <c r="D99" s="257"/>
      <c r="E99" s="257"/>
      <c r="F99" s="257"/>
      <c r="G99" s="257"/>
      <c r="H99" s="257"/>
      <c r="I99" s="257"/>
    </row>
    <row r="100" spans="1:9" s="27" customFormat="1" ht="15.75" customHeight="1">
      <c r="A100" s="29">
        <v>2</v>
      </c>
      <c r="B100" s="250" t="s">
        <v>61</v>
      </c>
      <c r="C100" s="250"/>
      <c r="D100" s="250"/>
      <c r="E100" s="250"/>
      <c r="F100" s="250"/>
      <c r="G100" s="250"/>
      <c r="H100" s="250"/>
      <c r="I100" s="29" t="s">
        <v>25</v>
      </c>
    </row>
    <row r="101" spans="1:9" s="27" customFormat="1" ht="14.25" customHeight="1">
      <c r="A101" s="55" t="s">
        <v>24</v>
      </c>
      <c r="B101" s="258" t="s">
        <v>247</v>
      </c>
      <c r="C101" s="258"/>
      <c r="D101" s="258"/>
      <c r="E101" s="258"/>
      <c r="F101" s="258"/>
      <c r="G101" s="258"/>
      <c r="H101" s="258"/>
      <c r="I101" s="56">
        <f>I62</f>
        <v>485.84</v>
      </c>
    </row>
    <row r="102" spans="1:9" s="27" customFormat="1" ht="14.25" customHeight="1">
      <c r="A102" s="55" t="s">
        <v>28</v>
      </c>
      <c r="B102" s="258" t="s">
        <v>29</v>
      </c>
      <c r="C102" s="258"/>
      <c r="D102" s="258"/>
      <c r="E102" s="258"/>
      <c r="F102" s="258"/>
      <c r="G102" s="258"/>
      <c r="H102" s="258"/>
      <c r="I102" s="56">
        <f>I76</f>
        <v>1788.0200000000002</v>
      </c>
    </row>
    <row r="103" spans="1:9" s="27" customFormat="1" ht="14.25" customHeight="1">
      <c r="A103" s="55" t="s">
        <v>44</v>
      </c>
      <c r="B103" s="258" t="s">
        <v>45</v>
      </c>
      <c r="C103" s="258"/>
      <c r="D103" s="258"/>
      <c r="E103" s="258"/>
      <c r="F103" s="258"/>
      <c r="G103" s="258"/>
      <c r="H103" s="258"/>
      <c r="I103" s="56">
        <f>I95</f>
        <v>597.3199999999999</v>
      </c>
    </row>
    <row r="104" spans="1:9" s="27" customFormat="1" ht="14.25" customHeight="1">
      <c r="A104" s="259" t="s">
        <v>27</v>
      </c>
      <c r="B104" s="259"/>
      <c r="C104" s="259"/>
      <c r="D104" s="259"/>
      <c r="E104" s="259"/>
      <c r="F104" s="259"/>
      <c r="G104" s="259"/>
      <c r="H104" s="259"/>
      <c r="I104" s="57">
        <f>SUM(I101+I102+I103)</f>
        <v>2871.1800000000003</v>
      </c>
    </row>
    <row r="105" spans="1:9" s="27" customFormat="1" ht="8.25" customHeight="1">
      <c r="A105" s="260"/>
      <c r="B105" s="260"/>
      <c r="C105" s="260"/>
      <c r="D105" s="260"/>
      <c r="E105" s="260"/>
      <c r="F105" s="260"/>
      <c r="G105" s="260"/>
      <c r="H105" s="260"/>
      <c r="I105" s="260"/>
    </row>
    <row r="106" spans="1:9" s="27" customFormat="1" ht="20.25" customHeight="1">
      <c r="A106" s="261" t="s">
        <v>62</v>
      </c>
      <c r="B106" s="261"/>
      <c r="C106" s="261"/>
      <c r="D106" s="261"/>
      <c r="E106" s="261"/>
      <c r="F106" s="261"/>
      <c r="G106" s="261"/>
      <c r="H106" s="261"/>
      <c r="I106" s="261"/>
    </row>
    <row r="107" spans="1:9" s="27" customFormat="1" ht="15.75" customHeight="1">
      <c r="A107" s="44">
        <v>3</v>
      </c>
      <c r="B107" s="262" t="s">
        <v>248</v>
      </c>
      <c r="C107" s="262"/>
      <c r="D107" s="262"/>
      <c r="E107" s="262"/>
      <c r="F107" s="262"/>
      <c r="G107" s="262"/>
      <c r="H107" s="262"/>
      <c r="I107" s="44" t="s">
        <v>25</v>
      </c>
    </row>
    <row r="108" spans="1:9" s="27" customFormat="1" ht="45" customHeight="1">
      <c r="A108" s="45" t="s">
        <v>292</v>
      </c>
      <c r="B108" s="263" t="s">
        <v>64</v>
      </c>
      <c r="C108" s="263"/>
      <c r="D108" s="263"/>
      <c r="E108" s="263"/>
      <c r="F108" s="263"/>
      <c r="G108" s="263"/>
      <c r="H108" s="263"/>
      <c r="I108" s="32">
        <f>ROUND(((I53/12)+($I$60/12)+(I53/12/12)+($I$61/12))*(30/30)*0.05,2)</f>
        <v>21.76</v>
      </c>
    </row>
    <row r="109" spans="1:9" s="27" customFormat="1" ht="14.25" customHeight="1">
      <c r="A109" s="45" t="s">
        <v>294</v>
      </c>
      <c r="B109" s="241" t="s">
        <v>65</v>
      </c>
      <c r="C109" s="241"/>
      <c r="D109" s="241"/>
      <c r="E109" s="241"/>
      <c r="F109" s="241"/>
      <c r="G109" s="241"/>
      <c r="H109" s="241"/>
      <c r="I109" s="32">
        <f>ROUND($H$75*I108,2)</f>
        <v>1.74</v>
      </c>
    </row>
    <row r="110" spans="1:9" s="27" customFormat="1" ht="35.25" customHeight="1">
      <c r="A110" s="45" t="s">
        <v>297</v>
      </c>
      <c r="B110" s="251" t="s">
        <v>187</v>
      </c>
      <c r="C110" s="251"/>
      <c r="D110" s="251"/>
      <c r="E110" s="251"/>
      <c r="F110" s="251"/>
      <c r="G110" s="251"/>
      <c r="H110" s="251"/>
      <c r="I110" s="32">
        <f>ROUND((0.08*0.5*SUM(I53+$I$60+$I$61)*0.05),2)</f>
        <v>9.72</v>
      </c>
    </row>
    <row r="111" spans="1:9" s="27" customFormat="1" ht="33" customHeight="1">
      <c r="A111" s="45" t="s">
        <v>300</v>
      </c>
      <c r="B111" s="251" t="s">
        <v>249</v>
      </c>
      <c r="C111" s="251"/>
      <c r="D111" s="251"/>
      <c r="E111" s="251"/>
      <c r="F111" s="251"/>
      <c r="G111" s="251"/>
      <c r="H111" s="251"/>
      <c r="I111" s="32">
        <f>ROUND(((7/30)/$H$11)*I53*1,2)</f>
        <v>85.03</v>
      </c>
    </row>
    <row r="112" spans="1:9" s="27" customFormat="1" ht="23.25" customHeight="1">
      <c r="A112" s="45" t="s">
        <v>16</v>
      </c>
      <c r="B112" s="241" t="s">
        <v>258</v>
      </c>
      <c r="C112" s="241"/>
      <c r="D112" s="241"/>
      <c r="E112" s="241"/>
      <c r="F112" s="241"/>
      <c r="G112" s="241"/>
      <c r="H112" s="241"/>
      <c r="I112" s="32">
        <f>ROUND($H$76*I111,2)</f>
        <v>31.29</v>
      </c>
    </row>
    <row r="113" spans="1:9" s="27" customFormat="1" ht="29.25" customHeight="1">
      <c r="A113" s="45" t="s">
        <v>18</v>
      </c>
      <c r="B113" s="251" t="s">
        <v>250</v>
      </c>
      <c r="C113" s="251"/>
      <c r="D113" s="251"/>
      <c r="E113" s="251"/>
      <c r="F113" s="251"/>
      <c r="G113" s="251"/>
      <c r="H113" s="251"/>
      <c r="I113" s="32">
        <f>ROUND(0.08*0.5*SUM(I53+$I$60+$I$61)*1,2)</f>
        <v>194.35</v>
      </c>
    </row>
    <row r="114" spans="1:9" s="27" customFormat="1" ht="15.75" customHeight="1">
      <c r="A114" s="252" t="s">
        <v>67</v>
      </c>
      <c r="B114" s="252"/>
      <c r="C114" s="252"/>
      <c r="D114" s="252"/>
      <c r="E114" s="252"/>
      <c r="F114" s="252"/>
      <c r="G114" s="252"/>
      <c r="H114" s="252"/>
      <c r="I114" s="39">
        <f>SUM(I108:I113)</f>
        <v>343.89</v>
      </c>
    </row>
    <row r="115" spans="1:9" s="27" customFormat="1" ht="9" customHeight="1">
      <c r="A115" s="264"/>
      <c r="B115" s="264"/>
      <c r="C115" s="264"/>
      <c r="D115" s="264"/>
      <c r="E115" s="264"/>
      <c r="F115" s="264"/>
      <c r="G115" s="264"/>
      <c r="H115" s="264"/>
      <c r="I115" s="264"/>
    </row>
    <row r="116" spans="1:9" ht="24" customHeight="1">
      <c r="A116" s="265" t="s">
        <v>68</v>
      </c>
      <c r="B116" s="265"/>
      <c r="C116" s="265"/>
      <c r="D116" s="265"/>
      <c r="E116" s="265"/>
      <c r="F116" s="265"/>
      <c r="G116" s="265"/>
      <c r="H116" s="265"/>
      <c r="I116" s="265"/>
    </row>
    <row r="117" spans="1:9" ht="24.75" customHeight="1">
      <c r="A117" s="266" t="s">
        <v>259</v>
      </c>
      <c r="B117" s="266"/>
      <c r="C117" s="266"/>
      <c r="D117" s="266"/>
      <c r="E117" s="266"/>
      <c r="F117" s="266"/>
      <c r="G117" s="266"/>
      <c r="H117" s="266"/>
      <c r="I117" s="266"/>
    </row>
    <row r="118" spans="1:9" ht="45" customHeight="1">
      <c r="A118" s="268" t="s">
        <v>243</v>
      </c>
      <c r="B118" s="344"/>
      <c r="C118" s="344"/>
      <c r="D118" s="344"/>
      <c r="E118" s="344"/>
      <c r="F118" s="344"/>
      <c r="G118" s="344"/>
      <c r="H118" s="344"/>
      <c r="I118" s="273"/>
    </row>
    <row r="119" spans="1:9" ht="45.75" customHeight="1">
      <c r="A119" s="98" t="s">
        <v>157</v>
      </c>
      <c r="B119" s="100">
        <f>I53</f>
        <v>4372.9299999999985</v>
      </c>
      <c r="C119" s="102" t="s">
        <v>155</v>
      </c>
      <c r="D119" s="98" t="s">
        <v>194</v>
      </c>
      <c r="E119" s="100">
        <f>I104-I82-I87</f>
        <v>2301.3700000000003</v>
      </c>
      <c r="F119" s="102" t="s">
        <v>155</v>
      </c>
      <c r="G119" s="98" t="s">
        <v>279</v>
      </c>
      <c r="H119" s="100">
        <f>I114</f>
        <v>343.89</v>
      </c>
      <c r="I119" s="99">
        <f>B119+E119+H119</f>
        <v>7018.19</v>
      </c>
    </row>
    <row r="120" spans="1:9" ht="7.5" customHeight="1">
      <c r="A120" s="267"/>
      <c r="B120" s="267"/>
      <c r="C120" s="267"/>
      <c r="D120" s="267"/>
      <c r="E120" s="267"/>
      <c r="F120" s="267"/>
      <c r="G120" s="267"/>
      <c r="H120" s="267"/>
      <c r="I120" s="267"/>
    </row>
    <row r="121" spans="1:9" ht="24" customHeight="1">
      <c r="A121" s="274" t="s">
        <v>276</v>
      </c>
      <c r="B121" s="474"/>
      <c r="C121" s="474"/>
      <c r="D121" s="474"/>
      <c r="E121" s="474"/>
      <c r="F121" s="474"/>
      <c r="G121" s="474"/>
      <c r="H121" s="474"/>
      <c r="I121" s="475"/>
    </row>
    <row r="122" spans="1:9" ht="24" customHeight="1">
      <c r="A122" s="58" t="s">
        <v>69</v>
      </c>
      <c r="B122" s="262" t="s">
        <v>251</v>
      </c>
      <c r="C122" s="262"/>
      <c r="D122" s="262"/>
      <c r="E122" s="262"/>
      <c r="F122" s="262"/>
      <c r="G122" s="262"/>
      <c r="H122" s="262"/>
      <c r="I122" s="58" t="s">
        <v>25</v>
      </c>
    </row>
    <row r="123" spans="1:9" ht="14.25" customHeight="1">
      <c r="A123" s="45" t="s">
        <v>292</v>
      </c>
      <c r="B123" s="241" t="s">
        <v>262</v>
      </c>
      <c r="C123" s="241"/>
      <c r="D123" s="241"/>
      <c r="E123" s="241"/>
      <c r="F123" s="241"/>
      <c r="G123" s="241"/>
      <c r="H123" s="241"/>
      <c r="I123" s="32">
        <f>ROUND($I$119/12,2)</f>
        <v>584.85</v>
      </c>
    </row>
    <row r="124" spans="1:9" ht="14.25" customHeight="1">
      <c r="A124" s="45" t="s">
        <v>294</v>
      </c>
      <c r="B124" s="251" t="s">
        <v>150</v>
      </c>
      <c r="C124" s="251"/>
      <c r="D124" s="251"/>
      <c r="E124" s="251"/>
      <c r="F124" s="251"/>
      <c r="G124" s="251"/>
      <c r="H124" s="251"/>
      <c r="I124" s="32">
        <f>ROUND((1/30)/12*($I$119),2)</f>
        <v>19.49</v>
      </c>
    </row>
    <row r="125" spans="1:9" ht="24.75" customHeight="1">
      <c r="A125" s="45" t="s">
        <v>297</v>
      </c>
      <c r="B125" s="251" t="s">
        <v>263</v>
      </c>
      <c r="C125" s="251"/>
      <c r="D125" s="251"/>
      <c r="E125" s="251"/>
      <c r="F125" s="251"/>
      <c r="G125" s="251"/>
      <c r="H125" s="251"/>
      <c r="I125" s="32">
        <f>ROUND((5/30)/12*0.015*($I$119),2)</f>
        <v>1.46</v>
      </c>
    </row>
    <row r="126" spans="1:9" ht="27" customHeight="1">
      <c r="A126" s="45" t="s">
        <v>300</v>
      </c>
      <c r="B126" s="251" t="s">
        <v>264</v>
      </c>
      <c r="C126" s="251"/>
      <c r="D126" s="251"/>
      <c r="E126" s="251"/>
      <c r="F126" s="251"/>
      <c r="G126" s="251"/>
      <c r="H126" s="251"/>
      <c r="I126" s="32">
        <f>ROUND(((15/30)/12)*0.0078*($I$119),2)</f>
        <v>2.28</v>
      </c>
    </row>
    <row r="127" spans="1:9" ht="27" customHeight="1">
      <c r="A127" s="45" t="s">
        <v>16</v>
      </c>
      <c r="B127" s="187" t="s">
        <v>209</v>
      </c>
      <c r="C127" s="187"/>
      <c r="D127" s="187"/>
      <c r="E127" s="187"/>
      <c r="F127" s="187"/>
      <c r="G127" s="187"/>
      <c r="H127" s="187"/>
      <c r="I127" s="32">
        <f>ROUND(((((I53+I53/3)/12)+(I76+I95-I82-I87+I114))*4/12)*0.02,2)</f>
        <v>17.64</v>
      </c>
    </row>
    <row r="128" spans="1:9" ht="28.5" customHeight="1">
      <c r="A128" s="45" t="s">
        <v>18</v>
      </c>
      <c r="B128" s="251" t="s">
        <v>152</v>
      </c>
      <c r="C128" s="251"/>
      <c r="D128" s="251"/>
      <c r="E128" s="251"/>
      <c r="F128" s="251"/>
      <c r="G128" s="251"/>
      <c r="H128" s="251"/>
      <c r="I128" s="32">
        <f>ROUND(((3/30)/12)*($I$119),2)</f>
        <v>58.48</v>
      </c>
    </row>
    <row r="129" spans="1:9" ht="15.75" customHeight="1">
      <c r="A129" s="252" t="s">
        <v>27</v>
      </c>
      <c r="B129" s="252"/>
      <c r="C129" s="252"/>
      <c r="D129" s="252"/>
      <c r="E129" s="252"/>
      <c r="F129" s="252"/>
      <c r="G129" s="252"/>
      <c r="H129" s="252"/>
      <c r="I129" s="39">
        <f>SUM(I123:I128)</f>
        <v>684.2</v>
      </c>
    </row>
    <row r="130" spans="1:9" ht="9" customHeight="1">
      <c r="A130" s="278"/>
      <c r="B130" s="278"/>
      <c r="C130" s="278"/>
      <c r="D130" s="278"/>
      <c r="E130" s="278"/>
      <c r="F130" s="278"/>
      <c r="G130" s="278"/>
      <c r="H130" s="278"/>
      <c r="I130" s="278"/>
    </row>
    <row r="131" spans="1:9" ht="15.75" customHeight="1">
      <c r="A131" s="253" t="s">
        <v>285</v>
      </c>
      <c r="B131" s="253"/>
      <c r="C131" s="253"/>
      <c r="D131" s="253"/>
      <c r="E131" s="253"/>
      <c r="F131" s="253"/>
      <c r="G131" s="253"/>
      <c r="H131" s="253"/>
      <c r="I131" s="253"/>
    </row>
    <row r="132" spans="1:9" ht="15.75" customHeight="1">
      <c r="A132" s="59" t="s">
        <v>70</v>
      </c>
      <c r="B132" s="279" t="s">
        <v>286</v>
      </c>
      <c r="C132" s="279"/>
      <c r="D132" s="279"/>
      <c r="E132" s="279"/>
      <c r="F132" s="279"/>
      <c r="G132" s="279"/>
      <c r="H132" s="279"/>
      <c r="I132" s="60" t="s">
        <v>25</v>
      </c>
    </row>
    <row r="133" spans="1:9" ht="52.5" customHeight="1">
      <c r="A133" s="24" t="s">
        <v>292</v>
      </c>
      <c r="B133" s="258" t="s">
        <v>186</v>
      </c>
      <c r="C133" s="258"/>
      <c r="D133" s="258"/>
      <c r="E133" s="258"/>
      <c r="F133" s="258"/>
      <c r="G133" s="258"/>
      <c r="H133" s="258"/>
      <c r="I133" s="61">
        <f>ROUND(H33*0.5*1.1428571*30*1.2*1.2+H39*30,2)</f>
        <v>253.96</v>
      </c>
    </row>
    <row r="134" spans="1:9" ht="28.5" customHeight="1">
      <c r="A134" s="24" t="s">
        <v>294</v>
      </c>
      <c r="B134" s="258" t="s">
        <v>196</v>
      </c>
      <c r="C134" s="258"/>
      <c r="D134" s="258"/>
      <c r="E134" s="258"/>
      <c r="F134" s="258"/>
      <c r="G134" s="258"/>
      <c r="H134" s="258"/>
      <c r="I134" s="61">
        <f>ROUND(I133/12,2)+ROUND(I133/12,2)+ROUND(I133/3/12,2)</f>
        <v>49.37</v>
      </c>
    </row>
    <row r="135" spans="1:9" ht="21" customHeight="1">
      <c r="A135" s="122" t="s">
        <v>297</v>
      </c>
      <c r="B135" s="208" t="s">
        <v>195</v>
      </c>
      <c r="C135" s="208"/>
      <c r="D135" s="208"/>
      <c r="E135" s="208"/>
      <c r="F135" s="208"/>
      <c r="G135" s="208"/>
      <c r="H135" s="208"/>
      <c r="I135" s="61">
        <f>ROUND(H76*SUM(I133:I134),2)</f>
        <v>111.63</v>
      </c>
    </row>
    <row r="136" spans="1:9" ht="37.5" customHeight="1">
      <c r="A136" s="45" t="s">
        <v>300</v>
      </c>
      <c r="B136" s="187" t="s">
        <v>206</v>
      </c>
      <c r="C136" s="187"/>
      <c r="D136" s="187"/>
      <c r="E136" s="187"/>
      <c r="F136" s="187"/>
      <c r="G136" s="187"/>
      <c r="H136" s="187"/>
      <c r="I136" s="46">
        <f>IF(ROUND((H137*H145*H144)-(H85*30*0.5*1.2*H146),2)&lt;0,0,ROUND((H83*H84*H85)-((H32*30*0.5*1.2)*H86),2))</f>
        <v>274.89</v>
      </c>
    </row>
    <row r="137" spans="1:10" ht="37.5" customHeight="1">
      <c r="A137" s="45" t="s">
        <v>16</v>
      </c>
      <c r="B137" s="187" t="s">
        <v>252</v>
      </c>
      <c r="C137" s="187"/>
      <c r="D137" s="187"/>
      <c r="E137" s="187"/>
      <c r="F137" s="187"/>
      <c r="G137" s="187"/>
      <c r="H137" s="187"/>
      <c r="I137" s="46">
        <f>ROUND(I147/2,2)</f>
        <v>41</v>
      </c>
      <c r="J137" s="19"/>
    </row>
    <row r="138" spans="1:9" ht="18" customHeight="1">
      <c r="A138" s="338" t="s">
        <v>27</v>
      </c>
      <c r="B138" s="339"/>
      <c r="C138" s="339"/>
      <c r="D138" s="339"/>
      <c r="E138" s="339"/>
      <c r="F138" s="339"/>
      <c r="G138" s="339"/>
      <c r="H138" s="340"/>
      <c r="I138" s="26">
        <f>SUM(I133:I137)</f>
        <v>730.8499999999999</v>
      </c>
    </row>
    <row r="139" spans="1:9" ht="9.75" customHeight="1">
      <c r="A139" s="341"/>
      <c r="B139" s="342"/>
      <c r="C139" s="342"/>
      <c r="D139" s="342"/>
      <c r="E139" s="342"/>
      <c r="F139" s="342"/>
      <c r="G139" s="342"/>
      <c r="H139" s="342"/>
      <c r="I139" s="343"/>
    </row>
    <row r="140" spans="1:9" ht="23.25" customHeight="1">
      <c r="A140" s="29">
        <v>4</v>
      </c>
      <c r="B140" s="279" t="s">
        <v>72</v>
      </c>
      <c r="C140" s="279"/>
      <c r="D140" s="279"/>
      <c r="E140" s="279"/>
      <c r="F140" s="279"/>
      <c r="G140" s="279"/>
      <c r="H140" s="279"/>
      <c r="I140" s="60" t="s">
        <v>25</v>
      </c>
    </row>
    <row r="141" spans="1:9" ht="18.75" customHeight="1">
      <c r="A141" s="62" t="s">
        <v>69</v>
      </c>
      <c r="B141" s="240" t="s">
        <v>261</v>
      </c>
      <c r="C141" s="240"/>
      <c r="D141" s="240"/>
      <c r="E141" s="240"/>
      <c r="F141" s="240"/>
      <c r="G141" s="240"/>
      <c r="H141" s="240"/>
      <c r="I141" s="61">
        <f>I129</f>
        <v>684.2</v>
      </c>
    </row>
    <row r="142" spans="1:9" ht="21.75" customHeight="1">
      <c r="A142" s="62" t="s">
        <v>73</v>
      </c>
      <c r="B142" s="240" t="s">
        <v>286</v>
      </c>
      <c r="C142" s="240"/>
      <c r="D142" s="240"/>
      <c r="E142" s="240"/>
      <c r="F142" s="240"/>
      <c r="G142" s="240"/>
      <c r="H142" s="240"/>
      <c r="I142" s="61">
        <f>I138</f>
        <v>730.8499999999999</v>
      </c>
    </row>
    <row r="143" spans="1:9" ht="23.25" customHeight="1">
      <c r="A143" s="280" t="s">
        <v>27</v>
      </c>
      <c r="B143" s="280"/>
      <c r="C143" s="280"/>
      <c r="D143" s="280"/>
      <c r="E143" s="280"/>
      <c r="F143" s="280"/>
      <c r="G143" s="280"/>
      <c r="H143" s="280"/>
      <c r="I143" s="26">
        <f>SUM(I141+I142)</f>
        <v>1415.05</v>
      </c>
    </row>
    <row r="144" spans="1:9" ht="7.5" customHeight="1">
      <c r="A144" s="264"/>
      <c r="B144" s="264"/>
      <c r="C144" s="264"/>
      <c r="D144" s="264"/>
      <c r="E144" s="264"/>
      <c r="F144" s="264"/>
      <c r="G144" s="264"/>
      <c r="H144" s="264"/>
      <c r="I144" s="264"/>
    </row>
    <row r="145" spans="1:9" s="27" customFormat="1" ht="27.75" customHeight="1">
      <c r="A145" s="265" t="s">
        <v>74</v>
      </c>
      <c r="B145" s="265"/>
      <c r="C145" s="265"/>
      <c r="D145" s="265"/>
      <c r="E145" s="265"/>
      <c r="F145" s="265"/>
      <c r="G145" s="265"/>
      <c r="H145" s="265"/>
      <c r="I145" s="265"/>
    </row>
    <row r="146" spans="1:9" ht="27" customHeight="1">
      <c r="A146" s="44">
        <v>3</v>
      </c>
      <c r="B146" s="221" t="s">
        <v>75</v>
      </c>
      <c r="C146" s="221"/>
      <c r="D146" s="221"/>
      <c r="E146" s="221"/>
      <c r="F146" s="221"/>
      <c r="G146" s="221"/>
      <c r="H146" s="221"/>
      <c r="I146" s="44" t="s">
        <v>25</v>
      </c>
    </row>
    <row r="147" spans="1:9" ht="27" customHeight="1">
      <c r="A147" s="45" t="s">
        <v>292</v>
      </c>
      <c r="B147" s="187" t="s">
        <v>35</v>
      </c>
      <c r="C147" s="187"/>
      <c r="D147" s="187"/>
      <c r="E147" s="187"/>
      <c r="F147" s="187"/>
      <c r="G147" s="187"/>
      <c r="H147" s="187"/>
      <c r="I147" s="46">
        <v>82</v>
      </c>
    </row>
    <row r="148" spans="1:9" ht="15.75" customHeight="1">
      <c r="A148" s="45" t="s">
        <v>297</v>
      </c>
      <c r="B148" s="187" t="s">
        <v>253</v>
      </c>
      <c r="C148" s="187"/>
      <c r="D148" s="187"/>
      <c r="E148" s="187"/>
      <c r="F148" s="187"/>
      <c r="G148" s="187"/>
      <c r="H148" s="187"/>
      <c r="I148" s="53">
        <v>151</v>
      </c>
    </row>
    <row r="149" spans="1:9" ht="17.25" customHeight="1">
      <c r="A149" s="45" t="s">
        <v>297</v>
      </c>
      <c r="B149" s="187" t="s">
        <v>58</v>
      </c>
      <c r="C149" s="187"/>
      <c r="D149" s="187"/>
      <c r="E149" s="187"/>
      <c r="F149" s="187"/>
      <c r="G149" s="187"/>
      <c r="H149" s="187"/>
      <c r="I149" s="53" t="s">
        <v>77</v>
      </c>
    </row>
    <row r="150" spans="1:9" ht="15.75" customHeight="1">
      <c r="A150" s="252" t="s">
        <v>78</v>
      </c>
      <c r="B150" s="252"/>
      <c r="C150" s="252"/>
      <c r="D150" s="252"/>
      <c r="E150" s="252"/>
      <c r="F150" s="252"/>
      <c r="G150" s="252"/>
      <c r="H150" s="252"/>
      <c r="I150" s="63">
        <f>ROUND(SUM(I147:I149),2)</f>
        <v>233</v>
      </c>
    </row>
    <row r="151" spans="1:9" ht="7.5" customHeight="1">
      <c r="A151" s="281"/>
      <c r="B151" s="281"/>
      <c r="C151" s="281"/>
      <c r="D151" s="281"/>
      <c r="E151" s="281"/>
      <c r="F151" s="281"/>
      <c r="G151" s="281"/>
      <c r="H151" s="281"/>
      <c r="I151" s="281"/>
    </row>
    <row r="152" spans="1:9" ht="15.75" customHeight="1">
      <c r="A152" s="282" t="s">
        <v>79</v>
      </c>
      <c r="B152" s="282"/>
      <c r="C152" s="282"/>
      <c r="D152" s="282"/>
      <c r="E152" s="282"/>
      <c r="F152" s="282"/>
      <c r="G152" s="282"/>
      <c r="H152" s="282"/>
      <c r="I152" s="282"/>
    </row>
    <row r="153" spans="1:9" ht="6.75" customHeight="1">
      <c r="A153" s="64"/>
      <c r="B153" s="65"/>
      <c r="C153" s="65"/>
      <c r="D153" s="65"/>
      <c r="E153" s="65"/>
      <c r="F153" s="65"/>
      <c r="G153" s="65"/>
      <c r="H153" s="65"/>
      <c r="I153" s="66"/>
    </row>
    <row r="154" spans="1:9" ht="16.5" customHeight="1">
      <c r="A154" s="261" t="s">
        <v>80</v>
      </c>
      <c r="B154" s="261"/>
      <c r="C154" s="261"/>
      <c r="D154" s="261"/>
      <c r="E154" s="261"/>
      <c r="F154" s="261"/>
      <c r="G154" s="261"/>
      <c r="H154" s="261"/>
      <c r="I154" s="261"/>
    </row>
    <row r="155" spans="1:9" ht="30" customHeight="1">
      <c r="A155" s="44">
        <v>6</v>
      </c>
      <c r="B155" s="262" t="s">
        <v>81</v>
      </c>
      <c r="C155" s="262"/>
      <c r="D155" s="262"/>
      <c r="E155" s="262"/>
      <c r="F155" s="262"/>
      <c r="G155" s="262"/>
      <c r="H155" s="5" t="s">
        <v>12</v>
      </c>
      <c r="I155" s="67" t="s">
        <v>30</v>
      </c>
    </row>
    <row r="156" spans="1:9" ht="50.25" customHeight="1">
      <c r="A156" s="283" t="s">
        <v>82</v>
      </c>
      <c r="B156" s="283"/>
      <c r="C156" s="283"/>
      <c r="D156" s="283"/>
      <c r="E156" s="283"/>
      <c r="F156" s="283"/>
      <c r="G156" s="283"/>
      <c r="H156" s="68" t="s">
        <v>308</v>
      </c>
      <c r="I156" s="69">
        <f>SUM(I53+I104+I114+I143+I150)</f>
        <v>9236.05</v>
      </c>
    </row>
    <row r="157" spans="1:9" ht="15.75" customHeight="1">
      <c r="A157" s="45" t="s">
        <v>292</v>
      </c>
      <c r="B157" s="284" t="s">
        <v>83</v>
      </c>
      <c r="C157" s="284"/>
      <c r="D157" s="284"/>
      <c r="E157" s="284"/>
      <c r="F157" s="284"/>
      <c r="G157" s="284"/>
      <c r="H157" s="33">
        <v>0.06</v>
      </c>
      <c r="I157" s="32">
        <f>ROUND(H157*I156,2)</f>
        <v>554.16</v>
      </c>
    </row>
    <row r="158" spans="1:9" ht="50.25" customHeight="1">
      <c r="A158" s="283" t="s">
        <v>84</v>
      </c>
      <c r="B158" s="283"/>
      <c r="C158" s="283"/>
      <c r="D158" s="283"/>
      <c r="E158" s="283"/>
      <c r="F158" s="283"/>
      <c r="G158" s="283"/>
      <c r="H158" s="70" t="s">
        <v>308</v>
      </c>
      <c r="I158" s="69">
        <f>SUM(I53+I104+I114+I143+I150+I157)</f>
        <v>9790.21</v>
      </c>
    </row>
    <row r="159" spans="1:9" ht="15.75" customHeight="1">
      <c r="A159" s="45" t="s">
        <v>294</v>
      </c>
      <c r="B159" s="284" t="s">
        <v>85</v>
      </c>
      <c r="C159" s="284"/>
      <c r="D159" s="284"/>
      <c r="E159" s="284"/>
      <c r="F159" s="284"/>
      <c r="G159" s="284"/>
      <c r="H159" s="33">
        <v>0.0679</v>
      </c>
      <c r="I159" s="32">
        <f>ROUND(H159*I158,2)</f>
        <v>664.76</v>
      </c>
    </row>
    <row r="160" spans="1:9" ht="48.75" customHeight="1">
      <c r="A160" s="283" t="s">
        <v>86</v>
      </c>
      <c r="B160" s="283"/>
      <c r="C160" s="283"/>
      <c r="D160" s="283"/>
      <c r="E160" s="283"/>
      <c r="F160" s="283"/>
      <c r="G160" s="283"/>
      <c r="H160" s="70" t="s">
        <v>308</v>
      </c>
      <c r="I160" s="69">
        <f>SUM(I53+I104+I114+I143+I150+I157+I159)</f>
        <v>10454.97</v>
      </c>
    </row>
    <row r="161" spans="1:9" ht="16.5" customHeight="1">
      <c r="A161" s="71" t="s">
        <v>297</v>
      </c>
      <c r="B161" s="285" t="s">
        <v>87</v>
      </c>
      <c r="C161" s="285"/>
      <c r="D161" s="285"/>
      <c r="E161" s="285"/>
      <c r="F161" s="285"/>
      <c r="G161" s="285"/>
      <c r="H161" s="72" t="s">
        <v>308</v>
      </c>
      <c r="I161" s="18" t="s">
        <v>308</v>
      </c>
    </row>
    <row r="162" spans="1:9" ht="14.25" customHeight="1">
      <c r="A162" s="45"/>
      <c r="B162" s="286" t="s">
        <v>88</v>
      </c>
      <c r="C162" s="286"/>
      <c r="D162" s="286"/>
      <c r="E162" s="286"/>
      <c r="F162" s="286"/>
      <c r="G162" s="286"/>
      <c r="H162" s="72" t="s">
        <v>308</v>
      </c>
      <c r="I162" s="18" t="s">
        <v>308</v>
      </c>
    </row>
    <row r="163" spans="1:9" ht="22.5" customHeight="1">
      <c r="A163" s="45"/>
      <c r="B163" s="287" t="s">
        <v>89</v>
      </c>
      <c r="C163" s="287"/>
      <c r="D163" s="287"/>
      <c r="E163" s="287"/>
      <c r="F163" s="287"/>
      <c r="G163" s="287"/>
      <c r="H163" s="73">
        <v>0.03</v>
      </c>
      <c r="I163" s="74">
        <f>ROUND(($I$160/(1-$H$172))*H163,2)</f>
        <v>334.2</v>
      </c>
    </row>
    <row r="164" spans="1:9" ht="22.5" customHeight="1">
      <c r="A164" s="45"/>
      <c r="B164" s="287" t="s">
        <v>90</v>
      </c>
      <c r="C164" s="287"/>
      <c r="D164" s="287"/>
      <c r="E164" s="287"/>
      <c r="F164" s="287"/>
      <c r="G164" s="287"/>
      <c r="H164" s="73">
        <v>0.0065</v>
      </c>
      <c r="I164" s="74">
        <f>ROUND(($I$160/(1-$H$172))*H164,2)</f>
        <v>72.41</v>
      </c>
    </row>
    <row r="165" spans="1:9" ht="29.25" customHeight="1">
      <c r="A165" s="45"/>
      <c r="B165" s="263" t="s">
        <v>138</v>
      </c>
      <c r="C165" s="263"/>
      <c r="D165" s="263"/>
      <c r="E165" s="263"/>
      <c r="F165" s="263"/>
      <c r="G165" s="263"/>
      <c r="H165" s="75" t="s">
        <v>308</v>
      </c>
      <c r="I165" s="18" t="s">
        <v>308</v>
      </c>
    </row>
    <row r="166" spans="1:9" ht="29.25" customHeight="1">
      <c r="A166" s="45"/>
      <c r="B166" s="263" t="s">
        <v>139</v>
      </c>
      <c r="C166" s="263"/>
      <c r="D166" s="263"/>
      <c r="E166" s="263"/>
      <c r="F166" s="263"/>
      <c r="G166" s="263"/>
      <c r="H166" s="75" t="s">
        <v>308</v>
      </c>
      <c r="I166" s="18" t="s">
        <v>308</v>
      </c>
    </row>
    <row r="167" spans="1:9" ht="18" customHeight="1">
      <c r="A167" s="45"/>
      <c r="B167" s="288" t="s">
        <v>93</v>
      </c>
      <c r="C167" s="288"/>
      <c r="D167" s="288"/>
      <c r="E167" s="288"/>
      <c r="F167" s="288"/>
      <c r="G167" s="288"/>
      <c r="H167" s="76" t="s">
        <v>308</v>
      </c>
      <c r="I167" s="77" t="s">
        <v>308</v>
      </c>
    </row>
    <row r="168" spans="1:9" ht="18" customHeight="1">
      <c r="A168" s="45"/>
      <c r="B168" s="288" t="s">
        <v>94</v>
      </c>
      <c r="C168" s="288"/>
      <c r="D168" s="288"/>
      <c r="E168" s="288"/>
      <c r="F168" s="288"/>
      <c r="G168" s="288"/>
      <c r="H168" s="76" t="s">
        <v>308</v>
      </c>
      <c r="I168" s="77" t="s">
        <v>308</v>
      </c>
    </row>
    <row r="169" spans="1:9" ht="15" customHeight="1">
      <c r="A169" s="45"/>
      <c r="B169" s="251" t="s">
        <v>135</v>
      </c>
      <c r="C169" s="251"/>
      <c r="D169" s="251"/>
      <c r="E169" s="251"/>
      <c r="F169" s="251"/>
      <c r="G169" s="251"/>
      <c r="H169" s="73">
        <v>0.025</v>
      </c>
      <c r="I169" s="74">
        <f>ROUND(($I$160/(1-$H$172))*H169,2)</f>
        <v>278.5</v>
      </c>
    </row>
    <row r="170" spans="1:9" ht="15.75" customHeight="1">
      <c r="A170" s="252" t="s">
        <v>67</v>
      </c>
      <c r="B170" s="252"/>
      <c r="C170" s="252"/>
      <c r="D170" s="252"/>
      <c r="E170" s="252"/>
      <c r="F170" s="252"/>
      <c r="G170" s="252"/>
      <c r="H170" s="252"/>
      <c r="I170" s="39">
        <f>SUM(I157+I159+I163+I164+I169)</f>
        <v>1904.0300000000002</v>
      </c>
    </row>
    <row r="171" spans="1:9" ht="6.75" customHeight="1">
      <c r="A171" s="264"/>
      <c r="B171" s="264"/>
      <c r="C171" s="264"/>
      <c r="D171" s="264"/>
      <c r="E171" s="264"/>
      <c r="F171" s="264"/>
      <c r="G171" s="264"/>
      <c r="H171" s="264"/>
      <c r="I171" s="264"/>
    </row>
    <row r="172" spans="1:9" ht="15.75" customHeight="1">
      <c r="A172" s="289" t="s">
        <v>96</v>
      </c>
      <c r="B172" s="289"/>
      <c r="C172" s="289"/>
      <c r="D172" s="289"/>
      <c r="E172" s="289"/>
      <c r="F172" s="289"/>
      <c r="G172" s="289"/>
      <c r="H172" s="78">
        <f>SUM(H163:H169)</f>
        <v>0.0615</v>
      </c>
      <c r="I172" s="79">
        <f>SUM(I163:I169)</f>
        <v>685.11</v>
      </c>
    </row>
    <row r="173" spans="1:9" ht="12.75" customHeight="1">
      <c r="A173" s="290" t="s">
        <v>97</v>
      </c>
      <c r="B173" s="290"/>
      <c r="C173" s="291" t="s">
        <v>98</v>
      </c>
      <c r="D173" s="291"/>
      <c r="E173" s="291"/>
      <c r="F173" s="291"/>
      <c r="G173" s="291"/>
      <c r="H173" s="291"/>
      <c r="I173" s="291"/>
    </row>
    <row r="174" spans="1:9" ht="12" customHeight="1">
      <c r="A174" s="290"/>
      <c r="B174" s="290"/>
      <c r="C174" s="292" t="s">
        <v>99</v>
      </c>
      <c r="D174" s="292"/>
      <c r="E174" s="292"/>
      <c r="F174" s="292"/>
      <c r="G174" s="292"/>
      <c r="H174" s="292"/>
      <c r="I174" s="292"/>
    </row>
    <row r="175" spans="1:9" ht="13.5" customHeight="1">
      <c r="A175" s="290"/>
      <c r="B175" s="290"/>
      <c r="C175" s="293" t="s">
        <v>100</v>
      </c>
      <c r="D175" s="293"/>
      <c r="E175" s="293"/>
      <c r="F175" s="293"/>
      <c r="G175" s="293"/>
      <c r="H175" s="293"/>
      <c r="I175" s="293"/>
    </row>
    <row r="176" spans="1:9" ht="6.75" customHeight="1">
      <c r="A176" s="294"/>
      <c r="B176" s="294"/>
      <c r="C176" s="294"/>
      <c r="D176" s="294"/>
      <c r="E176" s="294"/>
      <c r="F176" s="294"/>
      <c r="G176" s="294"/>
      <c r="H176" s="294"/>
      <c r="I176" s="294"/>
    </row>
    <row r="177" spans="1:9" ht="24" customHeight="1">
      <c r="A177" s="295" t="s">
        <v>101</v>
      </c>
      <c r="B177" s="295"/>
      <c r="C177" s="295"/>
      <c r="D177" s="295"/>
      <c r="E177" s="295"/>
      <c r="F177" s="295"/>
      <c r="G177" s="295"/>
      <c r="H177" s="295"/>
      <c r="I177" s="295"/>
    </row>
    <row r="178" spans="1:9" ht="5.25" customHeight="1">
      <c r="A178" s="264"/>
      <c r="B178" s="264"/>
      <c r="C178" s="264"/>
      <c r="D178" s="264"/>
      <c r="E178" s="264"/>
      <c r="F178" s="264"/>
      <c r="G178" s="264"/>
      <c r="H178" s="264"/>
      <c r="I178" s="264"/>
    </row>
    <row r="179" spans="1:9" ht="27.75" customHeight="1">
      <c r="A179" s="332" t="s">
        <v>136</v>
      </c>
      <c r="B179" s="332"/>
      <c r="C179" s="332"/>
      <c r="D179" s="332"/>
      <c r="E179" s="332"/>
      <c r="F179" s="332"/>
      <c r="G179" s="332"/>
      <c r="H179" s="332"/>
      <c r="I179" s="332"/>
    </row>
    <row r="180" spans="1:9" ht="15" customHeight="1">
      <c r="A180" s="189" t="s">
        <v>103</v>
      </c>
      <c r="B180" s="189"/>
      <c r="C180" s="189"/>
      <c r="D180" s="189"/>
      <c r="E180" s="189"/>
      <c r="F180" s="189"/>
      <c r="G180" s="189"/>
      <c r="H180" s="189"/>
      <c r="I180" s="5" t="s">
        <v>25</v>
      </c>
    </row>
    <row r="181" spans="1:11" ht="15" customHeight="1">
      <c r="A181" s="81" t="s">
        <v>292</v>
      </c>
      <c r="B181" s="297" t="s">
        <v>104</v>
      </c>
      <c r="C181" s="297"/>
      <c r="D181" s="297"/>
      <c r="E181" s="297"/>
      <c r="F181" s="297"/>
      <c r="G181" s="297"/>
      <c r="H181" s="297"/>
      <c r="I181" s="53">
        <f>I53</f>
        <v>4372.9299999999985</v>
      </c>
      <c r="K181" s="80"/>
    </row>
    <row r="182" spans="1:9" ht="15" customHeight="1">
      <c r="A182" s="81" t="s">
        <v>294</v>
      </c>
      <c r="B182" s="297" t="s">
        <v>105</v>
      </c>
      <c r="C182" s="297"/>
      <c r="D182" s="297"/>
      <c r="E182" s="297"/>
      <c r="F182" s="297"/>
      <c r="G182" s="297"/>
      <c r="H182" s="297"/>
      <c r="I182" s="53">
        <f>I104</f>
        <v>2871.1800000000003</v>
      </c>
    </row>
    <row r="183" spans="1:9" ht="15" customHeight="1">
      <c r="A183" s="81" t="s">
        <v>297</v>
      </c>
      <c r="B183" s="297" t="s">
        <v>106</v>
      </c>
      <c r="C183" s="297"/>
      <c r="D183" s="297"/>
      <c r="E183" s="297"/>
      <c r="F183" s="297"/>
      <c r="G183" s="297"/>
      <c r="H183" s="297"/>
      <c r="I183" s="53">
        <f>I114</f>
        <v>343.89</v>
      </c>
    </row>
    <row r="184" spans="1:9" ht="15" customHeight="1">
      <c r="A184" s="81" t="s">
        <v>300</v>
      </c>
      <c r="B184" s="297" t="s">
        <v>107</v>
      </c>
      <c r="C184" s="297"/>
      <c r="D184" s="297"/>
      <c r="E184" s="297"/>
      <c r="F184" s="297"/>
      <c r="G184" s="297"/>
      <c r="H184" s="297"/>
      <c r="I184" s="53">
        <f>I143</f>
        <v>1415.05</v>
      </c>
    </row>
    <row r="185" spans="1:9" ht="15" customHeight="1">
      <c r="A185" s="81" t="s">
        <v>16</v>
      </c>
      <c r="B185" s="297" t="s">
        <v>108</v>
      </c>
      <c r="C185" s="297"/>
      <c r="D185" s="297"/>
      <c r="E185" s="297"/>
      <c r="F185" s="297"/>
      <c r="G185" s="297"/>
      <c r="H185" s="297"/>
      <c r="I185" s="53">
        <f>I150</f>
        <v>233</v>
      </c>
    </row>
    <row r="186" spans="1:9" ht="15" customHeight="1">
      <c r="A186" s="298" t="s">
        <v>109</v>
      </c>
      <c r="B186" s="298"/>
      <c r="C186" s="298"/>
      <c r="D186" s="298"/>
      <c r="E186" s="298"/>
      <c r="F186" s="298"/>
      <c r="G186" s="298"/>
      <c r="H186" s="298"/>
      <c r="I186" s="53">
        <f>SUM(I181:I185)</f>
        <v>9236.05</v>
      </c>
    </row>
    <row r="187" spans="1:9" ht="15" customHeight="1">
      <c r="A187" s="82" t="s">
        <v>18</v>
      </c>
      <c r="B187" s="297" t="s">
        <v>80</v>
      </c>
      <c r="C187" s="297"/>
      <c r="D187" s="297"/>
      <c r="E187" s="297"/>
      <c r="F187" s="297"/>
      <c r="G187" s="297"/>
      <c r="H187" s="297"/>
      <c r="I187" s="63">
        <f>I170</f>
        <v>1904.0300000000002</v>
      </c>
    </row>
    <row r="188" spans="1:9" ht="15" customHeight="1">
      <c r="A188" s="298" t="s">
        <v>110</v>
      </c>
      <c r="B188" s="298"/>
      <c r="C188" s="298"/>
      <c r="D188" s="298"/>
      <c r="E188" s="298"/>
      <c r="F188" s="298"/>
      <c r="G188" s="298"/>
      <c r="H188" s="298"/>
      <c r="I188" s="53">
        <f>I186+I187</f>
        <v>11140.08</v>
      </c>
    </row>
    <row r="189" spans="1:9" ht="36.75" customHeight="1">
      <c r="A189" s="331" t="s">
        <v>111</v>
      </c>
      <c r="B189" s="331"/>
      <c r="C189" s="331"/>
      <c r="D189" s="331"/>
      <c r="E189" s="331"/>
      <c r="F189" s="331"/>
      <c r="G189" s="331"/>
      <c r="H189" s="331"/>
      <c r="I189" s="331"/>
    </row>
    <row r="190" spans="1:9" ht="7.5" customHeight="1">
      <c r="A190" s="300"/>
      <c r="B190" s="300"/>
      <c r="C190" s="300"/>
      <c r="D190" s="300"/>
      <c r="E190" s="300"/>
      <c r="F190" s="300"/>
      <c r="G190" s="300"/>
      <c r="H190" s="300"/>
      <c r="I190" s="300"/>
    </row>
    <row r="191" spans="1:13" ht="15" customHeight="1" hidden="1">
      <c r="A191" s="90"/>
      <c r="B191" s="90"/>
      <c r="C191" s="90"/>
      <c r="D191" s="90"/>
      <c r="E191" s="90"/>
      <c r="F191" s="90"/>
      <c r="G191" s="90"/>
      <c r="H191" s="91"/>
      <c r="I191" s="92"/>
      <c r="J191" s="83"/>
      <c r="K191" s="84"/>
      <c r="L191" s="85"/>
      <c r="M191" s="86"/>
    </row>
    <row r="192" spans="1:9" ht="31.5" customHeight="1">
      <c r="A192" s="301" t="s">
        <v>112</v>
      </c>
      <c r="B192" s="301"/>
      <c r="C192" s="301"/>
      <c r="D192" s="301"/>
      <c r="E192" s="301"/>
      <c r="F192" s="301"/>
      <c r="G192" s="301"/>
      <c r="H192" s="301"/>
      <c r="I192" s="301"/>
    </row>
    <row r="193" spans="1:256" ht="45" customHeight="1">
      <c r="A193" s="193" t="s">
        <v>113</v>
      </c>
      <c r="B193" s="193"/>
      <c r="C193" s="193"/>
      <c r="D193" s="193"/>
      <c r="E193" s="193" t="s">
        <v>114</v>
      </c>
      <c r="F193" s="193"/>
      <c r="G193" s="5" t="s">
        <v>115</v>
      </c>
      <c r="H193" s="193" t="s">
        <v>116</v>
      </c>
      <c r="I193" s="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3" customHeight="1">
      <c r="A194" s="222" t="s">
        <v>117</v>
      </c>
      <c r="B194" s="222"/>
      <c r="C194" s="222"/>
      <c r="D194" s="222"/>
      <c r="E194" s="302">
        <v>0</v>
      </c>
      <c r="F194" s="302"/>
      <c r="G194" s="87">
        <f>D194*E194</f>
        <v>0</v>
      </c>
      <c r="H194" s="302">
        <f aca="true" t="shared" si="0" ref="H194:H199">E194*G194</f>
        <v>0</v>
      </c>
      <c r="I194" s="302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42.75" customHeight="1">
      <c r="A195" s="222" t="s">
        <v>118</v>
      </c>
      <c r="B195" s="222"/>
      <c r="C195" s="222"/>
      <c r="D195" s="222"/>
      <c r="E195" s="302">
        <v>0</v>
      </c>
      <c r="F195" s="302"/>
      <c r="G195" s="87">
        <f>D195*E195</f>
        <v>0</v>
      </c>
      <c r="H195" s="302">
        <f t="shared" si="0"/>
        <v>0</v>
      </c>
      <c r="I195" s="302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41.25" customHeight="1">
      <c r="A196" s="303" t="s">
        <v>119</v>
      </c>
      <c r="B196" s="303"/>
      <c r="C196" s="303"/>
      <c r="D196" s="303"/>
      <c r="E196" s="304">
        <f>I188</f>
        <v>11140.08</v>
      </c>
      <c r="F196" s="304"/>
      <c r="G196" s="88">
        <f>H17</f>
        <v>3</v>
      </c>
      <c r="H196" s="305">
        <f t="shared" si="0"/>
        <v>33420.24</v>
      </c>
      <c r="I196" s="305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41.25" customHeight="1">
      <c r="A197" s="222" t="s">
        <v>120</v>
      </c>
      <c r="B197" s="222"/>
      <c r="C197" s="222"/>
      <c r="D197" s="222"/>
      <c r="E197" s="306">
        <v>0</v>
      </c>
      <c r="F197" s="306"/>
      <c r="G197" s="87">
        <f>D197*F197</f>
        <v>0</v>
      </c>
      <c r="H197" s="302">
        <f t="shared" si="0"/>
        <v>0</v>
      </c>
      <c r="I197" s="30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39.75" customHeight="1">
      <c r="A198" s="222" t="s">
        <v>121</v>
      </c>
      <c r="B198" s="222"/>
      <c r="C198" s="222"/>
      <c r="D198" s="222"/>
      <c r="E198" s="306">
        <v>0</v>
      </c>
      <c r="F198" s="306"/>
      <c r="G198" s="87">
        <f>D198*F198</f>
        <v>0</v>
      </c>
      <c r="H198" s="302">
        <f t="shared" si="0"/>
        <v>0</v>
      </c>
      <c r="I198" s="302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35.25" customHeight="1">
      <c r="A199" s="307" t="s">
        <v>122</v>
      </c>
      <c r="B199" s="307"/>
      <c r="C199" s="307"/>
      <c r="D199" s="307"/>
      <c r="E199" s="302">
        <v>0</v>
      </c>
      <c r="F199" s="302"/>
      <c r="G199" s="87">
        <f>D199*F199</f>
        <v>0</v>
      </c>
      <c r="H199" s="302">
        <f t="shared" si="0"/>
        <v>0</v>
      </c>
      <c r="I199" s="30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20.25" customHeight="1">
      <c r="A200" s="308" t="s">
        <v>123</v>
      </c>
      <c r="B200" s="308"/>
      <c r="C200" s="308"/>
      <c r="D200" s="308"/>
      <c r="E200" s="308"/>
      <c r="F200" s="308"/>
      <c r="G200" s="89">
        <f>SUM(G194:G199)</f>
        <v>3</v>
      </c>
      <c r="H200" s="309">
        <f>SUM(H194:I199)</f>
        <v>33420.24</v>
      </c>
      <c r="I200" s="309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6.75" customHeight="1">
      <c r="A201" s="310"/>
      <c r="B201" s="310"/>
      <c r="C201" s="310"/>
      <c r="D201" s="310"/>
      <c r="E201" s="310"/>
      <c r="F201" s="310"/>
      <c r="G201" s="310"/>
      <c r="H201" s="310"/>
      <c r="I201" s="310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7.25" customHeight="1">
      <c r="A202" s="311" t="s">
        <v>124</v>
      </c>
      <c r="B202" s="311"/>
      <c r="C202" s="311"/>
      <c r="D202" s="311"/>
      <c r="E202" s="311"/>
      <c r="F202" s="311"/>
      <c r="G202" s="311"/>
      <c r="H202" s="311"/>
      <c r="I202" s="311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9" ht="6.75" customHeight="1">
      <c r="A203" s="312"/>
      <c r="B203" s="312"/>
      <c r="C203" s="312"/>
      <c r="D203" s="312"/>
      <c r="E203" s="312"/>
      <c r="F203" s="312"/>
      <c r="G203" s="312"/>
      <c r="H203" s="312"/>
      <c r="I203" s="312"/>
    </row>
    <row r="204" spans="1:9" ht="18.75" customHeight="1">
      <c r="A204" s="313" t="s">
        <v>125</v>
      </c>
      <c r="B204" s="313"/>
      <c r="C204" s="313"/>
      <c r="D204" s="313"/>
      <c r="E204" s="313"/>
      <c r="F204" s="313"/>
      <c r="G204" s="314">
        <f>$H$200</f>
        <v>33420.24</v>
      </c>
      <c r="H204" s="314"/>
      <c r="I204" s="314"/>
    </row>
    <row r="205" spans="1:9" ht="8.25" customHeight="1">
      <c r="A205" s="315"/>
      <c r="B205" s="315"/>
      <c r="C205" s="315"/>
      <c r="D205" s="315"/>
      <c r="E205" s="315"/>
      <c r="F205" s="315"/>
      <c r="G205" s="315"/>
      <c r="H205" s="315"/>
      <c r="I205" s="315"/>
    </row>
    <row r="206" spans="1:9" ht="19.5" customHeight="1">
      <c r="A206" s="316" t="s">
        <v>126</v>
      </c>
      <c r="B206" s="316"/>
      <c r="C206" s="316"/>
      <c r="D206" s="316"/>
      <c r="E206" s="316"/>
      <c r="F206" s="316"/>
      <c r="G206" s="317">
        <f>$H$11</f>
        <v>12</v>
      </c>
      <c r="H206" s="317"/>
      <c r="I206" s="317"/>
    </row>
    <row r="207" spans="1:9" ht="8.25" customHeight="1">
      <c r="A207" s="318"/>
      <c r="B207" s="318"/>
      <c r="C207" s="318"/>
      <c r="D207" s="318"/>
      <c r="E207" s="318"/>
      <c r="F207" s="318"/>
      <c r="G207" s="318"/>
      <c r="H207" s="318"/>
      <c r="I207" s="318"/>
    </row>
    <row r="208" spans="1:9" ht="31.5" customHeight="1">
      <c r="A208" s="319" t="s">
        <v>127</v>
      </c>
      <c r="B208" s="319"/>
      <c r="C208" s="319"/>
      <c r="D208" s="319"/>
      <c r="E208" s="319"/>
      <c r="F208" s="319"/>
      <c r="G208" s="320">
        <f>ROUND(G204*G206,2)</f>
        <v>401042.88</v>
      </c>
      <c r="H208" s="320"/>
      <c r="I208" s="320"/>
    </row>
    <row r="209" spans="1:9" ht="8.25" customHeight="1">
      <c r="A209" s="321"/>
      <c r="B209" s="321"/>
      <c r="C209" s="321"/>
      <c r="D209" s="321"/>
      <c r="E209" s="321"/>
      <c r="F209" s="321"/>
      <c r="G209" s="321"/>
      <c r="H209" s="321"/>
      <c r="I209" s="321"/>
    </row>
    <row r="210" spans="1:9" ht="29.25" customHeight="1">
      <c r="A210" s="322" t="s">
        <v>254</v>
      </c>
      <c r="B210" s="322"/>
      <c r="C210" s="322"/>
      <c r="D210" s="322"/>
      <c r="E210" s="322"/>
      <c r="F210" s="322"/>
      <c r="G210" s="322"/>
      <c r="H210" s="322"/>
      <c r="I210" s="322"/>
    </row>
    <row r="211" spans="1:9" ht="12" customHeight="1">
      <c r="A211" s="323" t="s">
        <v>129</v>
      </c>
      <c r="B211" s="323"/>
      <c r="C211" s="323"/>
      <c r="D211" s="195" t="s">
        <v>130</v>
      </c>
      <c r="E211" s="195"/>
      <c r="F211" s="195"/>
      <c r="G211" s="195"/>
      <c r="H211" s="195"/>
      <c r="I211" s="195"/>
    </row>
    <row r="212" spans="1:9" ht="12">
      <c r="A212" s="323"/>
      <c r="B212" s="323"/>
      <c r="C212" s="323"/>
      <c r="D212" s="195"/>
      <c r="E212" s="195"/>
      <c r="F212" s="195"/>
      <c r="G212" s="195"/>
      <c r="H212" s="195"/>
      <c r="I212" s="195"/>
    </row>
    <row r="213" spans="1:9" ht="14.25" customHeight="1">
      <c r="A213" s="324" t="s">
        <v>131</v>
      </c>
      <c r="B213" s="324"/>
      <c r="C213" s="324"/>
      <c r="D213" s="325"/>
      <c r="E213" s="325"/>
      <c r="F213" s="325"/>
      <c r="G213" s="325"/>
      <c r="H213" s="325"/>
      <c r="I213" s="325"/>
    </row>
    <row r="214" spans="1:9" ht="12.75" customHeight="1">
      <c r="A214" s="324"/>
      <c r="B214" s="324"/>
      <c r="C214" s="324"/>
      <c r="D214" s="325"/>
      <c r="E214" s="325"/>
      <c r="F214" s="325"/>
      <c r="G214" s="325"/>
      <c r="H214" s="325"/>
      <c r="I214" s="325"/>
    </row>
    <row r="215" spans="1:9" ht="12.75" customHeight="1">
      <c r="A215" s="326"/>
      <c r="B215" s="326"/>
      <c r="C215" s="326"/>
      <c r="D215" s="325"/>
      <c r="E215" s="325"/>
      <c r="F215" s="325"/>
      <c r="G215" s="325"/>
      <c r="H215" s="325"/>
      <c r="I215" s="325"/>
    </row>
    <row r="216" spans="1:9" ht="15" customHeight="1">
      <c r="A216" s="327"/>
      <c r="B216" s="327"/>
      <c r="C216" s="327"/>
      <c r="D216" s="327"/>
      <c r="E216" s="327"/>
      <c r="F216" s="327"/>
      <c r="G216" s="327"/>
      <c r="H216" s="327"/>
      <c r="I216" s="327"/>
    </row>
    <row r="217" spans="1:9" ht="12" hidden="1">
      <c r="A217" s="327"/>
      <c r="B217" s="327"/>
      <c r="C217" s="327"/>
      <c r="D217" s="327"/>
      <c r="E217" s="327"/>
      <c r="F217" s="327"/>
      <c r="G217" s="327"/>
      <c r="H217" s="327"/>
      <c r="I217" s="327"/>
    </row>
    <row r="218" spans="1:9" ht="27" customHeight="1">
      <c r="A218" s="328" t="s">
        <v>132</v>
      </c>
      <c r="B218" s="328"/>
      <c r="C218" s="328"/>
      <c r="D218" s="328"/>
      <c r="E218" s="328"/>
      <c r="F218" s="328"/>
      <c r="G218" s="328"/>
      <c r="H218" s="328"/>
      <c r="I218" s="328"/>
    </row>
    <row r="219" spans="1:9" ht="12.75" customHeight="1">
      <c r="A219" s="195" t="s">
        <v>133</v>
      </c>
      <c r="B219" s="195"/>
      <c r="C219" s="195"/>
      <c r="D219" s="195"/>
      <c r="E219" s="195"/>
      <c r="F219" s="195"/>
      <c r="G219" s="195"/>
      <c r="H219" s="195" t="s">
        <v>134</v>
      </c>
      <c r="I219" s="195"/>
    </row>
    <row r="220" spans="1:9" ht="15" customHeight="1">
      <c r="A220" s="329"/>
      <c r="B220" s="329"/>
      <c r="C220" s="329"/>
      <c r="D220" s="329"/>
      <c r="E220" s="329"/>
      <c r="F220" s="329"/>
      <c r="G220" s="329"/>
      <c r="H220" s="195"/>
      <c r="I220" s="195"/>
    </row>
    <row r="221" spans="1:9" ht="12.75" customHeight="1">
      <c r="A221" s="324"/>
      <c r="B221" s="324"/>
      <c r="C221" s="324"/>
      <c r="D221" s="324"/>
      <c r="E221" s="324"/>
      <c r="F221" s="324"/>
      <c r="G221" s="324"/>
      <c r="H221" s="195"/>
      <c r="I221" s="195"/>
    </row>
    <row r="222" spans="1:9" ht="12.75" customHeight="1">
      <c r="A222" s="326"/>
      <c r="B222" s="326"/>
      <c r="C222" s="326"/>
      <c r="D222" s="326"/>
      <c r="E222" s="326"/>
      <c r="F222" s="326"/>
      <c r="G222" s="326"/>
      <c r="H222" s="195"/>
      <c r="I222" s="195"/>
    </row>
    <row r="232" ht="12.75" customHeight="1"/>
  </sheetData>
  <sheetProtection/>
  <mergeCells count="308">
    <mergeCell ref="A6:I6"/>
    <mergeCell ref="A7:I7"/>
    <mergeCell ref="A2:I2"/>
    <mergeCell ref="A3:I3"/>
    <mergeCell ref="A4:E4"/>
    <mergeCell ref="F4:I4"/>
    <mergeCell ref="A5:E5"/>
    <mergeCell ref="F5:I5"/>
    <mergeCell ref="H8:I8"/>
    <mergeCell ref="B9:G9"/>
    <mergeCell ref="H9:I9"/>
    <mergeCell ref="B10:G10"/>
    <mergeCell ref="H10:I10"/>
    <mergeCell ref="B8:G8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3:I23"/>
    <mergeCell ref="A24:I24"/>
    <mergeCell ref="A25:I25"/>
    <mergeCell ref="A26:I26"/>
    <mergeCell ref="A20:G20"/>
    <mergeCell ref="H20:I20"/>
    <mergeCell ref="A21:I21"/>
    <mergeCell ref="A22:I22"/>
    <mergeCell ref="AO26:AV26"/>
    <mergeCell ref="AW26:BD26"/>
    <mergeCell ref="BE26:BL26"/>
    <mergeCell ref="BM26:BT26"/>
    <mergeCell ref="J26:P26"/>
    <mergeCell ref="Q26:X26"/>
    <mergeCell ref="Y26:AF26"/>
    <mergeCell ref="AG26:AN26"/>
    <mergeCell ref="DA26:DH26"/>
    <mergeCell ref="DI26:DP26"/>
    <mergeCell ref="DQ26:DX26"/>
    <mergeCell ref="DY26:EF26"/>
    <mergeCell ref="BU26:CB26"/>
    <mergeCell ref="CC26:CJ26"/>
    <mergeCell ref="CK26:CR26"/>
    <mergeCell ref="CS26:CZ26"/>
    <mergeCell ref="FU26:GB26"/>
    <mergeCell ref="GC26:GJ26"/>
    <mergeCell ref="GK26:GR26"/>
    <mergeCell ref="EG26:EN26"/>
    <mergeCell ref="EO26:EV26"/>
    <mergeCell ref="EW26:FD26"/>
    <mergeCell ref="FE26:FL26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B30:G30"/>
    <mergeCell ref="H30:I30"/>
    <mergeCell ref="B31:G31"/>
    <mergeCell ref="H31:I31"/>
    <mergeCell ref="B28:G28"/>
    <mergeCell ref="H28:I28"/>
    <mergeCell ref="B29:G29"/>
    <mergeCell ref="H29:I29"/>
    <mergeCell ref="B34:G34"/>
    <mergeCell ref="H34:I34"/>
    <mergeCell ref="B35:G35"/>
    <mergeCell ref="H35:I35"/>
    <mergeCell ref="B32:G32"/>
    <mergeCell ref="H32:I32"/>
    <mergeCell ref="B33:G33"/>
    <mergeCell ref="H33:I33"/>
    <mergeCell ref="B38:G38"/>
    <mergeCell ref="H38:I38"/>
    <mergeCell ref="B39:G39"/>
    <mergeCell ref="H39:I39"/>
    <mergeCell ref="B36:G36"/>
    <mergeCell ref="H36:I36"/>
    <mergeCell ref="B37:G37"/>
    <mergeCell ref="H37:I37"/>
    <mergeCell ref="A43:I43"/>
    <mergeCell ref="A44:I44"/>
    <mergeCell ref="B45:G45"/>
    <mergeCell ref="B46:H46"/>
    <mergeCell ref="B40:G40"/>
    <mergeCell ref="H40:I40"/>
    <mergeCell ref="A41:I41"/>
    <mergeCell ref="A42:I42"/>
    <mergeCell ref="B51:H51"/>
    <mergeCell ref="B52:H52"/>
    <mergeCell ref="A53:H53"/>
    <mergeCell ref="A54:I54"/>
    <mergeCell ref="B47:G47"/>
    <mergeCell ref="B48:H48"/>
    <mergeCell ref="B49:H49"/>
    <mergeCell ref="B50:H50"/>
    <mergeCell ref="B59:H59"/>
    <mergeCell ref="A62:H62"/>
    <mergeCell ref="B60:G60"/>
    <mergeCell ref="B61:G61"/>
    <mergeCell ref="A55:I55"/>
    <mergeCell ref="A56:I56"/>
    <mergeCell ref="A57:I57"/>
    <mergeCell ref="A58:I58"/>
    <mergeCell ref="B67:G67"/>
    <mergeCell ref="B68:G68"/>
    <mergeCell ref="B69:G69"/>
    <mergeCell ref="B70:C70"/>
    <mergeCell ref="A63:I63"/>
    <mergeCell ref="A64:I64"/>
    <mergeCell ref="A65:I65"/>
    <mergeCell ref="A66:I66"/>
    <mergeCell ref="B75:G75"/>
    <mergeCell ref="A76:G76"/>
    <mergeCell ref="A78:I78"/>
    <mergeCell ref="A79:I79"/>
    <mergeCell ref="B71:G71"/>
    <mergeCell ref="B72:G72"/>
    <mergeCell ref="B73:G73"/>
    <mergeCell ref="B74:G74"/>
    <mergeCell ref="B84:G84"/>
    <mergeCell ref="B85:G85"/>
    <mergeCell ref="B86:G86"/>
    <mergeCell ref="B87:H87"/>
    <mergeCell ref="A80:I80"/>
    <mergeCell ref="B81:H81"/>
    <mergeCell ref="B82:H82"/>
    <mergeCell ref="B83:G83"/>
    <mergeCell ref="B92:H92"/>
    <mergeCell ref="B93:H93"/>
    <mergeCell ref="B94:H94"/>
    <mergeCell ref="B95:H95"/>
    <mergeCell ref="B88:G88"/>
    <mergeCell ref="B89:G89"/>
    <mergeCell ref="B90:G90"/>
    <mergeCell ref="B91:H91"/>
    <mergeCell ref="B100:H100"/>
    <mergeCell ref="B101:H101"/>
    <mergeCell ref="B102:H102"/>
    <mergeCell ref="B103:H103"/>
    <mergeCell ref="A96:I96"/>
    <mergeCell ref="A97:I97"/>
    <mergeCell ref="A98:I98"/>
    <mergeCell ref="A99:I99"/>
    <mergeCell ref="B108:H108"/>
    <mergeCell ref="B109:H109"/>
    <mergeCell ref="B110:H110"/>
    <mergeCell ref="B111:H111"/>
    <mergeCell ref="A104:H104"/>
    <mergeCell ref="A105:I105"/>
    <mergeCell ref="A106:I106"/>
    <mergeCell ref="B107:H107"/>
    <mergeCell ref="A116:I116"/>
    <mergeCell ref="A117:I117"/>
    <mergeCell ref="A118:I118"/>
    <mergeCell ref="A120:I120"/>
    <mergeCell ref="B112:H112"/>
    <mergeCell ref="B113:H113"/>
    <mergeCell ref="A114:H114"/>
    <mergeCell ref="A115:I115"/>
    <mergeCell ref="B124:H124"/>
    <mergeCell ref="B125:H125"/>
    <mergeCell ref="B126:H126"/>
    <mergeCell ref="B127:H127"/>
    <mergeCell ref="B122:H122"/>
    <mergeCell ref="B123:H123"/>
    <mergeCell ref="A139:I139"/>
    <mergeCell ref="B136:H136"/>
    <mergeCell ref="B137:H137"/>
    <mergeCell ref="A138:H138"/>
    <mergeCell ref="B128:H128"/>
    <mergeCell ref="A129:H129"/>
    <mergeCell ref="A130:I130"/>
    <mergeCell ref="A131:I131"/>
    <mergeCell ref="B142:H142"/>
    <mergeCell ref="A143:H143"/>
    <mergeCell ref="A144:I144"/>
    <mergeCell ref="A145:I145"/>
    <mergeCell ref="B132:H132"/>
    <mergeCell ref="B133:H133"/>
    <mergeCell ref="B140:H140"/>
    <mergeCell ref="B141:H141"/>
    <mergeCell ref="B134:H134"/>
    <mergeCell ref="B135:H135"/>
    <mergeCell ref="A150:H150"/>
    <mergeCell ref="A151:I151"/>
    <mergeCell ref="A152:I152"/>
    <mergeCell ref="A154:I154"/>
    <mergeCell ref="B146:H146"/>
    <mergeCell ref="B147:H147"/>
    <mergeCell ref="B148:H148"/>
    <mergeCell ref="B149:H149"/>
    <mergeCell ref="B159:G159"/>
    <mergeCell ref="A160:G160"/>
    <mergeCell ref="B161:G161"/>
    <mergeCell ref="B162:G162"/>
    <mergeCell ref="B155:G155"/>
    <mergeCell ref="A156:G156"/>
    <mergeCell ref="B157:G157"/>
    <mergeCell ref="A158:G158"/>
    <mergeCell ref="B167:G167"/>
    <mergeCell ref="B168:G168"/>
    <mergeCell ref="B169:G169"/>
    <mergeCell ref="A170:H170"/>
    <mergeCell ref="B163:G163"/>
    <mergeCell ref="B164:G164"/>
    <mergeCell ref="B165:G165"/>
    <mergeCell ref="B166:G166"/>
    <mergeCell ref="A171:I171"/>
    <mergeCell ref="A172:G172"/>
    <mergeCell ref="A173:B175"/>
    <mergeCell ref="C173:I173"/>
    <mergeCell ref="C174:I174"/>
    <mergeCell ref="C175:I175"/>
    <mergeCell ref="A180:H180"/>
    <mergeCell ref="B181:H181"/>
    <mergeCell ref="B182:H182"/>
    <mergeCell ref="B183:H183"/>
    <mergeCell ref="A176:I176"/>
    <mergeCell ref="A177:I177"/>
    <mergeCell ref="A178:I178"/>
    <mergeCell ref="A179:I179"/>
    <mergeCell ref="A188:H188"/>
    <mergeCell ref="A189:I189"/>
    <mergeCell ref="A190:I190"/>
    <mergeCell ref="A192:I192"/>
    <mergeCell ref="B184:H184"/>
    <mergeCell ref="B185:H185"/>
    <mergeCell ref="A186:H186"/>
    <mergeCell ref="B187:H187"/>
    <mergeCell ref="A193:D193"/>
    <mergeCell ref="E193:F193"/>
    <mergeCell ref="H193:I193"/>
    <mergeCell ref="A194:D194"/>
    <mergeCell ref="E194:F194"/>
    <mergeCell ref="H194:I194"/>
    <mergeCell ref="A195:D195"/>
    <mergeCell ref="E195:F195"/>
    <mergeCell ref="H195:I195"/>
    <mergeCell ref="A196:D196"/>
    <mergeCell ref="E196:F196"/>
    <mergeCell ref="H196:I196"/>
    <mergeCell ref="A197:D197"/>
    <mergeCell ref="E197:F197"/>
    <mergeCell ref="H197:I197"/>
    <mergeCell ref="A198:D198"/>
    <mergeCell ref="E198:F198"/>
    <mergeCell ref="H198:I198"/>
    <mergeCell ref="A201:I201"/>
    <mergeCell ref="A202:I202"/>
    <mergeCell ref="A203:I203"/>
    <mergeCell ref="A204:F204"/>
    <mergeCell ref="G204:I204"/>
    <mergeCell ref="A199:D199"/>
    <mergeCell ref="E199:F199"/>
    <mergeCell ref="H199:I199"/>
    <mergeCell ref="A200:F200"/>
    <mergeCell ref="H200:I200"/>
    <mergeCell ref="A208:F208"/>
    <mergeCell ref="G208:I208"/>
    <mergeCell ref="A209:I209"/>
    <mergeCell ref="A210:I210"/>
    <mergeCell ref="A205:I205"/>
    <mergeCell ref="A206:F206"/>
    <mergeCell ref="G206:I206"/>
    <mergeCell ref="A207:I207"/>
    <mergeCell ref="H219:I219"/>
    <mergeCell ref="A214:C214"/>
    <mergeCell ref="D214:I214"/>
    <mergeCell ref="A215:C215"/>
    <mergeCell ref="D215:I215"/>
    <mergeCell ref="A211:C212"/>
    <mergeCell ref="D211:I212"/>
    <mergeCell ref="A213:C213"/>
    <mergeCell ref="D213:I213"/>
    <mergeCell ref="A222:G222"/>
    <mergeCell ref="H222:I222"/>
    <mergeCell ref="A121:I121"/>
    <mergeCell ref="A220:G220"/>
    <mergeCell ref="H220:I220"/>
    <mergeCell ref="A221:G221"/>
    <mergeCell ref="H221:I221"/>
    <mergeCell ref="A216:I217"/>
    <mergeCell ref="A218:I218"/>
    <mergeCell ref="A219:G219"/>
  </mergeCells>
  <printOptions/>
  <pageMargins left="0.787401575" right="0.787401575" top="0.984251969" bottom="0.984251969" header="0.492125985" footer="0.492125985"/>
  <pageSetup horizontalDpi="600" verticalDpi="600" orientation="portrait" paperSize="9" scale="7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V101"/>
  <sheetViews>
    <sheetView zoomScale="130" zoomScaleNormal="130" zoomScalePageLayoutView="0" workbookViewId="0" topLeftCell="A7">
      <selection activeCell="K8" sqref="K8"/>
    </sheetView>
  </sheetViews>
  <sheetFormatPr defaultColWidth="9.140625" defaultRowHeight="12.75"/>
  <cols>
    <col min="1" max="1" width="11.5742187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0.7109375" style="1" customWidth="1"/>
    <col min="9" max="9" width="12.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2" spans="1:9" ht="45" customHeight="1">
      <c r="A2" s="185" t="s">
        <v>214</v>
      </c>
      <c r="B2" s="185"/>
      <c r="C2" s="185"/>
      <c r="D2" s="185"/>
      <c r="E2" s="185"/>
      <c r="F2" s="185"/>
      <c r="G2" s="185"/>
      <c r="H2" s="185"/>
      <c r="I2" s="185"/>
    </row>
    <row r="3" spans="1:9" ht="71.25" customHeight="1">
      <c r="A3" s="186" t="s">
        <v>234</v>
      </c>
      <c r="B3" s="186"/>
      <c r="C3" s="186"/>
      <c r="D3" s="186"/>
      <c r="E3" s="186"/>
      <c r="F3" s="186"/>
      <c r="G3" s="186"/>
      <c r="H3" s="186"/>
      <c r="I3" s="186"/>
    </row>
    <row r="4" spans="1:9" ht="15.75" customHeight="1">
      <c r="A4" s="187" t="s">
        <v>288</v>
      </c>
      <c r="B4" s="187"/>
      <c r="C4" s="187"/>
      <c r="D4" s="187"/>
      <c r="E4" s="187"/>
      <c r="F4" s="188" t="s">
        <v>146</v>
      </c>
      <c r="G4" s="188"/>
      <c r="H4" s="188"/>
      <c r="I4" s="188"/>
    </row>
    <row r="5" spans="1:9" ht="15.75" customHeight="1">
      <c r="A5" s="187" t="s">
        <v>290</v>
      </c>
      <c r="B5" s="187"/>
      <c r="C5" s="187"/>
      <c r="D5" s="187"/>
      <c r="E5" s="187"/>
      <c r="F5" s="188" t="s">
        <v>147</v>
      </c>
      <c r="G5" s="188"/>
      <c r="H5" s="188"/>
      <c r="I5" s="188"/>
    </row>
    <row r="6" spans="1:9" ht="14.25" customHeight="1">
      <c r="A6" s="187" t="s">
        <v>233</v>
      </c>
      <c r="B6" s="187"/>
      <c r="C6" s="187"/>
      <c r="D6" s="187"/>
      <c r="E6" s="187"/>
      <c r="F6" s="187"/>
      <c r="G6" s="187"/>
      <c r="H6" s="187"/>
      <c r="I6" s="187"/>
    </row>
    <row r="7" spans="1:9" ht="20.25" customHeight="1">
      <c r="A7" s="189" t="s">
        <v>291</v>
      </c>
      <c r="B7" s="189"/>
      <c r="C7" s="189"/>
      <c r="D7" s="189"/>
      <c r="E7" s="189"/>
      <c r="F7" s="189"/>
      <c r="G7" s="189"/>
      <c r="H7" s="189"/>
      <c r="I7" s="189"/>
    </row>
    <row r="8" spans="1:9" ht="15.75" customHeight="1">
      <c r="A8" s="3" t="s">
        <v>292</v>
      </c>
      <c r="B8" s="187" t="s">
        <v>293</v>
      </c>
      <c r="C8" s="187"/>
      <c r="D8" s="187"/>
      <c r="E8" s="187"/>
      <c r="F8" s="187"/>
      <c r="G8" s="187"/>
      <c r="H8" s="190">
        <v>43827</v>
      </c>
      <c r="I8" s="190"/>
    </row>
    <row r="9" spans="1:9" ht="15.75" customHeight="1">
      <c r="A9" s="3" t="s">
        <v>294</v>
      </c>
      <c r="B9" s="187" t="s">
        <v>295</v>
      </c>
      <c r="C9" s="187"/>
      <c r="D9" s="187"/>
      <c r="E9" s="187"/>
      <c r="F9" s="187"/>
      <c r="G9" s="187"/>
      <c r="H9" s="188" t="s">
        <v>296</v>
      </c>
      <c r="I9" s="188"/>
    </row>
    <row r="10" spans="1:9" ht="19.5" customHeight="1">
      <c r="A10" s="3" t="s">
        <v>297</v>
      </c>
      <c r="B10" s="187" t="s">
        <v>298</v>
      </c>
      <c r="C10" s="187"/>
      <c r="D10" s="187"/>
      <c r="E10" s="187"/>
      <c r="F10" s="187"/>
      <c r="G10" s="187"/>
      <c r="H10" s="188" t="s">
        <v>148</v>
      </c>
      <c r="I10" s="188"/>
    </row>
    <row r="11" spans="1:11" ht="15.75" customHeight="1">
      <c r="A11" s="3" t="s">
        <v>300</v>
      </c>
      <c r="B11" s="187" t="s">
        <v>301</v>
      </c>
      <c r="C11" s="187"/>
      <c r="D11" s="187"/>
      <c r="E11" s="187"/>
      <c r="F11" s="187"/>
      <c r="G11" s="187"/>
      <c r="H11" s="188">
        <v>12</v>
      </c>
      <c r="I11" s="188"/>
      <c r="K11" s="4"/>
    </row>
    <row r="12" spans="1:9" ht="18.75" customHeight="1">
      <c r="A12" s="191" t="s">
        <v>302</v>
      </c>
      <c r="B12" s="191"/>
      <c r="C12" s="191"/>
      <c r="D12" s="191"/>
      <c r="E12" s="191"/>
      <c r="F12" s="191"/>
      <c r="G12" s="191"/>
      <c r="H12" s="191"/>
      <c r="I12" s="191"/>
    </row>
    <row r="13" spans="1:9" ht="50.25" customHeight="1">
      <c r="A13" s="192" t="s">
        <v>303</v>
      </c>
      <c r="B13" s="192"/>
      <c r="C13" s="192"/>
      <c r="D13" s="192"/>
      <c r="E13" s="192"/>
      <c r="F13" s="193" t="s">
        <v>304</v>
      </c>
      <c r="G13" s="193"/>
      <c r="H13" s="194" t="s">
        <v>305</v>
      </c>
      <c r="I13" s="194"/>
    </row>
    <row r="14" spans="1:9" ht="12.75" customHeight="1">
      <c r="A14" s="187" t="s">
        <v>306</v>
      </c>
      <c r="B14" s="187"/>
      <c r="C14" s="187"/>
      <c r="D14" s="187"/>
      <c r="E14" s="187"/>
      <c r="F14" s="195" t="s">
        <v>307</v>
      </c>
      <c r="G14" s="195"/>
      <c r="H14" s="196" t="s">
        <v>308</v>
      </c>
      <c r="I14" s="196"/>
    </row>
    <row r="15" spans="1:9" ht="12.75" customHeight="1">
      <c r="A15" s="187" t="s">
        <v>309</v>
      </c>
      <c r="B15" s="187"/>
      <c r="C15" s="187"/>
      <c r="D15" s="187"/>
      <c r="E15" s="187"/>
      <c r="F15" s="195" t="s">
        <v>307</v>
      </c>
      <c r="G15" s="195"/>
      <c r="H15" s="196" t="s">
        <v>308</v>
      </c>
      <c r="I15" s="196"/>
    </row>
    <row r="16" spans="1:9" ht="12.75" customHeight="1">
      <c r="A16" s="187" t="s">
        <v>310</v>
      </c>
      <c r="B16" s="187"/>
      <c r="C16" s="187"/>
      <c r="D16" s="187"/>
      <c r="E16" s="187"/>
      <c r="F16" s="195" t="s">
        <v>307</v>
      </c>
      <c r="G16" s="195"/>
      <c r="H16" s="196" t="s">
        <v>308</v>
      </c>
      <c r="I16" s="196"/>
    </row>
    <row r="17" spans="1:9" ht="12.75" customHeight="1">
      <c r="A17" s="197" t="s">
        <v>311</v>
      </c>
      <c r="B17" s="197"/>
      <c r="C17" s="197"/>
      <c r="D17" s="197"/>
      <c r="E17" s="197"/>
      <c r="F17" s="193" t="s">
        <v>307</v>
      </c>
      <c r="G17" s="193"/>
      <c r="H17" s="198">
        <v>3</v>
      </c>
      <c r="I17" s="198"/>
    </row>
    <row r="18" spans="1:9" ht="12.75" customHeight="1">
      <c r="A18" s="187" t="s">
        <v>312</v>
      </c>
      <c r="B18" s="187"/>
      <c r="C18" s="187"/>
      <c r="D18" s="187"/>
      <c r="E18" s="187"/>
      <c r="F18" s="195" t="s">
        <v>307</v>
      </c>
      <c r="G18" s="195"/>
      <c r="H18" s="196" t="s">
        <v>308</v>
      </c>
      <c r="I18" s="196"/>
    </row>
    <row r="19" spans="1:9" ht="12.75" customHeight="1">
      <c r="A19" s="187" t="s">
        <v>313</v>
      </c>
      <c r="B19" s="187"/>
      <c r="C19" s="187"/>
      <c r="D19" s="187"/>
      <c r="E19" s="187"/>
      <c r="F19" s="195" t="s">
        <v>307</v>
      </c>
      <c r="G19" s="195"/>
      <c r="H19" s="196" t="s">
        <v>308</v>
      </c>
      <c r="I19" s="196"/>
    </row>
    <row r="20" spans="1:9" ht="12.75" customHeight="1">
      <c r="A20" s="199" t="s">
        <v>314</v>
      </c>
      <c r="B20" s="199"/>
      <c r="C20" s="199"/>
      <c r="D20" s="199"/>
      <c r="E20" s="199"/>
      <c r="F20" s="199"/>
      <c r="G20" s="199"/>
      <c r="H20" s="200">
        <f>SUM(H14:H19)</f>
        <v>3</v>
      </c>
      <c r="I20" s="200"/>
    </row>
    <row r="21" spans="1:9" ht="8.25" customHeight="1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12" ht="50.25" customHeight="1">
      <c r="A22" s="202" t="s">
        <v>315</v>
      </c>
      <c r="B22" s="202"/>
      <c r="C22" s="202"/>
      <c r="D22" s="202"/>
      <c r="E22" s="202"/>
      <c r="F22" s="202"/>
      <c r="G22" s="202"/>
      <c r="H22" s="202"/>
      <c r="I22" s="202"/>
      <c r="J22" s="6"/>
      <c r="K22" s="7"/>
      <c r="L22" s="8"/>
    </row>
    <row r="23" spans="1:12" ht="7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L23" s="8"/>
    </row>
    <row r="24" spans="1:12" ht="51.75" customHeight="1">
      <c r="A24" s="204" t="s">
        <v>316</v>
      </c>
      <c r="B24" s="204"/>
      <c r="C24" s="204"/>
      <c r="D24" s="204"/>
      <c r="E24" s="204"/>
      <c r="F24" s="204"/>
      <c r="G24" s="204"/>
      <c r="H24" s="204"/>
      <c r="I24" s="204"/>
      <c r="J24" s="6"/>
      <c r="K24" s="7"/>
      <c r="L24" s="8"/>
    </row>
    <row r="25" spans="1:12" ht="9.7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6"/>
      <c r="K25" s="7"/>
      <c r="L25" s="8"/>
    </row>
    <row r="26" spans="1:256" s="9" customFormat="1" ht="21.75" customHeight="1">
      <c r="A26" s="189" t="s">
        <v>215</v>
      </c>
      <c r="B26" s="189"/>
      <c r="C26" s="189"/>
      <c r="D26" s="189"/>
      <c r="E26" s="189"/>
      <c r="F26" s="189"/>
      <c r="G26" s="189"/>
      <c r="H26" s="189"/>
      <c r="I26" s="189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9" ht="27" customHeight="1">
      <c r="A27" s="3">
        <v>1</v>
      </c>
      <c r="B27" s="187" t="s">
        <v>317</v>
      </c>
      <c r="C27" s="187"/>
      <c r="D27" s="187"/>
      <c r="E27" s="187"/>
      <c r="F27" s="187"/>
      <c r="G27" s="187"/>
      <c r="H27" s="207" t="s">
        <v>318</v>
      </c>
      <c r="I27" s="207"/>
    </row>
    <row r="28" spans="1:9" ht="19.5" customHeight="1">
      <c r="A28" s="10">
        <v>2</v>
      </c>
      <c r="B28" s="208" t="s">
        <v>319</v>
      </c>
      <c r="C28" s="208"/>
      <c r="D28" s="208"/>
      <c r="E28" s="208"/>
      <c r="F28" s="208"/>
      <c r="G28" s="208"/>
      <c r="H28" s="209" t="s">
        <v>0</v>
      </c>
      <c r="I28" s="209"/>
    </row>
    <row r="29" spans="1:9" ht="15.75" customHeight="1">
      <c r="A29" s="3">
        <v>3</v>
      </c>
      <c r="B29" s="187" t="s">
        <v>216</v>
      </c>
      <c r="C29" s="187"/>
      <c r="D29" s="187"/>
      <c r="E29" s="187"/>
      <c r="F29" s="187"/>
      <c r="G29" s="187"/>
      <c r="H29" s="210">
        <v>1881.88</v>
      </c>
      <c r="I29" s="210"/>
    </row>
    <row r="30" spans="1:9" ht="15.75" customHeight="1">
      <c r="A30" s="3">
        <v>4</v>
      </c>
      <c r="B30" s="187" t="s">
        <v>2</v>
      </c>
      <c r="C30" s="187"/>
      <c r="D30" s="187"/>
      <c r="E30" s="187"/>
      <c r="F30" s="187"/>
      <c r="G30" s="187"/>
      <c r="H30" s="211" t="s">
        <v>3</v>
      </c>
      <c r="I30" s="211"/>
    </row>
    <row r="31" spans="1:9" ht="15.75" customHeight="1">
      <c r="A31" s="3">
        <v>5</v>
      </c>
      <c r="B31" s="187" t="s">
        <v>4</v>
      </c>
      <c r="C31" s="187"/>
      <c r="D31" s="187"/>
      <c r="E31" s="187"/>
      <c r="F31" s="187"/>
      <c r="G31" s="187"/>
      <c r="H31" s="212" t="s">
        <v>299</v>
      </c>
      <c r="I31" s="212"/>
    </row>
    <row r="32" spans="1:256" ht="27" customHeight="1">
      <c r="A32" s="11">
        <v>6</v>
      </c>
      <c r="B32" s="213" t="s">
        <v>217</v>
      </c>
      <c r="C32" s="213"/>
      <c r="D32" s="213"/>
      <c r="E32" s="213"/>
      <c r="F32" s="213"/>
      <c r="G32" s="213"/>
      <c r="H32" s="214">
        <f>ROUND((H29/220),2)</f>
        <v>8.55</v>
      </c>
      <c r="I32" s="21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11">
        <v>7</v>
      </c>
      <c r="B33" s="213" t="s">
        <v>218</v>
      </c>
      <c r="C33" s="213"/>
      <c r="D33" s="213"/>
      <c r="E33" s="213"/>
      <c r="F33" s="213"/>
      <c r="G33" s="213"/>
      <c r="H33" s="215">
        <f>ROUND(H32*1.5,2)</f>
        <v>12.83</v>
      </c>
      <c r="I33" s="215"/>
      <c r="J33"/>
      <c r="K33">
        <f>H32+H32*0.5</f>
        <v>12.825000000000001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11">
        <v>8</v>
      </c>
      <c r="B34" s="213" t="s">
        <v>219</v>
      </c>
      <c r="C34" s="213"/>
      <c r="D34" s="213"/>
      <c r="E34" s="213"/>
      <c r="F34" s="213"/>
      <c r="G34" s="213"/>
      <c r="H34" s="214">
        <f>ROUND(H32*0.2,2)</f>
        <v>1.71</v>
      </c>
      <c r="I34" s="21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 customHeight="1">
      <c r="A35" s="11">
        <v>9</v>
      </c>
      <c r="B35" s="213" t="s">
        <v>220</v>
      </c>
      <c r="C35" s="213"/>
      <c r="D35" s="213"/>
      <c r="E35" s="213"/>
      <c r="F35" s="213"/>
      <c r="G35" s="213"/>
      <c r="H35" s="214">
        <f>ROUND(H32/6,2)</f>
        <v>1.43</v>
      </c>
      <c r="I35" s="21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1">
        <v>10</v>
      </c>
      <c r="B36" s="216" t="s">
        <v>8</v>
      </c>
      <c r="C36" s="216"/>
      <c r="D36" s="216"/>
      <c r="E36" s="216"/>
      <c r="F36" s="216"/>
      <c r="G36" s="216"/>
      <c r="H36" s="217">
        <v>2</v>
      </c>
      <c r="I36" s="21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ht="9" customHeight="1">
      <c r="A37" s="203"/>
      <c r="B37" s="203"/>
      <c r="C37" s="203"/>
      <c r="D37" s="203"/>
      <c r="E37" s="203"/>
      <c r="F37" s="203"/>
      <c r="G37" s="203"/>
      <c r="H37" s="203"/>
      <c r="I37" s="203"/>
    </row>
    <row r="38" spans="1:9" ht="21.75" customHeight="1">
      <c r="A38" s="218" t="s">
        <v>9</v>
      </c>
      <c r="B38" s="218"/>
      <c r="C38" s="218"/>
      <c r="D38" s="218"/>
      <c r="E38" s="218"/>
      <c r="F38" s="218"/>
      <c r="G38" s="218"/>
      <c r="H38" s="218"/>
      <c r="I38" s="218"/>
    </row>
    <row r="39" spans="1:9" ht="9" customHeight="1">
      <c r="A39" s="219"/>
      <c r="B39" s="219"/>
      <c r="C39" s="219"/>
      <c r="D39" s="219"/>
      <c r="E39" s="219"/>
      <c r="F39" s="219"/>
      <c r="G39" s="219"/>
      <c r="H39" s="219"/>
      <c r="I39" s="219"/>
    </row>
    <row r="40" spans="1:9" ht="20.25" customHeight="1">
      <c r="A40" s="482" t="s">
        <v>221</v>
      </c>
      <c r="B40" s="482"/>
      <c r="C40" s="482"/>
      <c r="D40" s="482"/>
      <c r="E40" s="482"/>
      <c r="F40" s="482"/>
      <c r="G40" s="482"/>
      <c r="H40" s="482"/>
      <c r="I40" s="482"/>
    </row>
    <row r="41" spans="1:9" s="15" customFormat="1" ht="39" customHeight="1">
      <c r="A41" s="111">
        <v>1</v>
      </c>
      <c r="B41" s="483" t="s">
        <v>236</v>
      </c>
      <c r="C41" s="483"/>
      <c r="D41" s="483"/>
      <c r="E41" s="483"/>
      <c r="F41" s="483"/>
      <c r="G41" s="483"/>
      <c r="H41" s="14" t="s">
        <v>12</v>
      </c>
      <c r="I41" s="111" t="s">
        <v>13</v>
      </c>
    </row>
    <row r="42" spans="1:9" ht="33" customHeight="1">
      <c r="A42" s="112" t="s">
        <v>292</v>
      </c>
      <c r="B42" s="187" t="s">
        <v>223</v>
      </c>
      <c r="C42" s="187"/>
      <c r="D42" s="187"/>
      <c r="E42" s="187"/>
      <c r="F42" s="187"/>
      <c r="G42" s="187"/>
      <c r="H42" s="187"/>
      <c r="I42" s="113">
        <f>H29</f>
        <v>1881.88</v>
      </c>
    </row>
    <row r="43" spans="1:10" ht="42" customHeight="1">
      <c r="A43" s="112" t="s">
        <v>294</v>
      </c>
      <c r="B43" s="316" t="s">
        <v>224</v>
      </c>
      <c r="C43" s="187"/>
      <c r="D43" s="187"/>
      <c r="E43" s="187"/>
      <c r="F43" s="187"/>
      <c r="G43" s="187"/>
      <c r="H43" s="187"/>
      <c r="I43" s="113">
        <f>ROUND(I42*(7/12)*0.2,2)</f>
        <v>219.55</v>
      </c>
      <c r="J43" s="114"/>
    </row>
    <row r="44" spans="1:10" ht="55.5" customHeight="1">
      <c r="A44" s="112" t="s">
        <v>297</v>
      </c>
      <c r="B44" s="485" t="s">
        <v>225</v>
      </c>
      <c r="C44" s="208"/>
      <c r="D44" s="208"/>
      <c r="E44" s="208"/>
      <c r="F44" s="208"/>
      <c r="G44" s="208"/>
      <c r="H44" s="208"/>
      <c r="I44" s="113">
        <f>ROUND(I42*(1/12)*1.2,2)</f>
        <v>188.19</v>
      </c>
      <c r="J44" s="114"/>
    </row>
    <row r="45" spans="1:9" ht="8.25" customHeight="1">
      <c r="A45" s="115"/>
      <c r="B45" s="486"/>
      <c r="C45" s="487"/>
      <c r="D45" s="487"/>
      <c r="E45" s="487"/>
      <c r="F45" s="487"/>
      <c r="G45" s="487"/>
      <c r="H45" s="343"/>
      <c r="I45" s="116"/>
    </row>
    <row r="46" spans="1:12" ht="15.75" customHeight="1">
      <c r="A46" s="3"/>
      <c r="B46" s="488" t="s">
        <v>226</v>
      </c>
      <c r="C46" s="489"/>
      <c r="D46" s="489"/>
      <c r="E46" s="489"/>
      <c r="F46" s="489"/>
      <c r="G46" s="489"/>
      <c r="H46" s="490"/>
      <c r="I46" s="117">
        <f>I43+I44</f>
        <v>407.74</v>
      </c>
      <c r="L46" s="19"/>
    </row>
    <row r="47" spans="1:9" ht="15.75" customHeight="1">
      <c r="A47" s="484"/>
      <c r="B47" s="484"/>
      <c r="C47" s="484"/>
      <c r="D47" s="484"/>
      <c r="E47" s="484"/>
      <c r="F47" s="484"/>
      <c r="G47" s="484"/>
      <c r="H47" s="484"/>
      <c r="I47" s="20"/>
    </row>
    <row r="48" spans="1:9" ht="7.5" customHeight="1">
      <c r="A48" s="235"/>
      <c r="B48" s="235"/>
      <c r="C48" s="235"/>
      <c r="D48" s="235"/>
      <c r="E48" s="235"/>
      <c r="F48" s="235"/>
      <c r="G48" s="235"/>
      <c r="H48" s="235"/>
      <c r="I48" s="235"/>
    </row>
    <row r="49" spans="1:9" ht="42.75" customHeight="1">
      <c r="A49" s="231" t="s">
        <v>237</v>
      </c>
      <c r="B49" s="231"/>
      <c r="C49" s="231"/>
      <c r="D49" s="231"/>
      <c r="E49" s="231"/>
      <c r="F49" s="231"/>
      <c r="G49" s="231"/>
      <c r="H49" s="231"/>
      <c r="I49" s="20"/>
    </row>
    <row r="50" spans="1:9" ht="10.5" customHeight="1">
      <c r="A50" s="201"/>
      <c r="B50" s="201"/>
      <c r="C50" s="201"/>
      <c r="D50" s="201"/>
      <c r="E50" s="201"/>
      <c r="F50" s="201"/>
      <c r="G50" s="201"/>
      <c r="H50" s="201"/>
      <c r="I50" s="201"/>
    </row>
    <row r="51" spans="1:9" s="27" customFormat="1" ht="24" customHeight="1">
      <c r="A51" s="45"/>
      <c r="B51" s="213"/>
      <c r="C51" s="213"/>
      <c r="D51" s="213"/>
      <c r="E51" s="213"/>
      <c r="F51" s="213"/>
      <c r="G51" s="213"/>
      <c r="H51" s="51"/>
      <c r="I51" s="48"/>
    </row>
    <row r="52" spans="1:9" s="27" customFormat="1" ht="18" customHeight="1">
      <c r="A52" s="45"/>
      <c r="B52" s="254"/>
      <c r="C52" s="254"/>
      <c r="D52" s="254"/>
      <c r="E52" s="254"/>
      <c r="F52" s="254"/>
      <c r="G52" s="254"/>
      <c r="H52" s="254"/>
      <c r="I52" s="52"/>
    </row>
    <row r="54" spans="1:9" ht="28.5" customHeight="1">
      <c r="A54" s="185" t="s">
        <v>214</v>
      </c>
      <c r="B54" s="185"/>
      <c r="C54" s="185"/>
      <c r="D54" s="185"/>
      <c r="E54" s="185"/>
      <c r="F54" s="185"/>
      <c r="G54" s="185"/>
      <c r="H54" s="185"/>
      <c r="I54" s="185"/>
    </row>
    <row r="55" spans="1:9" ht="59.25" customHeight="1">
      <c r="A55" s="186" t="s">
        <v>235</v>
      </c>
      <c r="B55" s="186"/>
      <c r="C55" s="186"/>
      <c r="D55" s="186"/>
      <c r="E55" s="186"/>
      <c r="F55" s="186"/>
      <c r="G55" s="186"/>
      <c r="H55" s="186"/>
      <c r="I55" s="186"/>
    </row>
    <row r="56" spans="1:9" ht="15.75" customHeight="1">
      <c r="A56" s="187" t="s">
        <v>288</v>
      </c>
      <c r="B56" s="187"/>
      <c r="C56" s="187"/>
      <c r="D56" s="187"/>
      <c r="E56" s="187"/>
      <c r="F56" s="188" t="s">
        <v>146</v>
      </c>
      <c r="G56" s="188"/>
      <c r="H56" s="188"/>
      <c r="I56" s="188"/>
    </row>
    <row r="57" spans="1:9" ht="15.75" customHeight="1">
      <c r="A57" s="187" t="s">
        <v>290</v>
      </c>
      <c r="B57" s="187"/>
      <c r="C57" s="187"/>
      <c r="D57" s="187"/>
      <c r="E57" s="187"/>
      <c r="F57" s="188" t="s">
        <v>147</v>
      </c>
      <c r="G57" s="188"/>
      <c r="H57" s="188"/>
      <c r="I57" s="188"/>
    </row>
    <row r="58" spans="1:9" ht="14.25" customHeight="1">
      <c r="A58" s="187" t="s">
        <v>145</v>
      </c>
      <c r="B58" s="187"/>
      <c r="C58" s="187"/>
      <c r="D58" s="187"/>
      <c r="E58" s="187"/>
      <c r="F58" s="187"/>
      <c r="G58" s="187"/>
      <c r="H58" s="187"/>
      <c r="I58" s="187"/>
    </row>
    <row r="59" spans="1:9" ht="20.25" customHeight="1">
      <c r="A59" s="189" t="s">
        <v>291</v>
      </c>
      <c r="B59" s="189"/>
      <c r="C59" s="189"/>
      <c r="D59" s="189"/>
      <c r="E59" s="189"/>
      <c r="F59" s="189"/>
      <c r="G59" s="189"/>
      <c r="H59" s="189"/>
      <c r="I59" s="189"/>
    </row>
    <row r="60" spans="1:9" ht="15.75" customHeight="1">
      <c r="A60" s="3" t="s">
        <v>292</v>
      </c>
      <c r="B60" s="187" t="s">
        <v>293</v>
      </c>
      <c r="C60" s="187"/>
      <c r="D60" s="187"/>
      <c r="E60" s="187"/>
      <c r="F60" s="187"/>
      <c r="G60" s="187"/>
      <c r="H60" s="190">
        <v>43830</v>
      </c>
      <c r="I60" s="190"/>
    </row>
    <row r="61" spans="1:9" ht="15.75" customHeight="1">
      <c r="A61" s="3" t="s">
        <v>294</v>
      </c>
      <c r="B61" s="187" t="s">
        <v>295</v>
      </c>
      <c r="C61" s="187"/>
      <c r="D61" s="187"/>
      <c r="E61" s="187"/>
      <c r="F61" s="187"/>
      <c r="G61" s="187"/>
      <c r="H61" s="188" t="s">
        <v>296</v>
      </c>
      <c r="I61" s="188"/>
    </row>
    <row r="62" spans="1:9" ht="19.5" customHeight="1">
      <c r="A62" s="3" t="s">
        <v>297</v>
      </c>
      <c r="B62" s="187" t="s">
        <v>298</v>
      </c>
      <c r="C62" s="187"/>
      <c r="D62" s="187"/>
      <c r="E62" s="187"/>
      <c r="F62" s="187"/>
      <c r="G62" s="187"/>
      <c r="H62" s="188" t="s">
        <v>148</v>
      </c>
      <c r="I62" s="188"/>
    </row>
    <row r="63" spans="1:11" ht="15.75" customHeight="1">
      <c r="A63" s="3" t="s">
        <v>300</v>
      </c>
      <c r="B63" s="187" t="s">
        <v>301</v>
      </c>
      <c r="C63" s="187"/>
      <c r="D63" s="187"/>
      <c r="E63" s="187"/>
      <c r="F63" s="187"/>
      <c r="G63" s="187"/>
      <c r="H63" s="188">
        <v>12</v>
      </c>
      <c r="I63" s="188"/>
      <c r="K63" s="4"/>
    </row>
    <row r="64" spans="1:9" ht="18.75" customHeight="1">
      <c r="A64" s="191" t="s">
        <v>302</v>
      </c>
      <c r="B64" s="191"/>
      <c r="C64" s="191"/>
      <c r="D64" s="191"/>
      <c r="E64" s="191"/>
      <c r="F64" s="191"/>
      <c r="G64" s="191"/>
      <c r="H64" s="191"/>
      <c r="I64" s="191"/>
    </row>
    <row r="65" spans="1:9" ht="50.25" customHeight="1">
      <c r="A65" s="192" t="s">
        <v>303</v>
      </c>
      <c r="B65" s="192"/>
      <c r="C65" s="192"/>
      <c r="D65" s="192"/>
      <c r="E65" s="192"/>
      <c r="F65" s="193" t="s">
        <v>304</v>
      </c>
      <c r="G65" s="193"/>
      <c r="H65" s="194" t="s">
        <v>305</v>
      </c>
      <c r="I65" s="194"/>
    </row>
    <row r="66" spans="1:9" ht="12.75" customHeight="1">
      <c r="A66" s="187" t="s">
        <v>306</v>
      </c>
      <c r="B66" s="187"/>
      <c r="C66" s="187"/>
      <c r="D66" s="187"/>
      <c r="E66" s="187"/>
      <c r="F66" s="195" t="s">
        <v>307</v>
      </c>
      <c r="G66" s="195"/>
      <c r="H66" s="196" t="s">
        <v>308</v>
      </c>
      <c r="I66" s="196"/>
    </row>
    <row r="67" spans="1:9" ht="12.75" customHeight="1">
      <c r="A67" s="187" t="s">
        <v>309</v>
      </c>
      <c r="B67" s="187"/>
      <c r="C67" s="187"/>
      <c r="D67" s="187"/>
      <c r="E67" s="187"/>
      <c r="F67" s="195" t="s">
        <v>307</v>
      </c>
      <c r="G67" s="195"/>
      <c r="H67" s="196" t="s">
        <v>308</v>
      </c>
      <c r="I67" s="196"/>
    </row>
    <row r="68" spans="1:9" ht="12.75" customHeight="1">
      <c r="A68" s="187" t="s">
        <v>310</v>
      </c>
      <c r="B68" s="187"/>
      <c r="C68" s="187"/>
      <c r="D68" s="187"/>
      <c r="E68" s="187"/>
      <c r="F68" s="195" t="s">
        <v>307</v>
      </c>
      <c r="G68" s="195"/>
      <c r="H68" s="196" t="s">
        <v>308</v>
      </c>
      <c r="I68" s="196"/>
    </row>
    <row r="69" spans="1:9" ht="12.75" customHeight="1">
      <c r="A69" s="197" t="s">
        <v>311</v>
      </c>
      <c r="B69" s="197"/>
      <c r="C69" s="197"/>
      <c r="D69" s="197"/>
      <c r="E69" s="197"/>
      <c r="F69" s="193" t="s">
        <v>307</v>
      </c>
      <c r="G69" s="193"/>
      <c r="H69" s="198">
        <v>3</v>
      </c>
      <c r="I69" s="198"/>
    </row>
    <row r="70" spans="1:9" ht="12.75" customHeight="1">
      <c r="A70" s="187" t="s">
        <v>312</v>
      </c>
      <c r="B70" s="187"/>
      <c r="C70" s="187"/>
      <c r="D70" s="187"/>
      <c r="E70" s="187"/>
      <c r="F70" s="195" t="s">
        <v>307</v>
      </c>
      <c r="G70" s="195"/>
      <c r="H70" s="196" t="s">
        <v>308</v>
      </c>
      <c r="I70" s="196"/>
    </row>
    <row r="71" spans="1:9" ht="12.75" customHeight="1">
      <c r="A71" s="187" t="s">
        <v>313</v>
      </c>
      <c r="B71" s="187"/>
      <c r="C71" s="187"/>
      <c r="D71" s="187"/>
      <c r="E71" s="187"/>
      <c r="F71" s="195" t="s">
        <v>307</v>
      </c>
      <c r="G71" s="195"/>
      <c r="H71" s="196" t="s">
        <v>308</v>
      </c>
      <c r="I71" s="196"/>
    </row>
    <row r="72" spans="1:9" ht="12.75" customHeight="1">
      <c r="A72" s="199" t="s">
        <v>314</v>
      </c>
      <c r="B72" s="199"/>
      <c r="C72" s="199"/>
      <c r="D72" s="199"/>
      <c r="E72" s="199"/>
      <c r="F72" s="199"/>
      <c r="G72" s="199"/>
      <c r="H72" s="200">
        <f>SUM(H66:H71)</f>
        <v>3</v>
      </c>
      <c r="I72" s="200"/>
    </row>
    <row r="73" spans="1:9" ht="8.25" customHeight="1">
      <c r="A73" s="201"/>
      <c r="B73" s="201"/>
      <c r="C73" s="201"/>
      <c r="D73" s="201"/>
      <c r="E73" s="201"/>
      <c r="F73" s="201"/>
      <c r="G73" s="201"/>
      <c r="H73" s="201"/>
      <c r="I73" s="201"/>
    </row>
    <row r="74" spans="1:12" ht="50.25" customHeight="1">
      <c r="A74" s="202" t="s">
        <v>315</v>
      </c>
      <c r="B74" s="202"/>
      <c r="C74" s="202"/>
      <c r="D74" s="202"/>
      <c r="E74" s="202"/>
      <c r="F74" s="202"/>
      <c r="G74" s="202"/>
      <c r="H74" s="202"/>
      <c r="I74" s="202"/>
      <c r="J74" s="6"/>
      <c r="K74" s="7"/>
      <c r="L74" s="8"/>
    </row>
    <row r="75" spans="1:12" ht="7.5" customHeight="1">
      <c r="A75" s="203"/>
      <c r="B75" s="203"/>
      <c r="C75" s="203"/>
      <c r="D75" s="203"/>
      <c r="E75" s="203"/>
      <c r="F75" s="203"/>
      <c r="G75" s="203"/>
      <c r="H75" s="203"/>
      <c r="I75" s="203"/>
      <c r="J75" s="6"/>
      <c r="K75" s="7"/>
      <c r="L75" s="8"/>
    </row>
    <row r="76" spans="1:12" ht="51.75" customHeight="1">
      <c r="A76" s="204" t="s">
        <v>316</v>
      </c>
      <c r="B76" s="204"/>
      <c r="C76" s="204"/>
      <c r="D76" s="204"/>
      <c r="E76" s="204"/>
      <c r="F76" s="204"/>
      <c r="G76" s="204"/>
      <c r="H76" s="204"/>
      <c r="I76" s="204"/>
      <c r="J76" s="6"/>
      <c r="K76" s="7"/>
      <c r="L76" s="8"/>
    </row>
    <row r="77" spans="1:12" ht="9.75" customHeight="1">
      <c r="A77" s="205"/>
      <c r="B77" s="205"/>
      <c r="C77" s="205"/>
      <c r="D77" s="205"/>
      <c r="E77" s="205"/>
      <c r="F77" s="205"/>
      <c r="G77" s="205"/>
      <c r="H77" s="205"/>
      <c r="I77" s="205"/>
      <c r="J77" s="6"/>
      <c r="K77" s="7"/>
      <c r="L77" s="8"/>
    </row>
    <row r="78" spans="1:256" s="9" customFormat="1" ht="21.75" customHeight="1">
      <c r="A78" s="189" t="s">
        <v>281</v>
      </c>
      <c r="B78" s="189"/>
      <c r="C78" s="189"/>
      <c r="D78" s="189"/>
      <c r="E78" s="189"/>
      <c r="F78" s="189"/>
      <c r="G78" s="189"/>
      <c r="H78" s="189"/>
      <c r="I78" s="189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  <c r="FF78" s="206"/>
      <c r="FG78" s="206"/>
      <c r="FH78" s="206"/>
      <c r="FI78" s="206"/>
      <c r="FJ78" s="206"/>
      <c r="FK78" s="206"/>
      <c r="FL78" s="206"/>
      <c r="FM78" s="206"/>
      <c r="FN78" s="206"/>
      <c r="FO78" s="206"/>
      <c r="FP78" s="206"/>
      <c r="FQ78" s="206"/>
      <c r="FR78" s="206"/>
      <c r="FS78" s="206"/>
      <c r="FT78" s="206"/>
      <c r="FU78" s="206"/>
      <c r="FV78" s="206"/>
      <c r="FW78" s="206"/>
      <c r="FX78" s="206"/>
      <c r="FY78" s="206"/>
      <c r="FZ78" s="206"/>
      <c r="GA78" s="206"/>
      <c r="GB78" s="206"/>
      <c r="GC78" s="206"/>
      <c r="GD78" s="206"/>
      <c r="GE78" s="206"/>
      <c r="GF78" s="206"/>
      <c r="GG78" s="206"/>
      <c r="GH78" s="206"/>
      <c r="GI78" s="206"/>
      <c r="GJ78" s="206"/>
      <c r="GK78" s="206"/>
      <c r="GL78" s="206"/>
      <c r="GM78" s="206"/>
      <c r="GN78" s="206"/>
      <c r="GO78" s="206"/>
      <c r="GP78" s="206"/>
      <c r="GQ78" s="206"/>
      <c r="GR78" s="206"/>
      <c r="GS78" s="206"/>
      <c r="GT78" s="206"/>
      <c r="GU78" s="206"/>
      <c r="GV78" s="206"/>
      <c r="GW78" s="206"/>
      <c r="GX78" s="206"/>
      <c r="GY78" s="206"/>
      <c r="GZ78" s="206"/>
      <c r="HA78" s="206"/>
      <c r="HB78" s="206"/>
      <c r="HC78" s="206"/>
      <c r="HD78" s="206"/>
      <c r="HE78" s="206"/>
      <c r="HF78" s="206"/>
      <c r="HG78" s="206"/>
      <c r="HH78" s="206"/>
      <c r="HI78" s="206"/>
      <c r="HJ78" s="206"/>
      <c r="HK78" s="206"/>
      <c r="HL78" s="206"/>
      <c r="HM78" s="206"/>
      <c r="HN78" s="206"/>
      <c r="HO78" s="206"/>
      <c r="HP78" s="206"/>
      <c r="HQ78" s="206"/>
      <c r="HR78" s="206"/>
      <c r="HS78" s="206"/>
      <c r="HT78" s="206"/>
      <c r="HU78" s="206"/>
      <c r="HV78" s="206"/>
      <c r="HW78" s="206"/>
      <c r="HX78" s="206"/>
      <c r="HY78" s="206"/>
      <c r="HZ78" s="206"/>
      <c r="IA78" s="206"/>
      <c r="IB78" s="206"/>
      <c r="IC78" s="206"/>
      <c r="ID78" s="206"/>
      <c r="IE78" s="206"/>
      <c r="IF78" s="206"/>
      <c r="IG78" s="206"/>
      <c r="IH78" s="206"/>
      <c r="II78" s="206"/>
      <c r="IJ78" s="206"/>
      <c r="IK78" s="206"/>
      <c r="IL78" s="206"/>
      <c r="IM78" s="206"/>
      <c r="IN78" s="206"/>
      <c r="IO78" s="206"/>
      <c r="IP78" s="206"/>
      <c r="IQ78" s="206"/>
      <c r="IR78" s="206"/>
      <c r="IS78" s="206"/>
      <c r="IT78" s="206"/>
      <c r="IU78" s="206"/>
      <c r="IV78" s="206"/>
    </row>
    <row r="79" spans="1:9" ht="27" customHeight="1">
      <c r="A79" s="3">
        <v>1</v>
      </c>
      <c r="B79" s="187" t="s">
        <v>317</v>
      </c>
      <c r="C79" s="187"/>
      <c r="D79" s="187"/>
      <c r="E79" s="187"/>
      <c r="F79" s="187"/>
      <c r="G79" s="187"/>
      <c r="H79" s="207" t="s">
        <v>318</v>
      </c>
      <c r="I79" s="207"/>
    </row>
    <row r="80" spans="1:9" ht="19.5" customHeight="1">
      <c r="A80" s="10">
        <v>2</v>
      </c>
      <c r="B80" s="208" t="s">
        <v>319</v>
      </c>
      <c r="C80" s="208"/>
      <c r="D80" s="208"/>
      <c r="E80" s="208"/>
      <c r="F80" s="208"/>
      <c r="G80" s="208"/>
      <c r="H80" s="209" t="s">
        <v>0</v>
      </c>
      <c r="I80" s="209"/>
    </row>
    <row r="81" spans="1:9" ht="15.75" customHeight="1">
      <c r="A81" s="3">
        <v>3</v>
      </c>
      <c r="B81" s="187" t="s">
        <v>216</v>
      </c>
      <c r="C81" s="187"/>
      <c r="D81" s="187"/>
      <c r="E81" s="187"/>
      <c r="F81" s="187"/>
      <c r="G81" s="187"/>
      <c r="H81" s="210">
        <v>1881.88</v>
      </c>
      <c r="I81" s="210"/>
    </row>
    <row r="82" spans="1:9" ht="15.75" customHeight="1">
      <c r="A82" s="3">
        <v>4</v>
      </c>
      <c r="B82" s="187" t="s">
        <v>2</v>
      </c>
      <c r="C82" s="187"/>
      <c r="D82" s="187"/>
      <c r="E82" s="187"/>
      <c r="F82" s="187"/>
      <c r="G82" s="187"/>
      <c r="H82" s="211" t="s">
        <v>3</v>
      </c>
      <c r="I82" s="211"/>
    </row>
    <row r="83" spans="1:9" ht="15.75" customHeight="1">
      <c r="A83" s="3">
        <v>5</v>
      </c>
      <c r="B83" s="187" t="s">
        <v>4</v>
      </c>
      <c r="C83" s="187"/>
      <c r="D83" s="187"/>
      <c r="E83" s="187"/>
      <c r="F83" s="187"/>
      <c r="G83" s="187"/>
      <c r="H83" s="212" t="s">
        <v>148</v>
      </c>
      <c r="I83" s="212"/>
    </row>
    <row r="84" spans="1:256" ht="27" customHeight="1">
      <c r="A84" s="11">
        <v>6</v>
      </c>
      <c r="B84" s="213" t="s">
        <v>217</v>
      </c>
      <c r="C84" s="213"/>
      <c r="D84" s="213"/>
      <c r="E84" s="213"/>
      <c r="F84" s="213"/>
      <c r="G84" s="213"/>
      <c r="H84" s="214">
        <f>ROUND((H81/220),2)</f>
        <v>8.55</v>
      </c>
      <c r="I84" s="21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3.25" customHeight="1">
      <c r="A85" s="11">
        <v>7</v>
      </c>
      <c r="B85" s="213" t="s">
        <v>227</v>
      </c>
      <c r="C85" s="213"/>
      <c r="D85" s="213"/>
      <c r="E85" s="213"/>
      <c r="F85" s="213"/>
      <c r="G85" s="213"/>
      <c r="H85" s="215">
        <f>ROUND(H84*1.5,2)</f>
        <v>12.83</v>
      </c>
      <c r="I85" s="215"/>
      <c r="J85"/>
      <c r="K85">
        <f>H84+H84*0.5</f>
        <v>12.825000000000001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6.25" customHeight="1">
      <c r="A86" s="11">
        <v>8</v>
      </c>
      <c r="B86" s="213" t="s">
        <v>228</v>
      </c>
      <c r="C86" s="213"/>
      <c r="D86" s="213"/>
      <c r="E86" s="213"/>
      <c r="F86" s="213"/>
      <c r="G86" s="213"/>
      <c r="H86" s="214">
        <f>ROUND(H84*0.2,2)</f>
        <v>1.71</v>
      </c>
      <c r="I86" s="21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6.5" customHeight="1">
      <c r="A87" s="11">
        <v>9</v>
      </c>
      <c r="B87" s="213" t="s">
        <v>220</v>
      </c>
      <c r="C87" s="213"/>
      <c r="D87" s="213"/>
      <c r="E87" s="213"/>
      <c r="F87" s="213"/>
      <c r="G87" s="213"/>
      <c r="H87" s="214">
        <f>ROUND(H84/6,2)</f>
        <v>1.43</v>
      </c>
      <c r="I87" s="21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>
      <c r="A88" s="11">
        <v>10</v>
      </c>
      <c r="B88" s="216" t="s">
        <v>8</v>
      </c>
      <c r="C88" s="216"/>
      <c r="D88" s="216"/>
      <c r="E88" s="216"/>
      <c r="F88" s="216"/>
      <c r="G88" s="216"/>
      <c r="H88" s="217">
        <v>2</v>
      </c>
      <c r="I88" s="217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9" ht="9" customHeight="1">
      <c r="A89" s="203"/>
      <c r="B89" s="203"/>
      <c r="C89" s="203"/>
      <c r="D89" s="203"/>
      <c r="E89" s="203"/>
      <c r="F89" s="203"/>
      <c r="G89" s="203"/>
      <c r="H89" s="203"/>
      <c r="I89" s="203"/>
    </row>
    <row r="90" spans="1:9" ht="21.75" customHeight="1">
      <c r="A90" s="218" t="s">
        <v>9</v>
      </c>
      <c r="B90" s="218"/>
      <c r="C90" s="218"/>
      <c r="D90" s="218"/>
      <c r="E90" s="218"/>
      <c r="F90" s="218"/>
      <c r="G90" s="218"/>
      <c r="H90" s="218"/>
      <c r="I90" s="218"/>
    </row>
    <row r="91" spans="1:9" ht="9" customHeight="1">
      <c r="A91" s="219"/>
      <c r="B91" s="219"/>
      <c r="C91" s="219"/>
      <c r="D91" s="219"/>
      <c r="E91" s="219"/>
      <c r="F91" s="219"/>
      <c r="G91" s="219"/>
      <c r="H91" s="219"/>
      <c r="I91" s="219"/>
    </row>
    <row r="92" spans="1:11" ht="20.25" customHeight="1">
      <c r="A92" s="482" t="s">
        <v>229</v>
      </c>
      <c r="B92" s="482"/>
      <c r="C92" s="482"/>
      <c r="D92" s="482"/>
      <c r="E92" s="482"/>
      <c r="F92" s="482"/>
      <c r="G92" s="482"/>
      <c r="H92" s="482"/>
      <c r="I92" s="482"/>
      <c r="K92" s="1">
        <f>1447.6*0.3</f>
        <v>434.28</v>
      </c>
    </row>
    <row r="93" spans="1:11" s="15" customFormat="1" ht="39" customHeight="1">
      <c r="A93" s="111">
        <v>1</v>
      </c>
      <c r="B93" s="483" t="s">
        <v>222</v>
      </c>
      <c r="C93" s="483"/>
      <c r="D93" s="483"/>
      <c r="E93" s="483"/>
      <c r="F93" s="483"/>
      <c r="G93" s="483"/>
      <c r="H93" s="14" t="s">
        <v>12</v>
      </c>
      <c r="I93" s="111" t="s">
        <v>13</v>
      </c>
      <c r="K93" s="15">
        <f>K92+1447.6</f>
        <v>1881.8799999999999</v>
      </c>
    </row>
    <row r="94" spans="1:9" ht="22.5" customHeight="1">
      <c r="A94" s="118" t="s">
        <v>292</v>
      </c>
      <c r="B94" s="187" t="s">
        <v>230</v>
      </c>
      <c r="C94" s="187"/>
      <c r="D94" s="187"/>
      <c r="E94" s="187"/>
      <c r="F94" s="187"/>
      <c r="G94" s="187"/>
      <c r="H94" s="187"/>
      <c r="I94" s="113">
        <f>H81</f>
        <v>1881.88</v>
      </c>
    </row>
    <row r="95" spans="1:10" ht="35.25" customHeight="1">
      <c r="A95" s="118" t="s">
        <v>294</v>
      </c>
      <c r="B95" s="316" t="s">
        <v>231</v>
      </c>
      <c r="C95" s="187"/>
      <c r="D95" s="187"/>
      <c r="E95" s="187"/>
      <c r="F95" s="187"/>
      <c r="G95" s="187"/>
      <c r="H95" s="187"/>
      <c r="I95" s="119">
        <f>ROUND(7*15*H86*1.2,2)</f>
        <v>215.46</v>
      </c>
      <c r="J95" s="120">
        <f>I43</f>
        <v>219.55</v>
      </c>
    </row>
    <row r="96" spans="1:10" ht="54.75" customHeight="1">
      <c r="A96" s="118" t="s">
        <v>297</v>
      </c>
      <c r="B96" s="208" t="s">
        <v>232</v>
      </c>
      <c r="C96" s="208"/>
      <c r="D96" s="208"/>
      <c r="E96" s="208"/>
      <c r="F96" s="208"/>
      <c r="G96" s="208"/>
      <c r="H96" s="208"/>
      <c r="I96" s="119">
        <f>ROUND(H84*1*1.2*15*1.2,2)</f>
        <v>184.68</v>
      </c>
      <c r="J96" s="120">
        <f>I44</f>
        <v>188.19</v>
      </c>
    </row>
    <row r="97" spans="1:9" ht="26.25" customHeight="1">
      <c r="A97" s="118"/>
      <c r="B97" s="491" t="s">
        <v>237</v>
      </c>
      <c r="C97" s="492"/>
      <c r="D97" s="492"/>
      <c r="E97" s="492"/>
      <c r="F97" s="492"/>
      <c r="G97" s="492"/>
      <c r="H97" s="409"/>
      <c r="I97" s="16"/>
    </row>
    <row r="98" spans="1:12" ht="19.5" customHeight="1">
      <c r="A98" s="3"/>
      <c r="B98" s="488" t="s">
        <v>226</v>
      </c>
      <c r="C98" s="489"/>
      <c r="D98" s="489"/>
      <c r="E98" s="489"/>
      <c r="F98" s="489"/>
      <c r="G98" s="489"/>
      <c r="H98" s="490"/>
      <c r="I98" s="117">
        <f>I95+I96</f>
        <v>400.14</v>
      </c>
      <c r="L98" s="19"/>
    </row>
    <row r="99" spans="1:9" ht="15.75" customHeight="1">
      <c r="A99" s="484"/>
      <c r="B99" s="484"/>
      <c r="C99" s="484"/>
      <c r="D99" s="484"/>
      <c r="E99" s="484"/>
      <c r="F99" s="484"/>
      <c r="G99" s="484"/>
      <c r="H99" s="484"/>
      <c r="I99" s="20"/>
    </row>
    <row r="100" spans="1:9" ht="7.5" customHeight="1">
      <c r="A100" s="235"/>
      <c r="B100" s="235"/>
      <c r="C100" s="235"/>
      <c r="D100" s="235"/>
      <c r="E100" s="235"/>
      <c r="F100" s="235"/>
      <c r="G100" s="235"/>
      <c r="H100" s="235"/>
      <c r="I100" s="235"/>
    </row>
    <row r="101" spans="1:9" ht="15.75" customHeight="1">
      <c r="A101" s="281"/>
      <c r="B101" s="281"/>
      <c r="C101" s="281"/>
      <c r="D101" s="281"/>
      <c r="E101" s="281"/>
      <c r="F101" s="281"/>
      <c r="G101" s="281"/>
      <c r="H101" s="281"/>
      <c r="I101" s="281"/>
    </row>
    <row r="102" ht="19.5" customHeight="1"/>
    <row r="103" ht="8.25" customHeight="1"/>
    <row r="104" ht="31.5" customHeight="1"/>
    <row r="105" ht="8.25" customHeight="1"/>
    <row r="106" ht="29.25" customHeight="1"/>
    <row r="107" ht="6.75" customHeight="1"/>
    <row r="108" ht="24" customHeight="1"/>
    <row r="110" ht="12.75" customHeight="1"/>
    <row r="111" ht="12.75" customHeight="1"/>
    <row r="112" ht="15" customHeight="1"/>
    <row r="113" ht="12" hidden="1"/>
    <row r="114" ht="6.75" customHeight="1"/>
    <row r="115" ht="12.75" customHeight="1" hidden="1"/>
    <row r="116" ht="15" customHeight="1"/>
    <row r="117" ht="12.75" customHeight="1"/>
    <row r="118" ht="12.75" customHeight="1"/>
    <row r="128" ht="12.75" customHeight="1"/>
  </sheetData>
  <sheetProtection/>
  <mergeCells count="223">
    <mergeCell ref="A101:I101"/>
    <mergeCell ref="A99:H99"/>
    <mergeCell ref="A100:I100"/>
    <mergeCell ref="B95:H95"/>
    <mergeCell ref="B96:H96"/>
    <mergeCell ref="B97:H97"/>
    <mergeCell ref="B98:H98"/>
    <mergeCell ref="A89:I89"/>
    <mergeCell ref="A90:I90"/>
    <mergeCell ref="A91:I91"/>
    <mergeCell ref="A92:I92"/>
    <mergeCell ref="B93:G93"/>
    <mergeCell ref="B94:H94"/>
    <mergeCell ref="B86:G86"/>
    <mergeCell ref="H86:I86"/>
    <mergeCell ref="B87:G87"/>
    <mergeCell ref="H87:I87"/>
    <mergeCell ref="B88:G88"/>
    <mergeCell ref="H88:I88"/>
    <mergeCell ref="B83:G83"/>
    <mergeCell ref="H83:I83"/>
    <mergeCell ref="B84:G84"/>
    <mergeCell ref="H84:I84"/>
    <mergeCell ref="B85:G85"/>
    <mergeCell ref="H85:I85"/>
    <mergeCell ref="B80:G80"/>
    <mergeCell ref="H80:I80"/>
    <mergeCell ref="B81:G81"/>
    <mergeCell ref="H81:I81"/>
    <mergeCell ref="B82:G82"/>
    <mergeCell ref="H82:I82"/>
    <mergeCell ref="HY78:IF78"/>
    <mergeCell ref="IG78:IN78"/>
    <mergeCell ref="IO78:IV78"/>
    <mergeCell ref="B79:G79"/>
    <mergeCell ref="H79:I79"/>
    <mergeCell ref="GS78:GZ78"/>
    <mergeCell ref="HA78:HH78"/>
    <mergeCell ref="HI78:HP78"/>
    <mergeCell ref="HQ78:HX78"/>
    <mergeCell ref="FM78:FT78"/>
    <mergeCell ref="FU78:GB78"/>
    <mergeCell ref="GC78:GJ78"/>
    <mergeCell ref="GK78:GR78"/>
    <mergeCell ref="EG78:EN78"/>
    <mergeCell ref="EO78:EV78"/>
    <mergeCell ref="EW78:FD78"/>
    <mergeCell ref="FE78:FL78"/>
    <mergeCell ref="CK78:CR78"/>
    <mergeCell ref="CS78:CZ78"/>
    <mergeCell ref="DA78:DH78"/>
    <mergeCell ref="DI78:DP78"/>
    <mergeCell ref="DQ78:DX78"/>
    <mergeCell ref="DY78:EF78"/>
    <mergeCell ref="AO78:AV78"/>
    <mergeCell ref="AW78:BD78"/>
    <mergeCell ref="BE78:BL78"/>
    <mergeCell ref="BM78:BT78"/>
    <mergeCell ref="BU78:CB78"/>
    <mergeCell ref="CC78:CJ78"/>
    <mergeCell ref="A77:I77"/>
    <mergeCell ref="A78:I78"/>
    <mergeCell ref="J78:P78"/>
    <mergeCell ref="Q78:X78"/>
    <mergeCell ref="Y78:AF78"/>
    <mergeCell ref="AG78:AN78"/>
    <mergeCell ref="A72:G72"/>
    <mergeCell ref="H72:I72"/>
    <mergeCell ref="A73:I73"/>
    <mergeCell ref="A74:I74"/>
    <mergeCell ref="A75:I75"/>
    <mergeCell ref="A76:I76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A66:E66"/>
    <mergeCell ref="F66:G66"/>
    <mergeCell ref="H66:I66"/>
    <mergeCell ref="A67:E67"/>
    <mergeCell ref="F67:G67"/>
    <mergeCell ref="H67:I67"/>
    <mergeCell ref="B63:G63"/>
    <mergeCell ref="H63:I63"/>
    <mergeCell ref="A64:I64"/>
    <mergeCell ref="A65:E65"/>
    <mergeCell ref="F65:G65"/>
    <mergeCell ref="H65:I65"/>
    <mergeCell ref="B60:G60"/>
    <mergeCell ref="H60:I60"/>
    <mergeCell ref="B61:G61"/>
    <mergeCell ref="H61:I61"/>
    <mergeCell ref="B62:G62"/>
    <mergeCell ref="H62:I62"/>
    <mergeCell ref="A56:E56"/>
    <mergeCell ref="F56:I56"/>
    <mergeCell ref="A57:E57"/>
    <mergeCell ref="F57:I57"/>
    <mergeCell ref="A58:I58"/>
    <mergeCell ref="A59:I59"/>
    <mergeCell ref="B51:G51"/>
    <mergeCell ref="B52:H52"/>
    <mergeCell ref="A49:H49"/>
    <mergeCell ref="A50:I50"/>
    <mergeCell ref="A54:I54"/>
    <mergeCell ref="A55:I55"/>
    <mergeCell ref="A47:H47"/>
    <mergeCell ref="A48:I48"/>
    <mergeCell ref="B43:H43"/>
    <mergeCell ref="B44:H44"/>
    <mergeCell ref="B45:H45"/>
    <mergeCell ref="B46:H46"/>
    <mergeCell ref="A37:I37"/>
    <mergeCell ref="A38:I38"/>
    <mergeCell ref="A39:I39"/>
    <mergeCell ref="A40:I40"/>
    <mergeCell ref="B41:G41"/>
    <mergeCell ref="B42:H42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FU26:GB26"/>
    <mergeCell ref="GC26:GJ26"/>
    <mergeCell ref="GK26:GR26"/>
    <mergeCell ref="EG26:EN26"/>
    <mergeCell ref="EO26:EV26"/>
    <mergeCell ref="EW26:FD26"/>
    <mergeCell ref="FE26:FL26"/>
    <mergeCell ref="CK26:CR26"/>
    <mergeCell ref="CS26:CZ26"/>
    <mergeCell ref="DA26:DH26"/>
    <mergeCell ref="DI26:DP26"/>
    <mergeCell ref="DQ26:DX26"/>
    <mergeCell ref="DY26:EF26"/>
    <mergeCell ref="AO26:AV26"/>
    <mergeCell ref="AW26:BD26"/>
    <mergeCell ref="BE26:BL26"/>
    <mergeCell ref="BM26:BT26"/>
    <mergeCell ref="BU26:CB26"/>
    <mergeCell ref="CC26:CJ26"/>
    <mergeCell ref="A25:I25"/>
    <mergeCell ref="A26:I26"/>
    <mergeCell ref="J26:P26"/>
    <mergeCell ref="Q26:X26"/>
    <mergeCell ref="Y26:AF26"/>
    <mergeCell ref="AG26:AN26"/>
    <mergeCell ref="A20:G20"/>
    <mergeCell ref="H20:I20"/>
    <mergeCell ref="A21:I21"/>
    <mergeCell ref="A22:I22"/>
    <mergeCell ref="A23:I23"/>
    <mergeCell ref="A24:I24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B10:G10"/>
    <mergeCell ref="H10:I10"/>
    <mergeCell ref="B11:G11"/>
    <mergeCell ref="H11:I11"/>
    <mergeCell ref="A12:I12"/>
    <mergeCell ref="A13:E13"/>
    <mergeCell ref="F13:G13"/>
    <mergeCell ref="H13:I13"/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08013780015</dc:creator>
  <cp:keywords/>
  <dc:description/>
  <cp:lastModifiedBy>usuario</cp:lastModifiedBy>
  <cp:lastPrinted>2019-10-09T11:30:46Z</cp:lastPrinted>
  <dcterms:created xsi:type="dcterms:W3CDTF">2019-03-25T16:52:57Z</dcterms:created>
  <dcterms:modified xsi:type="dcterms:W3CDTF">2019-12-02T18:49:39Z</dcterms:modified>
  <cp:category/>
  <cp:version/>
  <cp:contentType/>
  <cp:contentStatus/>
</cp:coreProperties>
</file>