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igilância 18h-6h" sheetId="1" r:id="rId4"/>
  </sheets>
  <definedNames/>
  <calcPr/>
</workbook>
</file>

<file path=xl/sharedStrings.xml><?xml version="1.0" encoding="utf-8"?>
<sst xmlns="http://schemas.openxmlformats.org/spreadsheetml/2006/main" count="527" uniqueCount="354">
  <si>
    <t xml:space="preserve">PLANILHA DE CUSTOS E FORMAÇÃO DE PREÇO - SERVIÇO DE VIGILÂNCIA PATRIMONIAL </t>
  </si>
  <si>
    <t xml:space="preserve">Esta planilha de custos e formação de preço deve ser utilizada como ferramenta de apoio, não só na estimativa de custo da contratação, como também para apresentação e análise das propostas na fase de pregão e nas prorrogações e alterações/atualizações contratuais. Para tanto, foi elaborada com base na metodologia Seges (MP), utilizando-se de fórmulas automatizadas, em conformidade com as disposições da CLT e CCT, as quais, para minimizar o risco de equívocos no cômputo das previsões financeiras, não devem ser alteradas.
Dúvidas sobre a metodologia de cálculo poderão ser esclarecidas com a leitura das seguintes publicações disponíveis no Portal de Compras do Governo Federal: </t>
  </si>
  <si>
    <t>Estudo sobre a Composição dos Custos dos Valores Limites Serviços de Vigilância - Estado do Rio Grande do Sul (ed. 2019)</t>
  </si>
  <si>
    <t>Orientação sobre os valores limites referenciais de 2020</t>
  </si>
  <si>
    <t>Extinção da Contribuição Social de 10% sobre o FGTS e os contratos administrativos</t>
  </si>
  <si>
    <t>Impactos da reforma trabalhista nos contratos da Administração</t>
  </si>
  <si>
    <t>PCFP - Conceitos e metodologia aplicáveis para a contratação de serviços com dedicação exclusiva de mão de obra.</t>
  </si>
  <si>
    <t>Nota Informativa sobre o Submódulo 2.1 da Planilha de Custos com Mão de Obra</t>
  </si>
  <si>
    <t>COMPOSIÇÃO DO SERVIÇO CONTRATADO</t>
  </si>
  <si>
    <t xml:space="preserve">Em consonância com a descrição da solução e estimativas de quantidades contratadas trazidas nos tópicos 6 e 7 do Estudo Técnico Preliminar. </t>
  </si>
  <si>
    <t>COMPOSIÇÃO MENSAL DO SERVIÇO DE VIGILÂNCIA PATRIMONIAL</t>
  </si>
  <si>
    <t>Descrição dos Serviços</t>
  </si>
  <si>
    <t>Unidade de Fornecimento</t>
  </si>
  <si>
    <t>Quantidade Demandada</t>
  </si>
  <si>
    <t>Nº de Profissionais
por Posto</t>
  </si>
  <si>
    <t>Total de Profissionais Necessários</t>
  </si>
  <si>
    <r>
      <rPr>
        <rFont val="Calibri"/>
        <b/>
        <color theme="1"/>
        <sz val="10.0"/>
      </rPr>
      <t xml:space="preserve">Vigilância Ostensiva Armada DIURNA - Escala 12x36. </t>
    </r>
    <r>
      <rPr>
        <rFont val="Calibri"/>
        <color theme="1"/>
        <sz val="10.0"/>
      </rPr>
      <t>Posto fixo, na sede da contratante, de forma ininterrupta das 06h às 18h, de segunda-feira a domingo, e contínua, por 12 meses consecutivos. Envolve 2 (dois) vigilantes por posto, revezando-se em escala de 12 horas de trabalho por 36 horas de descanso, com intervalo intrajornada indenizado.</t>
    </r>
  </si>
  <si>
    <t>Posto</t>
  </si>
  <si>
    <r>
      <rPr>
        <rFont val="Calibri"/>
        <b/>
        <color theme="1"/>
        <sz val="10.0"/>
      </rPr>
      <t xml:space="preserve">Vigilância Ostensiva Armada NOTURNA - Escala 12x36. </t>
    </r>
    <r>
      <rPr>
        <rFont val="Calibri"/>
        <color theme="1"/>
        <sz val="10.0"/>
      </rPr>
      <t>Posto fixo, na sede da contratante, de forma ininterrupta das 18h às 06h, de segunda-feira a domingo, e contínua, por 12 meses consecutivos. Envolve 2 (dois) vigilantes por posto, revezando-se em escala de 12 horas de trabalho por 36 horas de descanso, com intervalo intrajornada indenizado.</t>
    </r>
  </si>
  <si>
    <t>Total de Profissionais Dedicados Exclusivamente ao Serviço:</t>
  </si>
  <si>
    <r>
      <rPr>
        <rFont val="Calibri"/>
        <b/>
        <color theme="1"/>
        <sz val="10.0"/>
      </rPr>
      <t>Nº de Encarregados (1/40</t>
    </r>
    <r>
      <rPr>
        <rFont val="Calibri"/>
        <b/>
        <color rgb="FFFF0000"/>
        <sz val="10.0"/>
      </rPr>
      <t xml:space="preserve"> vigilantes</t>
    </r>
    <r>
      <rPr>
        <rFont val="Calibri"/>
        <b/>
        <color theme="1"/>
        <sz val="10.0"/>
      </rPr>
      <t>):</t>
    </r>
  </si>
  <si>
    <t>Total de Profissionais Envolvidos Rotineiramente no Serviço:</t>
  </si>
  <si>
    <t>CUSTOS COM MÃO DE OBRA</t>
  </si>
  <si>
    <t>A estimativa de custos relacionados à mão de obra alocada na prestação dos serviços compreende as obrigações trabalhistas e previdenciárias previstas na Consolidação das Leis do Trabalho - CLT e das Convenções Coletivas de Trabalho - CCT (sendo válidos, ainda, os acordos e dissídios coletivos), atualizadas pelas Leis n° 13.467/2017 e 13.932/2019.</t>
  </si>
  <si>
    <t>MÓDULO 1 - COMPOSIÇÃO DA REMUNERAÇÃO MENSAL (POR PESSOA)</t>
  </si>
  <si>
    <t>A remuneração, conforme definição do art. 457 da Consolidação das Leis do Trabalho, é composta por Salário Base, adicionais (de hora extra, de trabalho noturno, de insalubridade ou periculosidade, etc.) e gratificações, quando houver.</t>
  </si>
  <si>
    <t>SUBMÓDULO 1.1 – VERBAS DE NATUREZA SALARIAL (REMUNERAÇÃO BÁSICA)</t>
  </si>
  <si>
    <t>Verbas de natureza salarial ou remuneratório, pagas em contraprestação do serviço, que compõem a parcela da remuneração mensal sobre a qual incidem as alíquotas de pagamento de INSS e FGTS, bem como de provisionamento de Férias e 13º Salário.</t>
  </si>
  <si>
    <t>SALÁRIO BASE POR CARGO EXIGIDO</t>
  </si>
  <si>
    <r>
      <rPr>
        <rFont val="Calibri"/>
        <color rgb="FF0000FF"/>
        <sz val="10.0"/>
      </rPr>
      <t xml:space="preserve">¹ Convenção Coletiva de Trabalho que regula a atuação da categoria no município onde será prestado o serviço.
² Salário mensal pleno (ou integral), que remunera 220h (30 dias de 7h20min, do quais 26 dias de efetivo trabalho e 4 dias de DSRF). Deve ser igual ou superior ao estabelecido na Convenção Coletiva de Trabalho vigente para a categoria, com abrangência no município de prestação do serviço.
³ Pacificado no Tribunal Superior do Trabalho como sendo o divisor 220h aplicável nos postos de 12x36 o correto conforme Acórdão firmado pelos Ministros da 7º Turma do TST, por unanimidade, no Processo nº TST-RR-1744-77.2011.5.09.0322(link is external)
</t>
    </r>
    <r>
      <rPr>
        <rFont val="Calibri"/>
        <color rgb="FF0000FF"/>
        <sz val="10.0"/>
        <u/>
      </rPr>
      <t>Memória de Cálculo - Salário Hora Normal:</t>
    </r>
    <r>
      <rPr>
        <rFont val="Calibri"/>
        <color rgb="FF0000FF"/>
        <sz val="10.0"/>
      </rPr>
      <t xml:space="preserve"> salário base / 220 = salário hora normal
</t>
    </r>
    <r>
      <rPr>
        <rFont val="Calibri"/>
        <color rgb="FF0000FF"/>
        <sz val="10.0"/>
        <u/>
      </rPr>
      <t>Memória de Cálculo - Hora Extra</t>
    </r>
    <r>
      <rPr>
        <rFont val="Calibri"/>
        <color rgb="FF0000FF"/>
        <sz val="10.0"/>
      </rPr>
      <t>:</t>
    </r>
    <r>
      <rPr>
        <rFont val="Calibri"/>
        <b/>
        <color rgb="FF0000FF"/>
        <sz val="10.0"/>
      </rPr>
      <t xml:space="preserve"> </t>
    </r>
    <r>
      <rPr>
        <rFont val="Calibri"/>
        <color rgb="FF0000FF"/>
        <sz val="10.0"/>
      </rPr>
      <t xml:space="preserve">(salário base / 220) x 1,5 = hora extra normal
</t>
    </r>
    <r>
      <rPr>
        <rFont val="Calibri"/>
        <color rgb="FF0000FF"/>
        <sz val="10.0"/>
        <u/>
      </rPr>
      <t>Memória de Cálculo - Hora DSRF</t>
    </r>
    <r>
      <rPr>
        <rFont val="Calibri"/>
        <color rgb="FF0000FF"/>
        <sz val="10.0"/>
      </rPr>
      <t>: (salário base / 220) x 1,3 = hora DSRF</t>
    </r>
  </si>
  <si>
    <t>Cargo (CBO)</t>
  </si>
  <si>
    <t>Regulado por¹</t>
  </si>
  <si>
    <t>Salário Base²</t>
  </si>
  <si>
    <t>Divisor³ Normativo</t>
  </si>
  <si>
    <t>Salário Hora Normal</t>
  </si>
  <si>
    <t>Hora Extra</t>
  </si>
  <si>
    <t>Hora DSRF</t>
  </si>
  <si>
    <t>Vigilante (5173-30)</t>
  </si>
  <si>
    <t>CCT RS003993/2021</t>
  </si>
  <si>
    <t xml:space="preserve"> ADICIONAL NOTURNO</t>
  </si>
  <si>
    <r>
      <rPr>
        <rFont val="Calibri"/>
        <color rgb="FF0000FF"/>
        <sz val="10.0"/>
      </rPr>
      <t xml:space="preserve">¹ O adicional noturno é computado na jornada de trabalho que transcorre entre as 22:00 de um dia e as 05:00 do dia seguinte, considerando-se na contagem as horas normais trabalhadas, incluídas as horas diurnas consecutivas, vide Súmula nº 60, II, do TST. Para a jornada contratada (18:00 às 06:00) computa-se, então, um total de 8h normais trabalhadas à noite: 7h das 22:00 às 05:00 + 1 das 05:00 às 06:00.
²  O adicional noturno é calculado, no percentual de 20%, sobre o salário hora normal, conforme previsto no §1º do art. 73 da CLT, bem como na cláusula 27ª da CCT.
</t>
    </r>
    <r>
      <rPr>
        <rFont val="Calibri"/>
        <color rgb="FF0000FF"/>
        <sz val="10.0"/>
        <u/>
      </rPr>
      <t>Memória de Cálculo</t>
    </r>
    <r>
      <rPr>
        <rFont val="Calibri"/>
        <color rgb="FF0000FF"/>
        <sz val="10.0"/>
      </rPr>
      <t xml:space="preserve">: total de horas trabalhadas após as 22h </t>
    </r>
    <r>
      <rPr>
        <rFont val="Calibri"/>
        <i/>
        <color rgb="FF0000FF"/>
        <sz val="10.0"/>
      </rPr>
      <t>x</t>
    </r>
    <r>
      <rPr>
        <rFont val="Calibri"/>
        <color rgb="FF0000FF"/>
        <sz val="10.0"/>
      </rPr>
      <t xml:space="preserve"> adicional noturno hora </t>
    </r>
    <r>
      <rPr>
        <rFont val="Calibri"/>
        <i/>
        <color rgb="FF0000FF"/>
        <sz val="10.0"/>
      </rPr>
      <t>x</t>
    </r>
    <r>
      <rPr>
        <rFont val="Calibri"/>
        <color rgb="FF0000FF"/>
        <sz val="10.0"/>
      </rPr>
      <t xml:space="preserve"> total de dias trabalhados no mês = valor mensal do adicional noturno</t>
    </r>
  </si>
  <si>
    <t>Cargo - Escala e Posto</t>
  </si>
  <si>
    <t>Horas Normais Noturnas¹</t>
  </si>
  <si>
    <t>Base de cálculo²</t>
  </si>
  <si>
    <t>Percentual³</t>
  </si>
  <si>
    <t>Adicional Noturno Hora</t>
  </si>
  <si>
    <t>Total de Dias Trabalhados</t>
  </si>
  <si>
    <t>Valor Mensal
do Adicional Noturno</t>
  </si>
  <si>
    <t>Vigilante (5173-30) - Escala 12x36 DIURNO (sem intervalo)</t>
  </si>
  <si>
    <t>Vigilante (5173-30) - Escala 12x36 NOTURNO (sem intervalo)</t>
  </si>
  <si>
    <t>HORA NOTURNA REDUZIDA (EXTRA)</t>
  </si>
  <si>
    <r>
      <rPr>
        <rFont val="Calibri"/>
        <color rgb="FF0000FF"/>
        <sz val="10.0"/>
      </rPr>
      <t xml:space="preserve">¹ A hora noturna reduzida, de 52min30s, embora seja computada como no Adicional Noturno, deve ter seu custo calculado à parte, conforme preconiza a Súmula nº 91 do TST. Então, para a jornada contratada (18:00 às 06:00) computa-se um total de 8h (oito horas) trabalhadas sendo 7h (sete horas) das 22:00 às 05:00 e 1h (uma hora) das 05:00 às 06:00.
² Para o cálculo do total de horas noturnas reduzidas, apura-se o número de horas normais trabalhadas nesse período (das 22:00 até o fim da jornada) e multiplica-se por 14,285% (relação de proporção entre os 60min da hora normal e os fictos 52,5min da hora noturna), chegando ao número de horas noturnas reduzidas que devem ser pagas como extra, por dia de trabalho.
³  A hora noturna reduzida é paga como extra, com acréscimo de 50% sobre o valor do salário hora normal.
</t>
    </r>
    <r>
      <rPr>
        <rFont val="Calibri"/>
        <color rgb="FF0000FF"/>
        <sz val="10.0"/>
        <u/>
      </rPr>
      <t>Memória de Cálculo</t>
    </r>
    <r>
      <rPr>
        <rFont val="Calibri"/>
        <color rgb="FF0000FF"/>
        <sz val="10.0"/>
      </rPr>
      <t xml:space="preserve">: (total de horas trabalhadas após as 22h </t>
    </r>
    <r>
      <rPr>
        <rFont val="Calibri"/>
        <i/>
        <color rgb="FF0000FF"/>
        <sz val="10.0"/>
      </rPr>
      <t>x</t>
    </r>
    <r>
      <rPr>
        <rFont val="Calibri"/>
        <color rgb="FF0000FF"/>
        <sz val="10.0"/>
      </rPr>
      <t xml:space="preserve"> 0,14285) </t>
    </r>
    <r>
      <rPr>
        <rFont val="Calibri"/>
        <i/>
        <color rgb="FF0000FF"/>
        <sz val="10.0"/>
      </rPr>
      <t>x</t>
    </r>
    <r>
      <rPr>
        <rFont val="Calibri"/>
        <color rgb="FF0000FF"/>
        <sz val="10.0"/>
      </rPr>
      <t xml:space="preserve"> hora extra </t>
    </r>
    <r>
      <rPr>
        <rFont val="Calibri"/>
        <i/>
        <color rgb="FF0000FF"/>
        <sz val="10.0"/>
      </rPr>
      <t>x</t>
    </r>
    <r>
      <rPr>
        <rFont val="Calibri"/>
        <color rgb="FF0000FF"/>
        <sz val="10.0"/>
      </rPr>
      <t xml:space="preserve"> total de dias trabalhados no mês = valor mensal do adicional de hora noturna reduzida</t>
    </r>
  </si>
  <si>
    <t>Horas Noturnas Reduzidas²</t>
  </si>
  <si>
    <t>Base de cálculo³</t>
  </si>
  <si>
    <t>Valor Mensal da Hora Noturna Reduzida</t>
  </si>
  <si>
    <t>REFLEXO DE ADICIONAIS NOTURNOS EM DSRF</t>
  </si>
  <si>
    <r>
      <rPr>
        <rFont val="Calibri"/>
        <color rgb="FF0000FF"/>
        <sz val="10.0"/>
      </rPr>
      <t xml:space="preserve">A integração dos adicionais noturnos habituais em Repousos Semanais e Feriados, a que estão obrigadas as empresas contratantes, deve ser feita, mensalmente, na razão de 25 por 5 do valor pago a título de adicionais noturnos, independentemente da quantidade de repousos semanais e feriados que houverem a cada mês.
¹ A base de cálculo para o o reflexo dos adicionais noturnos em DSRF é a soma dos valores mensais percebidos a título de Adicional Noturno e Hora Noturna Reduzida, paga como extra.
² O valor desse reflexo é calculado na razão de 5 por 25, equivalente a 20% (vinte por cento).
</t>
    </r>
    <r>
      <rPr>
        <rFont val="Calibri"/>
        <color rgb="FF0000FF"/>
        <sz val="10.0"/>
        <u/>
      </rPr>
      <t>Memória de Cálculo</t>
    </r>
    <r>
      <rPr>
        <rFont val="Calibri"/>
        <color rgb="FF0000FF"/>
        <sz val="10.0"/>
      </rPr>
      <t>: (valor mensal do adicional noturno + valor mensal da hora noturna reduzida) x 20% = valor mensal do reflexo dos adicionais noturnos no DSRF</t>
    </r>
  </si>
  <si>
    <t>Base de cálculo¹</t>
  </si>
  <si>
    <t>Percentual²</t>
  </si>
  <si>
    <t>Valor Mensal do 
Reflexo DSRF</t>
  </si>
  <si>
    <t>ADICIONAL DE PERICULOSIDADE</t>
  </si>
  <si>
    <r>
      <rPr>
        <rFont val="Calibri"/>
        <color rgb="FF0000FF"/>
        <sz val="10.0"/>
      </rPr>
      <t xml:space="preserve">¹ Existem critérios distintos quanto à forma de pagamento do adicional de periculosidade, entretanto, independentemente de como o pagamento será efetuado, o adicional de periculosidade incidirá exclusivamente sobre as seguintes parcelas: salário mensal, DSR, horas extras, horas laboradas em Feriados sem folga compensatória, horas reduzidas noturnas e adicionais noturnos.
² Alíquota condizente com a natureza do serviço prestado, definida de acordo com o art. 192 da CLT e Cláusula Vigésima Nona da CCT RS003993/2021.
</t>
    </r>
    <r>
      <rPr>
        <rFont val="Calibri"/>
        <color rgb="FF0000FF"/>
        <sz val="10.0"/>
        <u/>
      </rPr>
      <t>Memória de Cálculo</t>
    </r>
    <r>
      <rPr>
        <rFont val="Calibri"/>
        <color rgb="FF0000FF"/>
        <sz val="10.0"/>
      </rPr>
      <t>: (salário normativo + adicional noturno + hora noturna reduzida) x percentual legal = valor mensal do adicional de periculosidade.</t>
    </r>
  </si>
  <si>
    <t>Adicional de Periculosidade Hora</t>
  </si>
  <si>
    <t>Salário-hora COM Periculosidade</t>
  </si>
  <si>
    <t>Custo Adicional de Periculosidade</t>
  </si>
  <si>
    <t>QUADRO-RESUMO: SUBMÓDULO 1.1 – VERBAS DE NATUREZA SALARIAL (REMUNERAÇÃO BÁSICA)</t>
  </si>
  <si>
    <t>Salário Normativo</t>
  </si>
  <si>
    <t>Adicional Noturno</t>
  </si>
  <si>
    <t>Hora Noturna Reduzida</t>
  </si>
  <si>
    <t>Reflexos sobre o DSRF</t>
  </si>
  <si>
    <t>Adicional de Periculosidade</t>
  </si>
  <si>
    <t>Total Mensal da Remuneração Básica</t>
  </si>
  <si>
    <t>SUBMÓDULO 1.2 – VERBAS DE NATUREZA INDENIZATÓRIA E COMPENSATÓRIA</t>
  </si>
  <si>
    <t>ADICIONAL DE TROCA DE UNIFORME</t>
  </si>
  <si>
    <r>
      <rPr>
        <rFont val="Calibri"/>
        <color rgb="FF0000FF"/>
        <sz val="10.0"/>
      </rPr>
      <t xml:space="preserve">É a indenização pelo tempo total necessário para colocação e retirada do uniforme para vigilantes, numa jornada de trabalho, fixado em 10 minutos por dia de efetivo serviço, remunerados na razão de 1/6 (um sexto) do valor da hora normal do vigilante. Não se confunde com o eventual tempo de rendição do colega fora de sua jornada de trabalho, com a prestação de horas extras, propriamente ditas e nem com o tempo previsto pelo inciso § 1º do artigo 58 da CLT, limitando-se a remunerar, tão e somente, o tempo de troca de uniforme, compreendendo-se este como aquele em que o vigilante coloca ou retira o seu uniforme de trabalho.
¹ A base de cálculo é, conforme determinação do Departamento de Normas e Sistemas de Logística do MP, o salário-hora normal da categoria, sem incidência sobre os adicionais (noturno, periculosidade ou insalubridade), salvo quando houver disposição em sentido contrário na CCT local.
² Em consonância com o disposto no Caderno Técnico Seges/MP de 2019, como não há previsão na CCT RS RS003993/2021 para a gratificação de função de Encarregado, utiliza-se aqui o percentual de gratificação determinado pelo Departamento de Normas e Sistemas de Logística no referido caderno, equivalente à média da diferença entre os salários dos vigilantes e dos encarregados, a nivel nacional, calculada com base no acréscimo percentual de CCTs vigentes em outros estados da federação.
</t>
    </r>
    <r>
      <rPr>
        <rFont val="Calibri"/>
        <color rgb="FF0000FF"/>
        <sz val="10.0"/>
        <u/>
      </rPr>
      <t>Memória de Cálculo</t>
    </r>
    <r>
      <rPr>
        <rFont val="Calibri"/>
        <color rgb="FF0000FF"/>
        <sz val="10.0"/>
      </rPr>
      <t>: (salário-hora normal x 1/6) x nº de dias efetivamente trabalhados = valor mensal do adicional de troca de uniforme.</t>
    </r>
  </si>
  <si>
    <t>Valor do 
Adicional (10min)</t>
  </si>
  <si>
    <t>Valor Mensal do Adicional Troca de Uniforme</t>
  </si>
  <si>
    <t>ADICIONAL INTERVALAR (INTERVALO INTRAJORNADA INDENIZADO)</t>
  </si>
  <si>
    <r>
      <rPr>
        <rFont val="Calibri"/>
        <color rgb="FF0000FF"/>
        <sz val="10.0"/>
      </rPr>
      <t xml:space="preserve">¹ Por expressa previsão legal, consigna a CCT que se o intervalo mínimo de 30 (trinta) minutos não for gozado, ele deverá ser indenizado, ou, se gozado parcialmente, deverá ser indenizado o período que faltar
para os 30 minutos, sempre com base no valor da hora normal acrescida de 50%.
² A base de cálculo para o adicional intervalar é a hora extra, sem reflexos de adicionais.
</t>
    </r>
    <r>
      <rPr>
        <rFont val="Calibri"/>
        <color rgb="FF0000FF"/>
        <sz val="10.0"/>
        <u/>
      </rPr>
      <t>Memória de Cálculo:</t>
    </r>
    <r>
      <rPr>
        <rFont val="Calibri"/>
        <color rgb="FF0000FF"/>
        <sz val="10.0"/>
      </rPr>
      <t xml:space="preserve">  duração diária do intervalo indenizado (em horas) x valor da hora extra normal </t>
    </r>
    <r>
      <rPr>
        <rFont val="Calibri"/>
        <i/>
        <color rgb="FF0000FF"/>
        <sz val="10.0"/>
      </rPr>
      <t>x</t>
    </r>
    <r>
      <rPr>
        <rFont val="Calibri"/>
        <color rgb="FF0000FF"/>
        <sz val="10.0"/>
      </rPr>
      <t xml:space="preserve">  nº de dias efetivamente trabalhados = valor mensal do adicional intervalar (intervalo intrajornada indenizado)</t>
    </r>
  </si>
  <si>
    <r>
      <rPr>
        <rFont val="Calibri"/>
        <b/>
        <color theme="1"/>
        <sz val="10.0"/>
      </rPr>
      <t xml:space="preserve">Intervalo Indenizado¹ </t>
    </r>
    <r>
      <rPr>
        <rFont val="Calibri"/>
        <b val="0"/>
        <color theme="1"/>
        <sz val="10.0"/>
      </rPr>
      <t>(em horas)</t>
    </r>
  </si>
  <si>
    <r>
      <rPr>
        <rFont val="Calibri"/>
        <b/>
        <color theme="1"/>
        <sz val="10.0"/>
      </rPr>
      <t xml:space="preserve">Adicional Intervalar </t>
    </r>
    <r>
      <rPr>
        <rFont val="Calibri"/>
        <b val="0"/>
        <color theme="1"/>
        <sz val="10.0"/>
      </rPr>
      <t>(valor diário)</t>
    </r>
  </si>
  <si>
    <t>Valor Mensal do Adicional Intervalar</t>
  </si>
  <si>
    <t>QUADRO-RESUMO: SUBMÓDULO 1.2 – VERBAS DE NATUREZA INDENIZATÓRIA E COMPENSATÓRIA</t>
  </si>
  <si>
    <t>Adicional de Troca de Uniforme</t>
  </si>
  <si>
    <t>Adicional Intervalar</t>
  </si>
  <si>
    <t>Total Mensal em 
Verbas Indenizatórias</t>
  </si>
  <si>
    <r>
      <rPr>
        <rFont val="Calibri"/>
        <b/>
        <color theme="1"/>
        <sz val="10.0"/>
      </rPr>
      <t xml:space="preserve">QUADRO-RESUMO: MÓDULO 1 - COMPOSIÇÃO DA REMUNERAÇÃO MENSAL </t>
    </r>
    <r>
      <rPr>
        <rFont val="Calibri"/>
        <b val="0"/>
        <color theme="1"/>
        <sz val="10.0"/>
      </rPr>
      <t>(por empregado)</t>
    </r>
  </si>
  <si>
    <t>Verbas Salariais (Submódulo 1.1)</t>
  </si>
  <si>
    <t>Verbas Indenizatórias (Submódulo 1.2)</t>
  </si>
  <si>
    <t>Remuneração Total Mensal</t>
  </si>
  <si>
    <t>MÓDULO 2 - ENCARGOS E BENEFÍCIOS (ANUAIS, MENSAIS E DIÁRIOS)</t>
  </si>
  <si>
    <t>SUBMÓDULO 2.1 – BENEFÍCIOS ANUAIS</t>
  </si>
  <si>
    <t>13° SALÁRIO (GRATIFICAÇÃO DE NATAL)</t>
  </si>
  <si>
    <r>
      <rPr>
        <rFont val="Calibri"/>
        <color rgb="FF0000FF"/>
        <sz val="10.0"/>
      </rPr>
      <t xml:space="preserve">¹ Toma-se por base o somatório das verbas de natureza salarial / remuneratórias, conforme previsto no Decreto nº 57.155/1965.
² Por tratar-se de planilha mensal, contabiliza-se 1/12 (um doze avos) do valor anual do 13º salário, equivalente a 8,33% deste.
</t>
    </r>
    <r>
      <rPr>
        <rFont val="Calibri"/>
        <color rgb="FF0000FF"/>
        <sz val="10.0"/>
        <u/>
      </rPr>
      <t>Memória de Cálculo</t>
    </r>
    <r>
      <rPr>
        <rFont val="Calibri"/>
        <color rgb="FF0000FF"/>
        <sz val="10.0"/>
      </rPr>
      <t>: Total do Submódulo 1.1 x 8,33% = provisionamento mensal para pagamento de 13º salário.</t>
    </r>
  </si>
  <si>
    <t>Percentual Provisionado²</t>
  </si>
  <si>
    <t>Valor Provisionado</t>
  </si>
  <si>
    <t>FÉRIAS</t>
  </si>
  <si>
    <r>
      <rPr>
        <rFont val="Calibri"/>
        <color rgb="FF0000FF"/>
        <sz val="10.0"/>
      </rPr>
      <t xml:space="preserve">*Direito previsto no art. 7º da Constituição Federal.
¹ Toma-se por base o somatório das verbas de natureza salarial / remuneratórias, conforme previsto no Decreto nº 57.155/1965.
² Por tratar-se de planilha mensal, contabiliza-se 1/12 (um doze avos) do valor do salário de férias, equivalente a 8,33% deste.
</t>
    </r>
    <r>
      <rPr>
        <rFont val="Calibri"/>
        <color rgb="FF0000FF"/>
        <sz val="10.0"/>
        <u/>
      </rPr>
      <t>Memória de Cálculo</t>
    </r>
    <r>
      <rPr>
        <rFont val="Calibri"/>
        <color rgb="FF0000FF"/>
        <sz val="10.0"/>
      </rPr>
      <t>: Total do Submódulo 1.1 x 8,33% = provisionamento mensal para pagamento do salário de férias.</t>
    </r>
  </si>
  <si>
    <t>ADICIONAL DE FÉRIAS - 1/3 CONSTITUCIONAL</t>
  </si>
  <si>
    <r>
      <rPr>
        <rFont val="Calibri"/>
        <color rgb="FF0000FF"/>
        <sz val="10.0"/>
      </rPr>
      <t xml:space="preserve">*Direito previsto no art. 7º da Constituição Federal.
¹ Toma-se por base o somatório das verbas de natureza salarial / remuneratórias, conforme previsto no Decreto nº 57.155/1965.
² Percentual equivalente à 1/3, calculado sobre o valor total das verbas remuneratórias.
³ Por tratar-se de planilha mensal, contabiliza-se 1/12 (um doze avos) do valor do salário de férias, equivalente a 8,33% deste.
</t>
    </r>
    <r>
      <rPr>
        <rFont val="Calibri"/>
        <color rgb="FF0000FF"/>
        <sz val="10.0"/>
        <u/>
      </rPr>
      <t>Memória de Cálculo</t>
    </r>
    <r>
      <rPr>
        <rFont val="Calibri"/>
        <color rgb="FF0000FF"/>
        <sz val="10.0"/>
      </rPr>
      <t>: Total do Submódulo 1.1 x 1/3 x 8,33% = provisionamento mensal para pagamento do terço constitucional de férias.</t>
    </r>
  </si>
  <si>
    <t>Alíquota Adicional²</t>
  </si>
  <si>
    <t>Percentual Provisionado³</t>
  </si>
  <si>
    <t>QUADRO-RESUMO: SUBMÓDULO 2.1 – BENEFÍCIOS ANUAIS</t>
  </si>
  <si>
    <t>13° Salário</t>
  </si>
  <si>
    <t xml:space="preserve">Férias </t>
  </si>
  <si>
    <t>1/3 Constitucional</t>
  </si>
  <si>
    <t>Total Mensal</t>
  </si>
  <si>
    <t>SUBMÓDULO 2.2 - ENCARGOS PREVIDENCIÁRIOS E FGTS</t>
  </si>
  <si>
    <t>*Previstos no art. 195 da Constituição Federal.
¹ Os percentuais informados não são taxativos, mas estimativos. Portanto, ao preencher a planilha o proponente deverá observar o enquadramento real de sua empresa, em especial no que diz respeito ao SAT-GIIL/RAT, para o qual deverá indicar o percentual correspondente ao grau de risco da atividade preponderante, comprovando-o por demonstrativos oficiais, como CAD-PREV, FAPweb, GFIP, Sefip, etc.</t>
  </si>
  <si>
    <t>COMPOSIÇÃO DO GPS E FGTS</t>
  </si>
  <si>
    <t>Encargos</t>
  </si>
  <si>
    <t>Percentual¹</t>
  </si>
  <si>
    <t>INSS - empregador</t>
  </si>
  <si>
    <t>Os incs. I e II do art. 22 da Lei nº 8.212/1991 estabelecem que a contribuição previdenciária da empresa é de 20% (vinte por cento) sobre o total das verbas de natureza salarial (remuneratórias), excluindo as verbas indenizatórias e compensatórias.</t>
  </si>
  <si>
    <t>Salário-Educação</t>
  </si>
  <si>
    <t>SAT-GIIL/RAT</t>
  </si>
  <si>
    <t>RAT ajustado pelo FAP, aqui indicado em percentual exemplificativo, baseado na alíquota média atribuída ao segmento na cláusula 19ª da CCT RS 003993/2021, para fins estimativos.</t>
  </si>
  <si>
    <t>SESC</t>
  </si>
  <si>
    <t>SENAC</t>
  </si>
  <si>
    <t>SEBRAE</t>
  </si>
  <si>
    <t>INCRA</t>
  </si>
  <si>
    <t>FGTS</t>
  </si>
  <si>
    <t>TOTAL</t>
  </si>
  <si>
    <t>GPS - GUIA DA PREVIDÊNCIA SOCIAL</t>
  </si>
  <si>
    <r>
      <rPr>
        <rFont val="Calibri"/>
        <color rgb="FF0000FF"/>
        <sz val="10.0"/>
      </rPr>
      <t xml:space="preserve">¹ Toma-se por base o total das verbas de natureza salarial/remuneratória (submódulo 1.1) + benefícios anuais (previstos no submódulo 2.1) vigentes, conforme previsão legal.
² Percentual correspondente ao somatório dos encargos para financiamento da seguridade social, em célula de preenchimento automático, atualizada automaticamente quando informada, no quadro acima, as alíquotas correspondentes ao enquadramento da proponente.
</t>
    </r>
    <r>
      <rPr>
        <rFont val="Calibri"/>
        <color rgb="FF0000FF"/>
        <sz val="10.0"/>
        <u/>
      </rPr>
      <t>Memória de Cálculo</t>
    </r>
    <r>
      <rPr>
        <rFont val="Calibri"/>
        <color rgb="FF0000FF"/>
        <sz val="10.0"/>
      </rPr>
      <t>: base de cálculo x percentual = provisionamento mensal para pagamento de encargos previdenciários.</t>
    </r>
  </si>
  <si>
    <t>FGTS - FUNDO DE GARANTIA POR TEMPO DE SERVIÇO</t>
  </si>
  <si>
    <r>
      <rPr>
        <rFont val="Calibri"/>
        <color rgb="FF0000FF"/>
        <sz val="10.0"/>
      </rPr>
      <t xml:space="preserve">¹ Toma-se por base o total das verbas de natureza salarial/remuneratória (submódulo 1.1) + benefícios anuais (previstos no submódulo 2.1) vigentes, conforme previsão legal.
² Percentual correspondente à alíquota mensal de depósito à título de FGTS, conforme Lei n° 8.036/1990.
</t>
    </r>
    <r>
      <rPr>
        <rFont val="Calibri"/>
        <color rgb="FF0000FF"/>
        <sz val="10.0"/>
        <u/>
      </rPr>
      <t>Memória de Cálculo</t>
    </r>
    <r>
      <rPr>
        <rFont val="Calibri"/>
        <color rgb="FF0000FF"/>
        <sz val="10.0"/>
      </rPr>
      <t>: base de cálculo x percentual = provisionamento mensal para depósito no FGTS.</t>
    </r>
  </si>
  <si>
    <t>QUADRO-RESUMO: SUBMÓDULO 2.2 - ENCARGOS PREVIDENCIÁRIOS E FGTS</t>
  </si>
  <si>
    <t>GPS</t>
  </si>
  <si>
    <t>SUBMÓDULO 2.3 - BENEFÍCIOS MENSAIS E DIÁRIOS</t>
  </si>
  <si>
    <t>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</si>
  <si>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VALE TRANSPORTE</t>
  </si>
  <si>
    <t>VALOR DA PASSAGEM / VALE TRANSPORTE</t>
  </si>
  <si>
    <r>
      <rPr>
        <rFont val="Calibri"/>
        <color rgb="FF0000FF"/>
        <sz val="10.0"/>
      </rPr>
      <t xml:space="preserve">¹ Valor unitário vigente na cidade/local da prestação dos serviços, estabelecido em Decreto Municipal.
² Quantidade mínima necessária ao deslocamento de ida e volta ao serviço.
</t>
    </r>
    <r>
      <rPr>
        <rFont val="Calibri"/>
        <color rgb="FF0000FF"/>
        <sz val="10.0"/>
        <u/>
      </rPr>
      <t>Memória de Cálculo</t>
    </r>
    <r>
      <rPr>
        <rFont val="Calibri"/>
        <color rgb="FF0000FF"/>
        <sz val="10.0"/>
      </rPr>
      <t>: valor unitário do VT x quantidade diária fornecida x total de dias trabalhos ao mês = valor total mensal recebido a título de VT</t>
    </r>
  </si>
  <si>
    <t>Valor Unitário¹</t>
  </si>
  <si>
    <t>Vales por dia²</t>
  </si>
  <si>
    <t>Dias trabalhados³</t>
  </si>
  <si>
    <t>Valor Total Mensal</t>
  </si>
  <si>
    <t>DESCONTO DO VALE TRANSPORTE</t>
  </si>
  <si>
    <r>
      <rPr>
        <rFont val="Calibri"/>
        <color rgb="FF0000FF"/>
        <sz val="10.0"/>
      </rPr>
      <t xml:space="preserve">¹ A base de cálculo do desconto deve ser o salário básico (normativo da categoria) mensal, independentemente da escala que cumprir, a quantidade de passagens que utilizar ou a forma que receber o benefício (tíquete, cartão magnético, cartão combustível, pecúnia, etc.).
² Percentual de contribuição definido na CCT RS 003993/2021.
</t>
    </r>
    <r>
      <rPr>
        <rFont val="Calibri"/>
        <color rgb="FF0000FF"/>
        <sz val="10.0"/>
        <u/>
      </rPr>
      <t>Memória de Cálculo</t>
    </r>
    <r>
      <rPr>
        <rFont val="Calibri"/>
        <color rgb="FF0000FF"/>
        <sz val="10.0"/>
      </rPr>
      <t>: salário normativo x 6% = valor mensal da contribuição do empregado para o recebimento de VT.</t>
    </r>
  </si>
  <si>
    <t>Desconto Mensal</t>
  </si>
  <si>
    <t>CUSTO EFETIVO DO VALE TRANSPORTE</t>
  </si>
  <si>
    <t>Custo total</t>
  </si>
  <si>
    <t>Valor do desconto</t>
  </si>
  <si>
    <t>Custo Efetivo Mensal</t>
  </si>
  <si>
    <t>VALE ALIMENTAÇÃO / REFEIÇÃO</t>
  </si>
  <si>
    <t>VALOR DO VALE ALIMENTAÇÃO/REFEIÇÃO</t>
  </si>
  <si>
    <r>
      <rPr>
        <rFont val="Calibri"/>
        <color rgb="FF0000FF"/>
        <sz val="10.0"/>
      </rPr>
      <t xml:space="preserve">¹ A base de cálculo do desconto deve ser o próprio valor mensal percebido em Vale Alimentação/Refeição.
² Número médio de dias efetivamente trabalhados em jornada de 44 horas semanais, definido em concordância com o disposto no Caderno Técnico Seges/MP de 2019.
</t>
    </r>
    <r>
      <rPr>
        <rFont val="Calibri"/>
        <color rgb="FF0000FF"/>
        <sz val="10.0"/>
        <u/>
      </rPr>
      <t>Memória de Cálculo</t>
    </r>
    <r>
      <rPr>
        <rFont val="Calibri"/>
        <color rgb="FF0000FF"/>
        <sz val="10.0"/>
      </rPr>
      <t xml:space="preserve">: valor diário x 22 = valor total mensal dos VA ou VR fornecidos. </t>
    </r>
  </si>
  <si>
    <t>Valor diário</t>
  </si>
  <si>
    <t>Dias trabalhados</t>
  </si>
  <si>
    <t>DESCONTO DO VALE ALIMENTAÇÃO/REFEIÇÃO</t>
  </si>
  <si>
    <r>
      <rPr>
        <rFont val="Calibri"/>
        <color rgb="FF0000FF"/>
        <sz val="10.0"/>
      </rPr>
      <t xml:space="preserve">¹ A base de cálculo do desconto deve ser o próprio valor mensal percebido em Vale Alimentação/Refeição.
² Percentual de contribuição definido na Cláusula Décima Oitava da CCT RS 000051/2021.
</t>
    </r>
    <r>
      <rPr>
        <rFont val="Calibri"/>
        <color rgb="FF0000FF"/>
        <sz val="10.0"/>
        <u/>
      </rPr>
      <t>Memória de Cálculo</t>
    </r>
    <r>
      <rPr>
        <rFont val="Calibri"/>
        <color rgb="FF0000FF"/>
        <sz val="10.0"/>
      </rPr>
      <t>: salário normativo x 19% = valor mensal da contribuição do empregado para o recebimento de VT.</t>
    </r>
  </si>
  <si>
    <t>CUSTO EFETIVO DO VALE ALIMENTAÇÃO/REFEIÇÃO</t>
  </si>
  <si>
    <t>Desconto</t>
  </si>
  <si>
    <t>SEGURO DE VIDA</t>
  </si>
  <si>
    <r>
      <rPr>
        <rFont val="Calibri"/>
        <color rgb="FF0000FF"/>
        <sz val="10.0"/>
      </rPr>
      <t xml:space="preserve">Em atenção ao art. 19, inc. IV, da Lei nº 7.102/1983, regulamentada pelos arts. 20, inc. IV, e 21 do Decreto nº 89.056/1983, as empresas do ramo estão obrigadas a contratar seguro de vida em grupo para os Vigilantes, sem qualquer ônus aos segurados. De acordo com a Resolução CNSP 05/84, art. 21 do Decreto 89.056/89 e da Portaria 387/2006 DG/DPF, a cobertura deve ser de, no mínimo:
a) 26 (vinte e seis) vezes a remuneração mensal do vigilante verificada no mês anterior ao evento, para cobertura de morte natural, e, invalidez permanente total; e
b) 52 (cinquenta e duas) vezes a remuneração mensal do vigilante, verificada no mês anterior ao evento, para cobertura de morte acidental, e, invalidez permanente total, conforme conceituado pelas seguradoras, decorrente de acidente do trabalho.
¹ A remuneração é o salário base acrescido dos adicionais (como periculosidade, adicional noturno, hora noturna reduzida) que compõem a base de desconto do FGTS e INSS.
² Valor médio anual </t>
    </r>
    <r>
      <rPr>
        <rFont val="Calibri"/>
        <i/>
        <color rgb="FF0000FF"/>
        <sz val="10.0"/>
      </rPr>
      <t xml:space="preserve">per capta </t>
    </r>
    <r>
      <rPr>
        <rFont val="Calibri"/>
        <color rgb="FF0000FF"/>
        <sz val="10.0"/>
      </rPr>
      <t>para seguro em grupo. As apólices tem taxas individualizadas por empresa, são calculadas com base principalmente na idade média e remuneração do grupo, bem como dos capitais segurados conforme constar da convenção coletiva, devendo o valor ser atualizado pela proponente.</t>
    </r>
  </si>
  <si>
    <t>Base de cálculo¹ 
Coberturas Mínimas Exigidas</t>
  </si>
  <si>
    <r>
      <rPr>
        <rFont val="Calibri"/>
        <b/>
        <color theme="1"/>
        <sz val="10.0"/>
      </rPr>
      <t>Cobertura Mínima</t>
    </r>
    <r>
      <rPr>
        <rFont val="Calibri"/>
        <b val="0"/>
        <color theme="1"/>
        <sz val="10.0"/>
      </rPr>
      <t xml:space="preserve"> (morte natural e inv. permanente total)</t>
    </r>
  </si>
  <si>
    <r>
      <rPr>
        <rFont val="Calibri"/>
        <b/>
        <color theme="1"/>
        <sz val="10.0"/>
      </rPr>
      <t>Cobertura Mínima</t>
    </r>
    <r>
      <rPr>
        <rFont val="Calibri"/>
        <b val="0"/>
        <color theme="1"/>
        <sz val="10.0"/>
      </rPr>
      <t xml:space="preserve"> (decorrente de acidente do trabalho)</t>
    </r>
  </si>
  <si>
    <r>
      <rPr>
        <rFont val="Calibri"/>
        <b/>
        <color theme="1"/>
        <sz val="10.0"/>
      </rPr>
      <t xml:space="preserve">Prêmio de Seguro² 
</t>
    </r>
    <r>
      <rPr>
        <rFont val="Calibri"/>
        <b val="0"/>
        <color theme="1"/>
        <sz val="10.0"/>
      </rPr>
      <t>(ao ano p/ vigilante)</t>
    </r>
  </si>
  <si>
    <t xml:space="preserve">Custo Mensal do 
Prêmio de Seguro </t>
  </si>
  <si>
    <t>QUADRO-RESUMO: SUBMÓDULO 2.3 - BENEFÍCIOS MENSAIS E DIÁRIOS</t>
  </si>
  <si>
    <t>Vale Transporte</t>
  </si>
  <si>
    <t>Vale Refeição</t>
  </si>
  <si>
    <t>Seguro de Vida</t>
  </si>
  <si>
    <t>Total</t>
  </si>
  <si>
    <t>QUADRO-RESUMO: MÓDULO 2 - ENCARGOS E BENEFÍCIOS (ANUAIS, MENSAIS E DIÁRIOS)</t>
  </si>
  <si>
    <t>Submódulo 2.1</t>
  </si>
  <si>
    <t>Submódulo 2.2</t>
  </si>
  <si>
    <t>Submódulo 2.3</t>
  </si>
  <si>
    <t>MÓDULO 3 - PROVISÃO PARA RESCISÃO</t>
  </si>
  <si>
    <t>Este módulo destina-se a calcular o custo de possível desligamento de um empregado vinculado ao contrato de prestação de serviços, conforme metodologia Seges, usando a probabilidade de ocorrência, por tipo de desligamentos, como fator de ponderação do custo total. Estes custos deverão ser apreciados atentamente nos casos de prorrogação contratual para verificar a necessidade de sua renovação ou não. Deverão, ainda, ser observados os ditames da Lei nº 12.506/2011 e seus impactos no custo quando das prorrogações contratuais.
¹ Percentuais de ocorrência definidos a partir da análise de contratações anteriores, comparada a dados extraídos do Cadastro Geral de Empregados e Desempregados (CAGED), por tipo de desligamento, para a unidade da federação e categoria de serviço.</t>
  </si>
  <si>
    <t>PERCENTUAIS DE PROBABILIDADE DE DESLIGAMENTO - POR TIPO</t>
  </si>
  <si>
    <t>Tipos</t>
  </si>
  <si>
    <t>Probabilidade¹</t>
  </si>
  <si>
    <t>Demissão SEM justa Causa</t>
  </si>
  <si>
    <t>SEM justa Causa - AP INDENIZADO</t>
  </si>
  <si>
    <t>SEM justa Causa - AP TRABALHADO</t>
  </si>
  <si>
    <t>Demissão COM justa Causa</t>
  </si>
  <si>
    <t>Desligamentos OUTROS TIPOS</t>
  </si>
  <si>
    <t>Ex.: A pedido, por aposentadoria, por morte, por término do contrato de trabalho...</t>
  </si>
  <si>
    <t>SUBMÓDULO 3.1 - AVISO PRÉVIO INDENIZADO</t>
  </si>
  <si>
    <t>Estima o provisionamento mensal do custo com o pagamento do Aviso Prévio Indenizado, equivalente à remuneração mensal completa, sempre que a demissão ocorrer sem que o empregador conceda o prazo de 30 dias para o cumprimento do aviso prévio trabalhado, conforme dispõe o art. 487 § 1º da CLT. Em atenção à Lei nº 12.506/2011 e ao Acórdão TCU  nº 1.186/2017-Plenário, em caso de prorrogação do contrato, o percentual máximo dessa parcela será, ressalvados os efeitos de eventuais repactuações, de 10% do custo mensal da rubrica, proporcional ao provisionamento dos 3 dias adicionais devidos a cada ano trabalhado, consecutivo ao primeiro.</t>
  </si>
  <si>
    <t>AVISO PRÉVIO INDENIZADO</t>
  </si>
  <si>
    <r>
      <rPr>
        <rFont val="Calibri"/>
        <color rgb="FF0000FF"/>
        <sz val="10.0"/>
      </rPr>
      <t xml:space="preserve">¹ Toma-se por base o valor total mensal da remuneração somado ao valor total mensal dos encargos e benefícios, deduzido o valor de provisionamento mensal à GPS.
² Equivalente 1/12 (um doze avos).
</t>
    </r>
    <r>
      <rPr>
        <rFont val="Calibri"/>
        <color rgb="FF0000FF"/>
        <sz val="10.0"/>
        <u/>
      </rPr>
      <t>Memória de Cálculo</t>
    </r>
    <r>
      <rPr>
        <rFont val="Calibri"/>
        <color rgb="FF0000FF"/>
        <sz val="10.0"/>
      </rPr>
      <t>: base de cálculo x percentual = 1/12 do valor do Aviso Prévio Indenizado.</t>
    </r>
  </si>
  <si>
    <t>Percentual Mensal²</t>
  </si>
  <si>
    <t>Valor API</t>
  </si>
  <si>
    <t>INCIDÊNCIA DO FGTS SOBRE O AVISO PRÉVIO INDENIZADO</t>
  </si>
  <si>
    <r>
      <rPr>
        <rFont val="Calibri"/>
        <color rgb="FF0000FF"/>
        <sz val="10.0"/>
      </rPr>
      <t xml:space="preserve">¹ Toma-se por base o valor provisionado mensalmente ao FGTS, equivalente a 8% dos custos mensais com remuneração e benefícios anuais (13º salário, férias e terço constitucional de férias).
² Atualizada pela Lei nº 13.932/2019.
</t>
    </r>
    <r>
      <rPr>
        <rFont val="Calibri"/>
        <color rgb="FF0000FF"/>
        <sz val="10.0"/>
        <u/>
      </rPr>
      <t>Memória de Cálculo</t>
    </r>
    <r>
      <rPr>
        <rFont val="Calibri"/>
        <color rgb="FF0000FF"/>
        <sz val="10.0"/>
      </rPr>
      <t>: base de cálculo x percentual legal =  1/12 do valor da contribuição ao FGTS sobre o API.</t>
    </r>
  </si>
  <si>
    <t>Alíquota²</t>
  </si>
  <si>
    <t>Valor FGTS sobre API</t>
  </si>
  <si>
    <t>QUADRO-RESUMO: SUBMÓDULO 3.1 - CUSTO DO AVISO PRÉVIO INDENIZADO</t>
  </si>
  <si>
    <r>
      <rPr>
        <rFont val="Calibri"/>
        <color rgb="FF0000FF"/>
        <sz val="10.0"/>
      </rPr>
      <t xml:space="preserve">¹ Toma-se por base a soma dos valores estimados para o API e para a contribuição ao FGTS sobre API, divididos por 12 meses.
² Corresponde à multiplicação da probabilidade de opção por API em razão do percentual de ocorrência de demissões SEM justa causa.
</t>
    </r>
    <r>
      <rPr>
        <rFont val="Calibri"/>
        <color rgb="FF0000FF"/>
        <sz val="10.0"/>
        <u/>
      </rPr>
      <t>Memória de Cálculo</t>
    </r>
    <r>
      <rPr>
        <rFont val="Calibri"/>
        <color rgb="FF0000FF"/>
        <sz val="10.0"/>
      </rPr>
      <t>: base de cálculo x percentual = provisionamento mensal para pagamento do API e da contribuição ao FGTS sobre o valor do API.</t>
    </r>
  </si>
  <si>
    <t>Probabilidade Ocorrência²</t>
  </si>
  <si>
    <t>Valor Mensal Provisionado</t>
  </si>
  <si>
    <t>SUBMÓDULO 3.2 - AVISO PRÉVIO TRABALHADO</t>
  </si>
  <si>
    <t>Estima o provisionamento mensal do custo com o pagamento da remuneração mensal completa do trabalhador demitido, se o empregador lhe permitir o cumprimento do aviso prévio, em jornada reduzida, conforme dispõe o art. 487 § 1º da CLT.  Em atenção à Lei nº 12.506/2011 e ao Acórdão TCU  nº 1.186/2017-Plenário, em caso de prorrogação do contrato, o percentual máximo dessa parcela será, ressalvados os efeitos de eventuais repactuações, de 10% do custo mensal da rubrica, proporcional ao provisionamento dos 3 dias adicionais devidos a cada ano trabalhado, consecutivo ao primeiro.</t>
  </si>
  <si>
    <t>AVISO PRÉVIO TRABALHADO</t>
  </si>
  <si>
    <r>
      <rPr>
        <rFont val="Calibri"/>
        <color rgb="FF0000FF"/>
        <sz val="10.0"/>
      </rPr>
      <t xml:space="preserve">¹ Toma-se por base o valor total mensal da remuneração somado ao valor total mensal dos encargos e benefícios.
² Equivalente 1/12 (um doze avos).
</t>
    </r>
    <r>
      <rPr>
        <rFont val="Calibri"/>
        <color rgb="FF0000FF"/>
        <sz val="10.0"/>
        <u/>
      </rPr>
      <t>Memória de Cálculo</t>
    </r>
    <r>
      <rPr>
        <rFont val="Calibri"/>
        <color rgb="FF0000FF"/>
        <sz val="10.0"/>
      </rPr>
      <t>: base de cálculo x percentual = 1/12 do valor do Aviso Prévio Trabalhado.</t>
    </r>
  </si>
  <si>
    <t>Valor APT</t>
  </si>
  <si>
    <t>MULTA DO FGTS E CONTRIBUIÇÃO SOCIAL SOBRE O AVISO PRÉVIO TRABALHADO</t>
  </si>
  <si>
    <r>
      <rPr>
        <rFont val="Calibri"/>
        <color rgb="FF0000FF"/>
        <sz val="10.0"/>
      </rPr>
      <t xml:space="preserve">¹ Toma-se por base o valor provisionado mensalmente, equivalente a 8% dos custos mensais com remuneração e benefícios anuais (13º salário, férias e terço constitucional de férias).
² Atualizada pela Lei nº 13.932/2019.
</t>
    </r>
    <r>
      <rPr>
        <rFont val="Calibri"/>
        <color rgb="FF0000FF"/>
        <sz val="10.0"/>
        <u/>
      </rPr>
      <t>Memória de Cálculo</t>
    </r>
    <r>
      <rPr>
        <rFont val="Calibri"/>
        <color rgb="FF0000FF"/>
        <sz val="10.0"/>
      </rPr>
      <t>: base de cálculo x percentual legal =  1/12 do valor da contribuição ao FGTS sobre o APT.</t>
    </r>
  </si>
  <si>
    <t>Valor FGTS sobre APT</t>
  </si>
  <si>
    <t>QUADRO-RESUMO: SUBMÓDULO 3.2 - CUSTO DO AVISO PRÉVIO TRABALHADO</t>
  </si>
  <si>
    <r>
      <rPr>
        <rFont val="Calibri"/>
        <color rgb="FF0000FF"/>
        <sz val="10.0"/>
      </rPr>
      <t xml:space="preserve">¹ Toma-se por base a soma dos valores estimados para o APT e para a contribuição ao FGTS sobre APT, divididos por 12 meses.
² Corresponde à multiplicação da probabilidade de opção por APT em razão do percentual de ocorrência de demissões SEM justa causa.
</t>
    </r>
    <r>
      <rPr>
        <rFont val="Calibri"/>
        <color rgb="FF0000FF"/>
        <sz val="10.0"/>
        <u/>
      </rPr>
      <t>Memória de Cálculo</t>
    </r>
    <r>
      <rPr>
        <rFont val="Calibri"/>
        <color rgb="FF0000FF"/>
        <sz val="10.0"/>
      </rPr>
      <t>: base de cálculo x percentual = provisionamento mensal para pagamento do APT e da contribuição ao FGTS sobre o valor do APT.</t>
    </r>
  </si>
  <si>
    <t>SUBMÓDULO 3.3 - DEMISSÃO POR JUSTA CAUSA</t>
  </si>
  <si>
    <t>Na hipótese de demissão por justa causa o empregado perde o direito ao pagamento de 13° salário, férias e adicional de férias, como previsto no parágrafo único do art. 146 da CLT, portanto, para estes casos, conforme metodologia Seges, haverá o desconto dos valores que, por tratar-se de provisão mensal, deverão ser reduzidos do provisionamento mensal para pagamento de verbas rescisórias os valores que não serão despendidos em caso de demissão sem justa causa, considerando-se, igualmente, a probabilidade de ocorrência desta.</t>
  </si>
  <si>
    <t>BASE DE CÁLCULO PARA DEMISSÃO POR JUSTA CAUSA</t>
  </si>
  <si>
    <t>Valor provisionado 
para 13º Salário</t>
  </si>
  <si>
    <t>Valor provisionado 
para Férias</t>
  </si>
  <si>
    <t>Valor provisionado para 
Adicional de Férias</t>
  </si>
  <si>
    <t>QUADRO-RESUMO: SUBMÓDULO 3.3 - CUSTO DA DEMISSÃO COM JUSTA CAUSA</t>
  </si>
  <si>
    <r>
      <rPr>
        <rFont val="Calibri"/>
        <color rgb="FF0000FF"/>
        <sz val="10.0"/>
      </rPr>
      <t xml:space="preserve">¹ Toma-se por base a soma dos valores estimados para o APT e para a contribuição ao FGTS sobre APT, divididos por 12 meses.
² Corresponde à probabilidade  de ocorrência de demissões COM justa causa, conforme dados estatísticos.
</t>
    </r>
    <r>
      <rPr>
        <rFont val="Calibri"/>
        <color rgb="FF0000FF"/>
        <sz val="10.0"/>
        <u/>
      </rPr>
      <t>Memória de Cálculo</t>
    </r>
    <r>
      <rPr>
        <rFont val="Calibri"/>
        <color rgb="FF0000FF"/>
        <sz val="10.0"/>
      </rPr>
      <t>: base de cálculo x percentual = desconto no provisionamento mensal para pagamento de verbas rescisórias.</t>
    </r>
  </si>
  <si>
    <t>Base de Cálculo¹</t>
  </si>
  <si>
    <t>Valor do Desconto Mensal</t>
  </si>
  <si>
    <t>QUADRO-RESUMO: MÓDULO 3 - PROVISÃO PARA RESCISÃO</t>
  </si>
  <si>
    <t>Submódulo 3.1</t>
  </si>
  <si>
    <t>Submódulo 3.2</t>
  </si>
  <si>
    <t>Submódulo 3.3</t>
  </si>
  <si>
    <t>MÓDULO 4 - CUSTO DE REPOSIÇÃO DO PROFISSIONAL AUSENTE</t>
  </si>
  <si>
    <t>O Custo de reposição do profissional ausente refere-se ao custo necessário para substituir, no posto de trabalho, o profissional residente quando estiver em gozo de férias ou no caso de uma das ausências legais previstas no art 473 da CLT, baseada na metodologia Seges.</t>
  </si>
  <si>
    <t>ESTIMATIVA DA NECESSIDADE DE REPOSIÇÃO DE PROFISSIONAL</t>
  </si>
  <si>
    <r>
      <rPr>
        <rFont val="Calibri"/>
        <color rgb="FF0000FF"/>
        <sz val="10.0"/>
      </rPr>
      <t xml:space="preserve">¹ Probabilidade de ocorrência anual de ausência do profissional residente, por tipo de afastamento, baseada na avaliação de contratos anteriores, comparada a dados estatísticos obtidos junto ao Observatório de Segurança e Saúde no trabalho e à Relação Anual de Informações Sociais (RAIS/MTE). Pode ser editada pela proponente, desde que não sejam alteradas as fórmulas de cálculo.
² Duração computada em dias, conforme previsão legal.
³ Em "Proporção de dias afetados" computa-se, para as ausência prolongadas, 50% da ausência total, haja vista o trabalho em escala 12x36h.
</t>
    </r>
    <r>
      <rPr>
        <rFont val="Calibri"/>
        <color rgb="FF0000FF"/>
        <sz val="10.0"/>
        <u/>
      </rPr>
      <t>Memória de Cálculo</t>
    </r>
    <r>
      <rPr>
        <rFont val="Calibri"/>
        <color rgb="FF0000FF"/>
        <sz val="10.0"/>
      </rPr>
      <t>: probabilidade de ocorrência x duração legal do afastamento x proporção de dias afetados = necessidade de reposição do profissional ausente, em dias, para cada evento.</t>
    </r>
  </si>
  <si>
    <t>Tipo Afastamento</t>
  </si>
  <si>
    <t>Incidência anual¹</t>
  </si>
  <si>
    <t>Duração Legal do Afastamento²</t>
  </si>
  <si>
    <t>Proporção dias afetados³</t>
  </si>
  <si>
    <r>
      <rPr>
        <rFont val="Calibri"/>
        <b/>
        <color theme="1"/>
        <sz val="10.0"/>
      </rPr>
      <t xml:space="preserve">Necessidade de Reposição </t>
    </r>
    <r>
      <rPr>
        <rFont val="Calibri"/>
        <b val="0"/>
        <color theme="1"/>
        <sz val="10.0"/>
      </rPr>
      <t>(em dias)</t>
    </r>
  </si>
  <si>
    <t>Férias</t>
  </si>
  <si>
    <t>Ausência justificada</t>
  </si>
  <si>
    <t>Acidente trabalho</t>
  </si>
  <si>
    <t>Afastamento por doença</t>
  </si>
  <si>
    <t>Consulta médica de filhos</t>
  </si>
  <si>
    <t>Óbitos na família</t>
  </si>
  <si>
    <t>Casamento</t>
  </si>
  <si>
    <t>Doação de sangue</t>
  </si>
  <si>
    <t>Testemunho</t>
  </si>
  <si>
    <t>Paternidade</t>
  </si>
  <si>
    <t>Maternidade</t>
  </si>
  <si>
    <t>Consulta pré-natal</t>
  </si>
  <si>
    <r>
      <rPr>
        <rFont val="Calibri"/>
        <b/>
        <color theme="1"/>
        <sz val="10.0"/>
      </rPr>
      <t xml:space="preserve">Necessidade de Reposição Anual </t>
    </r>
    <r>
      <rPr>
        <rFont val="Calibri"/>
        <b val="0"/>
        <color theme="1"/>
        <sz val="10.0"/>
      </rPr>
      <t>(em dias úteis):</t>
    </r>
  </si>
  <si>
    <t>CÁLCULO DO CUSTO DIÁRIO COM REPOSITOR</t>
  </si>
  <si>
    <r>
      <rPr>
        <rFont val="Calibri"/>
        <color rgb="FF0000FF"/>
        <sz val="10.0"/>
      </rPr>
      <t xml:space="preserve">Na metodologia Seges computa-se o custo total, ao mês, de um empregado e, a partir disso, o custo diário de reposição desse profissional quando ausente.
¹ O custo total mensal de um empregado é composto pelo somatório de sua remuneração básica mensal, encargos, benefícios mensais e diários, e 1/12 dos benefícios anuais (13° salário, férias e terço constitucional), bem como 1/12 da estimativa do custo anual com verbas rescisórias. Ou seja, o somatório do resultado dos módulos 1, 2 e 3.
² Número regular de dias em um mês comercial/civil. 
³ Valor estimado do custo diário do profissional que substituirá o empregado ausente.
</t>
    </r>
    <r>
      <rPr>
        <rFont val="Calibri"/>
        <color rgb="FF0000FF"/>
        <sz val="10.0"/>
        <u/>
      </rPr>
      <t>Memória de Cálculo</t>
    </r>
    <r>
      <rPr>
        <rFont val="Calibri"/>
        <color rgb="FF0000FF"/>
        <sz val="10.0"/>
      </rPr>
      <t>: base total mensal do profissional ausente/30 = custo diário do profissional repositor.</t>
    </r>
  </si>
  <si>
    <t>Cargo</t>
  </si>
  <si>
    <t>Nº de dias²</t>
  </si>
  <si>
    <t>Custo diário²</t>
  </si>
  <si>
    <t>Vigilante em Escala 12x36 DIURNA</t>
  </si>
  <si>
    <t xml:space="preserve">Vigilante em Escala 12x36 NOTURNA </t>
  </si>
  <si>
    <t>QUADRO-RESUMO: MÓDULO 4 - CUSTO DE REPOSIÇÃO DO PROFISSIONAL AUSENTE</t>
  </si>
  <si>
    <t>¹ Custo anual estimado para reposição de profissional ausente, dada a estimativa de reposição, em dias úteis por ano, e o custo diário do trabalhador.
² Corresponde a 1/12 (um doze avos) do custo anual.</t>
  </si>
  <si>
    <t>Custo diário</t>
  </si>
  <si>
    <t>Necessidade de Reposição
Anual (em dias)</t>
  </si>
  <si>
    <t>Custo anual¹</t>
  </si>
  <si>
    <t>Custo mensal²</t>
  </si>
  <si>
    <t>MÓDULO 5 - INCORPORAÇÃO DOS CUSTOS COM FORNECIMENTO DE MATERIAIS</t>
  </si>
  <si>
    <t>Estima o custo mensal com o fornecimento dos materiais exigidos para a execução do serviço, com base no valor unitário de cada item (estimado a partir de pesquisa de preços realizada em consonância com a IN SG-MP nº 73/2020, multiplicado pelo quantitativo total anual exigido, observadas as respectivas unidades e frequência de fornecimento, vide Tabelas 1 e 2 do Estudo Técnico Preliminar.</t>
  </si>
  <si>
    <t>SUBMÓDULO 5.1 - INSUMOS RELACIONADOS À MÃO DE OBRA (UNIFORMES E EPI), POR PROFISSIONAL</t>
  </si>
  <si>
    <r>
      <rPr>
        <rFont val="Calibri"/>
        <color rgb="FF0000FF"/>
        <sz val="10.0"/>
      </rPr>
      <t xml:space="preserve">¹ Conforme exigência do contratante, vide Tabela 1 e subtítulo 4.5.1 do ETP.
² Expectativa de durabilidade do material fornecido, por sua natureza e características de composição e uso.
³ Estimado a partir de pesquisa de preços realizada em consonância com as disposições da IN nº 73/2020, usado como referência para o estabelecimento do custo máximo da contratação. Pode ser alterado, item a item, pelo licitante, desde que o valor unitário proposto não se caracterize como excessivo (acima de 70% do estimado) ou manifestamente inexequível (abaixo de 70% do valor estimado), quando, então, o administração contratante poderá solicitar esclarecimentos prévios à aceitação da proposta.
</t>
    </r>
    <r>
      <rPr>
        <rFont val="Calibri"/>
        <color rgb="FF0000FF"/>
        <sz val="10.0"/>
        <u/>
      </rPr>
      <t xml:space="preserve">Memória de Cálculo: </t>
    </r>
    <r>
      <rPr>
        <rFont val="Calibri"/>
        <color rgb="FF0000FF"/>
        <sz val="10.0"/>
      </rPr>
      <t xml:space="preserve">
a) </t>
    </r>
    <r>
      <rPr>
        <rFont val="Calibri"/>
        <color rgb="FF0000FF"/>
        <sz val="10.0"/>
        <u/>
      </rPr>
      <t>para itens com vida útil menor ou igual a 12 meses:</t>
    </r>
    <r>
      <rPr>
        <rFont val="Calibri"/>
        <color rgb="FF0000FF"/>
        <sz val="10.0"/>
      </rPr>
      <t xml:space="preserve"> Custo Anual = quantidade total anual x custo unitário
b)</t>
    </r>
    <r>
      <rPr>
        <rFont val="Calibri"/>
        <color rgb="FF0000FF"/>
        <sz val="10.0"/>
        <u/>
      </rPr>
      <t xml:space="preserve"> para itens com vida útil maior que 12 meses:</t>
    </r>
    <r>
      <rPr>
        <rFont val="Calibri"/>
        <color rgb="FF0000FF"/>
        <sz val="10.0"/>
      </rPr>
      <t xml:space="preserve"> Custo Anual = quantidade total anual x [(custo unitário ÷ vida útil em meses) x 12]</t>
    </r>
  </si>
  <si>
    <t>Descrição Resumida</t>
  </si>
  <si>
    <t>Unidade de
Fornecimento</t>
  </si>
  <si>
    <r>
      <rPr>
        <rFont val="Calibri"/>
        <b/>
        <color rgb="FF000000"/>
        <sz val="10.0"/>
      </rPr>
      <t xml:space="preserve">Quantidade Anual¹ 
</t>
    </r>
    <r>
      <rPr>
        <rFont val="Calibri"/>
        <b val="0"/>
        <color rgb="FF000000"/>
        <sz val="10.0"/>
      </rPr>
      <t>(por trabalhador)</t>
    </r>
  </si>
  <si>
    <t>Vida Útil
(em meses)²</t>
  </si>
  <si>
    <t>Valor Unitário Estimado³</t>
  </si>
  <si>
    <t>Custo Anual 
por Material</t>
  </si>
  <si>
    <t>Custo Total Anual com Uniforme e EPI - por profissional:</t>
  </si>
  <si>
    <t>Custo Mensal com Uniforme e EPI - por profissional:</t>
  </si>
  <si>
    <t>SUBMÓDULO 5.2 - INSUMOS DIRETAMENTE RELACIONADOS AO SERVIÇO</t>
  </si>
  <si>
    <r>
      <rPr>
        <rFont val="Calibri"/>
        <color rgb="FF0000FF"/>
        <sz val="10.0"/>
      </rPr>
      <t xml:space="preserve">¹ Conforme exigência do contratante, vide Tabela 2 e subtítulo 4.5.2 do ETP.
² Estimado a partir de pesquisa de preços realizada em consonância com as disposições da IN nº 73/2020, usado como referência para o estabelecimento do custo máximo da contratação. Pode ser alterado, item a item, pelo licitante, desde que o valor unitário proposto não se caracterize como superestimado (acima de 70% do estimado) ou manifestamente inexequível (abaixo de 70% do valor estimado), quando, então, o administração contratante poderá solicitar esclarecimentos prévios à aceitação da proposta.
³ Expectativa de durabilidade do material fornecido, por sua natureza e características de composição e uso.
</t>
    </r>
    <r>
      <rPr>
        <rFont val="Calibri"/>
        <color rgb="FF0000FF"/>
        <sz val="10.0"/>
        <u/>
      </rPr>
      <t>Memória de Cálculo</t>
    </r>
    <r>
      <rPr>
        <rFont val="Calibri"/>
        <color rgb="FF0000FF"/>
        <sz val="10.0"/>
      </rPr>
      <t xml:space="preserve">: 
a) </t>
    </r>
    <r>
      <rPr>
        <rFont val="Calibri"/>
        <color rgb="FF0000FF"/>
        <sz val="10.0"/>
        <u/>
      </rPr>
      <t>para itens com vida útil menor ou igual a 12 meses</t>
    </r>
    <r>
      <rPr>
        <rFont val="Calibri"/>
        <color rgb="FF0000FF"/>
        <sz val="10.0"/>
      </rPr>
      <t xml:space="preserve">: Custo Anual = quantidade total anual x custo unitário
b) </t>
    </r>
    <r>
      <rPr>
        <rFont val="Calibri"/>
        <color rgb="FF0000FF"/>
        <sz val="10.0"/>
        <u/>
      </rPr>
      <t>para itens com vida útil maior que 12 meses</t>
    </r>
    <r>
      <rPr>
        <rFont val="Calibri"/>
        <color rgb="FF0000FF"/>
        <sz val="10.0"/>
      </rPr>
      <t>: Custo Anual = quantidade total anual x [(custo unitário ÷ vida útil em meses) x 12]</t>
    </r>
  </si>
  <si>
    <t>Qtd Anual¹</t>
  </si>
  <si>
    <t>Custo Total Anual com Equipamentos - para o serviço:</t>
  </si>
  <si>
    <t>Custo Mensal com Equipamentos - para o serviço:</t>
  </si>
  <si>
    <t>QUADRO-RESUMO: MÓDULO 5 - CUSTO COM FORNECIMENTO DE MATERIAIS (POR EMPREGADO)</t>
  </si>
  <si>
    <r>
      <rPr>
        <rFont val="Calibri"/>
        <color rgb="FF0000FF"/>
        <sz val="10.0"/>
        <u/>
      </rPr>
      <t>Metodologia de Cálculo</t>
    </r>
    <r>
      <rPr>
        <rFont val="Calibri"/>
        <color rgb="FF0000FF"/>
        <sz val="10.0"/>
      </rPr>
      <t>: custo mensal com Uniformes e EPI + (custo mensal com Equipamentos  / nº total de trabalhadores) = valor mensal dos materiais, por empregado</t>
    </r>
  </si>
  <si>
    <t>Submódulo 5.1</t>
  </si>
  <si>
    <t>Submódulo 5.2</t>
  </si>
  <si>
    <t>Número Total de 
Trabalhadores</t>
  </si>
  <si>
    <t>Valor Mensal
por Empregado</t>
  </si>
  <si>
    <t>Vigilante (5173-30) - Escala 12x36 DIURNO / NOTURNO</t>
  </si>
  <si>
    <t>MÓDULO 6 - RATEIO DA CHEFIA DE CAMPO / SUPERVISOR DE EQUIPE</t>
  </si>
  <si>
    <t>Para os casos em que há Supervisor e este não for contratado como um posto de trabalho dedicado exclusivamente à contratante, seu custo deverá ser rateado pelo total de empregados supervisionados, conforme disposição do Anexo VII-D da IN n° 05/2017.</t>
  </si>
  <si>
    <t>VALOR DA GRATIFICAÇÃO DE FUNÇÃO</t>
  </si>
  <si>
    <r>
      <rPr>
        <rFont val="Calibri"/>
        <color rgb="FF0000FF"/>
        <sz val="10.0"/>
      </rPr>
      <t xml:space="preserve">Segundo a CCT RS 003993/2021, fica ajustado entre as partes (empregador e empregado) que, por se tratar de gratificação ou ajuda de custo condição, concedida por mera liberalidade da empresa, o valor pago a este título tem natureza indenizatória, não tem natureza salarial, não integrará a remuneração, não se incorporará ao contrato de trabalho e, portanto, não terá incidência ou reflexo sobre qualquer outra parcela (valor hora, horas extras, adicionais noturnos, férias, 13º salário, FGTS, INSS, etc).
¹ A base de cálculo é o salário base da categoria (vigilante).
² Como a Convenção Coletiva vigente não estabelece um percentual para as gratificações de função, aplica-se, sobre o salário base, o percentual disposto no Departamento de Normas e Sistemas de Logística, de 42,57%.   compondo a remuneração para fins pagamento de INSS, FGTS, Férias e 13º Salário.
</t>
    </r>
    <r>
      <rPr>
        <rFont val="Calibri"/>
        <color rgb="FF0000FF"/>
        <sz val="10.0"/>
        <u/>
      </rPr>
      <t>Memória de Cálculo</t>
    </r>
    <r>
      <rPr>
        <rFont val="Calibri"/>
        <color rgb="FF0000FF"/>
        <sz val="10.0"/>
      </rPr>
      <t>: remuneração base x gratificação de função x = custo da FG.</t>
    </r>
  </si>
  <si>
    <t>Gratificação de Função</t>
  </si>
  <si>
    <t>Vigilante - Supervisor de Equipe DIURNO / NOTURNO</t>
  </si>
  <si>
    <t>CUSTO MENSAL DA CHEFIA DE CAMPO / SUPERVISOR DE EQUIPE</t>
  </si>
  <si>
    <t>Corresponde ao somatórios dos resultados dos módulos anteriores, de provisionamento mensal para custeio da remuneração (módulo 1), dos encargos e benefícios anuais, mensais e diários (módulo 2), das verbas rescisórias (módulos 3), do custo com reposição de profissional ausente (módulo 4), do custo com fornecimento de insumos relacionados diretamente à mão de obra (submódulo 5.1), e o custo da gratificação de função, diferenciados por jornada de trabalho, a fim de garantir em quaisquer turnos de trabalho haja uma chefia/supervisor disponível para o acompanhamento dos serviços.</t>
  </si>
  <si>
    <t>Cargo - Função</t>
  </si>
  <si>
    <t>Módulo 1</t>
  </si>
  <si>
    <t>Módulo 2</t>
  </si>
  <si>
    <t>Módulo 3</t>
  </si>
  <si>
    <t>Módulo 4</t>
  </si>
  <si>
    <t>Módulo 5</t>
  </si>
  <si>
    <t>Vigilante - Supervisor de Equipe DIURNO</t>
  </si>
  <si>
    <t>Vigilante - Supervisor de Equipe NOTURNO</t>
  </si>
  <si>
    <t>QUADRO-RESUMO: MÓDULO 6 - RATEIO DA CHEFIA DE CAMPO / SUPERVISOR DE EQUIPE</t>
  </si>
  <si>
    <r>
      <rPr>
        <rFont val="Calibri"/>
        <color rgb="FF0000FF"/>
        <sz val="10.0"/>
      </rPr>
      <t xml:space="preserve">¹ Somatório do custo mensal do empregado e da gratificação de função que lhe foi atribuída.
² Conforme Anexo VI-A da IN nº 05/2017, na contratação de postos de vigilância, será adotada a relação de um supervisor para cada 40 (quarenta) vigilantes, ou fração.
</t>
    </r>
    <r>
      <rPr>
        <rFont val="Calibri"/>
        <color rgb="FF0000FF"/>
        <sz val="10.0"/>
        <u/>
      </rPr>
      <t>Memória de Cálculo</t>
    </r>
    <r>
      <rPr>
        <rFont val="Calibri"/>
        <color rgb="FF0000FF"/>
        <sz val="10.0"/>
      </rPr>
      <t>: custo do supervisor / nº total de subordinado = rateio da chefia de campo/supervisor de equipe</t>
    </r>
  </si>
  <si>
    <t>Custo Total da Chefia¹</t>
  </si>
  <si>
    <t>Nº de Supervionados²</t>
  </si>
  <si>
    <t>Custo Total da Chefia</t>
  </si>
  <si>
    <t>MÓDULO 7 - CUSTOS INDIRETOS, TRIBUTOS E LUCRO</t>
  </si>
  <si>
    <t>INFORMAÇÃO DE PERCENTUAIS ESTIMADOS DE CITL</t>
  </si>
  <si>
    <r>
      <rPr>
        <rFont val="Calibri"/>
        <color rgb="FF0000FF"/>
        <sz val="10.0"/>
      </rPr>
      <t xml:space="preserve">¹ Os percentuais informados foram estimados pela administração com base no histórico de contratações anteriores, mas podem ser alterados pelo proponente (desde que não haja alteração nas fórmulas de cálculo programadas nas demais células da planilha), a depender do regime de tributação em que se enquadra (o que deverá ser comprovado junto aos documentos de habilitação), sendo que:
a) Para os tributos federais, utilizou-se as alíquotas vigentes na hipótese de opção pelo Lucro Presumido. Em atenção ao Acórdão TCU nº 950/2007-Plenário, não devem ser cotados IRPJ e CSLL.
b) Não se identificou a incidência de tributos estaduais sobre o serviço contratado, caso existentes, pede-se ao proponente cotá-los e especificá-los na planilha, apresentando comprovação das alíquotas cotadas.
c) A alíquota informada está de acordo com o disposto no art. 96,  § 1º, inc. II, do Decreto Municipal nº 15.416/2006, publicado pela Prefeitura de Porto Alegre, município sede deste órgão e local de prestação dos serviços.
² A base de cálculo é composta de:
a) para estimativa dos Custos Indiretos: somatórios dos resultados dos módulos anteriores, de provisionamento mensal para custeio da remuneração (módulo 1), dos encargos e benefícios anuais, mensais e diários (módulo 2), das verbas rescisórias (módulos 3), do custo com reposição de profissional ausente (módulo 4), do custo com fornecimento de materiais (módulo 5) e do custo com rateio da chefia/supervisor (módulo 6);
b) para estimativa do Lucro: base de cálculo de custos indiretos + custos indiretos; e
c) para estimativa de Tributos: base de cálculo de custos indiretos + custos indiretos + lucro estimado.
</t>
    </r>
    <r>
      <rPr>
        <rFont val="Calibri"/>
        <color rgb="FF0000FF"/>
        <sz val="10.0"/>
        <u/>
      </rPr>
      <t>Memória de Cálculo para
Custos Indiretos</t>
    </r>
    <r>
      <rPr>
        <rFont val="Calibri"/>
        <color rgb="FF0000FF"/>
        <sz val="10.0"/>
      </rPr>
      <t xml:space="preserve">: base de cálculo x percentual estimado;
</t>
    </r>
    <r>
      <rPr>
        <rFont val="Calibri"/>
        <color rgb="FF0000FF"/>
        <sz val="10.0"/>
        <u/>
      </rPr>
      <t>Lucro</t>
    </r>
    <r>
      <rPr>
        <rFont val="Calibri"/>
        <color rgb="FF0000FF"/>
        <sz val="10.0"/>
      </rPr>
      <t>: base de cálculo x percentual estimado;</t>
    </r>
    <r>
      <rPr>
        <rFont val="Calibri"/>
        <color rgb="FF0000FF"/>
        <sz val="10.0"/>
        <u/>
      </rPr>
      <t xml:space="preserve">
Tributos</t>
    </r>
    <r>
      <rPr>
        <rFont val="Calibri"/>
        <color rgb="FF0000FF"/>
        <sz val="10.0"/>
      </rPr>
      <t>: (base de cálculo x alíquota do tributo)/(1-percentual total estimado em tributos).</t>
    </r>
  </si>
  <si>
    <t>Custos Indiretos, Tributos e Lucros</t>
  </si>
  <si>
    <t>Percentual Estimado¹</t>
  </si>
  <si>
    <t>Valor Mensal Estimado</t>
  </si>
  <si>
    <t>Posto Diurno</t>
  </si>
  <si>
    <t>Posto Noturno</t>
  </si>
  <si>
    <t>A. Custos Indiretos</t>
  </si>
  <si>
    <t>B. Lucro (antes do imposto de renda)</t>
  </si>
  <si>
    <t>C. Tributos</t>
  </si>
  <si>
    <t>-</t>
  </si>
  <si>
    <t>C.1 Tributos Federais</t>
  </si>
  <si>
    <t>a) Cofins</t>
  </si>
  <si>
    <t>b) PIS</t>
  </si>
  <si>
    <t>C.2 Tributos Estaduais</t>
  </si>
  <si>
    <t>C.3 Tributos Municipais</t>
  </si>
  <si>
    <t>a) ISS</t>
  </si>
  <si>
    <t>QUADRO-RESUMO: MÓDULO 7 - CUSTOS INDIRETOS, TRIBUTOS E LUCRO</t>
  </si>
  <si>
    <t>Custos Indiretos</t>
  </si>
  <si>
    <t>Lucro</t>
  </si>
  <si>
    <t>Tributos</t>
  </si>
  <si>
    <t>Total CITL</t>
  </si>
  <si>
    <t>QUADRO-RESUMO: CUSTO MENSAL POR EMPREGADO</t>
  </si>
  <si>
    <t>Módulos de Custeio</t>
  </si>
  <si>
    <t xml:space="preserve">Vigilante em Escala 12x36 DIURNA </t>
  </si>
  <si>
    <t>Vigilante em Escala 
12x36 NOTURNA</t>
  </si>
  <si>
    <t>1 - Composição da Remuneração</t>
  </si>
  <si>
    <t>2 - Encargos e Benefícios</t>
  </si>
  <si>
    <t>3 - Provisão para Rescisão</t>
  </si>
  <si>
    <t>4 - Custo de Reposição do Profissional Ausente</t>
  </si>
  <si>
    <t>5 - Custos com Fornecimento de Materiais</t>
  </si>
  <si>
    <t>6 - Rateio da Chefia de Campo / Supervisor de Equipe</t>
  </si>
  <si>
    <t>7 - Custos Indiretos, Tributos e Lucro</t>
  </si>
  <si>
    <t>Custo Total do Empregado:</t>
  </si>
  <si>
    <t>QUADRO-RESUMO: ESTIMATIVA DE CUSTO DO SERVIÇO (POR POSTO)</t>
  </si>
  <si>
    <t>Vigilância Armada
12x36 DIURNA</t>
  </si>
  <si>
    <t xml:space="preserve">Vigilância Armada
12x36 NOTURNA </t>
  </si>
  <si>
    <t>Nº de Empregados Necessários</t>
  </si>
  <si>
    <t>Custo Mensal por Empregado</t>
  </si>
  <si>
    <t>Custo Mensal do Posto</t>
  </si>
  <si>
    <t>Total Anual do Posto</t>
  </si>
  <si>
    <t>QUADRO RESUMO DA PROPOSTA - VALOR DA CONTRATAÇÃO:</t>
  </si>
  <si>
    <t>GRUPO</t>
  </si>
  <si>
    <t>ITEM</t>
  </si>
  <si>
    <t>DESCRIÇÃO RESUMIDA</t>
  </si>
  <si>
    <t>UNIDADE</t>
  </si>
  <si>
    <t>QTD</t>
  </si>
  <si>
    <t>VALOR UNITÁRIO</t>
  </si>
  <si>
    <t>VALOR TOTAL DO ITEM</t>
  </si>
  <si>
    <t>[1] 
Serviço de Vigilância Patrimonial</t>
  </si>
  <si>
    <t>Vigilância Ostensiva Armada DIURNA - Escala 12x36.</t>
  </si>
  <si>
    <t>Vigilância Ostensiva Armada NOTURNA - Escala 12x36.</t>
  </si>
  <si>
    <t>TOTAL GLOBAL ESTIMADO PARA A CONTRATAÇÃO:</t>
  </si>
  <si>
    <t>TOTAL MENSAL ESTIMADO PARA O SERVIÇO:</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</si>
</sst>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 #,##0.00_);_(* \(#,##0.00\);_(* \-??_);_(@_)"/>
    <numFmt numFmtId="165" formatCode="[$R$ -416]#,##0.00"/>
    <numFmt numFmtId="166" formatCode="0.0"/>
    <numFmt numFmtId="167" formatCode="0.0%"/>
    <numFmt numFmtId="168" formatCode="#,##0.00;[Red]#,##0.00"/>
    <numFmt numFmtId="169" formatCode="#,##0.0000"/>
    <numFmt numFmtId="170" formatCode="#,##0_ ;\-#,##0\ "/>
  </numFmts>
  <fonts count="18">
    <font>
      <sz val="10.0"/>
      <color rgb="FF000000"/>
      <name val="Arial"/>
    </font>
    <font>
      <sz val="12.0"/>
      <color rgb="FFFFFFFF"/>
      <name val="Calibri"/>
    </font>
    <font/>
    <font>
      <sz val="12.0"/>
      <color rgb="FFFF0000"/>
      <name val="Calibri"/>
    </font>
    <font>
      <sz val="10.0"/>
      <color rgb="FF000000"/>
      <name val="Calibri"/>
    </font>
    <font>
      <u/>
      <sz val="10.0"/>
      <color rgb="FF1155CC"/>
      <name val="Calibri"/>
    </font>
    <font>
      <b/>
      <sz val="12.0"/>
      <color rgb="FF000000"/>
      <name val="Calibri"/>
    </font>
    <font>
      <sz val="10.0"/>
      <color rgb="FF0000FF"/>
      <name val="Calibri"/>
    </font>
    <font>
      <b/>
      <sz val="10.0"/>
      <color theme="1"/>
      <name val="Calibri"/>
    </font>
    <font>
      <sz val="10.0"/>
      <color theme="1"/>
      <name val="Calibri"/>
    </font>
    <font>
      <sz val="10.0"/>
      <color rgb="FFFF0000"/>
      <name val="Calibri"/>
    </font>
    <font>
      <b/>
      <sz val="10.0"/>
      <color rgb="FFFF0000"/>
      <name val="Calibri"/>
    </font>
    <font>
      <color theme="1"/>
      <name val="Calibri"/>
    </font>
    <font>
      <b/>
      <sz val="10.0"/>
      <color rgb="FF0000FF"/>
      <name val="Calibri"/>
    </font>
    <font>
      <b/>
      <sz val="10.0"/>
      <color rgb="FF000000"/>
      <name val="Calibri"/>
    </font>
    <font>
      <color theme="1"/>
      <name val="Arial"/>
    </font>
    <font>
      <sz val="12.0"/>
      <color rgb="FF000000"/>
      <name val="Calibri"/>
    </font>
    <font>
      <b/>
      <color rgb="FF000000"/>
      <name val="Calibri"/>
    </font>
  </fonts>
  <fills count="16">
    <fill>
      <patternFill patternType="none"/>
    </fill>
    <fill>
      <patternFill patternType="lightGray"/>
    </fill>
    <fill>
      <patternFill patternType="solid">
        <fgColor rgb="FF2E75B5"/>
        <bgColor rgb="FF2E75B5"/>
      </patternFill>
    </fill>
    <fill>
      <patternFill patternType="solid">
        <fgColor rgb="FFF3F3F3"/>
        <bgColor rgb="FFF3F3F3"/>
      </patternFill>
    </fill>
    <fill>
      <patternFill patternType="solid">
        <fgColor rgb="FFCCCCCC"/>
        <bgColor rgb="FFCCCCCC"/>
      </patternFill>
    </fill>
    <fill>
      <patternFill patternType="solid">
        <fgColor rgb="FF9FC5E8"/>
        <bgColor rgb="FF9FC5E8"/>
      </patternFill>
    </fill>
    <fill>
      <patternFill patternType="solid">
        <fgColor rgb="FFF4CCCC"/>
        <bgColor rgb="FFF4CCCC"/>
      </patternFill>
    </fill>
    <fill>
      <patternFill patternType="solid">
        <fgColor rgb="FFEFEFEF"/>
        <bgColor rgb="FFEFEFEF"/>
      </patternFill>
    </fill>
    <fill>
      <patternFill patternType="solid">
        <fgColor rgb="FFFFFFFF"/>
        <bgColor rgb="FFFFFFFF"/>
      </patternFill>
    </fill>
    <fill>
      <patternFill patternType="solid">
        <fgColor rgb="FF6FA8DC"/>
        <bgColor rgb="FF6FA8DC"/>
      </patternFill>
    </fill>
    <fill>
      <patternFill patternType="solid">
        <fgColor rgb="FFCFE2F3"/>
        <bgColor rgb="FFCFE2F3"/>
      </patternFill>
    </fill>
    <fill>
      <patternFill patternType="solid">
        <fgColor rgb="FFFFF2CC"/>
        <bgColor rgb="FFFFF2CC"/>
      </patternFill>
    </fill>
    <fill>
      <patternFill patternType="solid">
        <fgColor rgb="FFD9D9D9"/>
        <bgColor rgb="FFD9D9D9"/>
      </patternFill>
    </fill>
    <fill>
      <patternFill patternType="solid">
        <fgColor rgb="FFF4B083"/>
        <bgColor rgb="FFF4B083"/>
      </patternFill>
    </fill>
    <fill>
      <patternFill patternType="solid">
        <fgColor theme="0"/>
        <bgColor theme="0"/>
      </patternFill>
    </fill>
    <fill>
      <patternFill patternType="solid">
        <fgColor rgb="FFEAD1DC"/>
        <bgColor rgb="FFEAD1DC"/>
      </patternFill>
    </fill>
  </fills>
  <borders count="20">
    <border/>
    <border>
      <left/>
      <top/>
      <bottom/>
    </border>
    <border>
      <top/>
      <bottom/>
    </border>
    <border>
      <right/>
      <top/>
      <bottom/>
    </border>
    <border>
      <bottom/>
    </border>
    <border>
      <right/>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top/>
      <bottom/>
    </border>
    <border>
      <left style="thin">
        <color rgb="FF000000"/>
      </left>
    </border>
    <border>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224">
    <xf borderId="0" fillId="0" fontId="0" numFmtId="0" xfId="0" applyAlignment="1" applyFont="1">
      <alignment readingOrder="0" shrinkToFit="0" vertical="bottom" wrapText="0"/>
    </xf>
    <xf borderId="1" fillId="2" fontId="1" numFmtId="0" xfId="0" applyAlignment="1" applyBorder="1" applyFill="1" applyFont="1">
      <alignment horizontal="center" readingOrder="0"/>
    </xf>
    <xf borderId="2" fillId="0" fontId="2" numFmtId="0" xfId="0" applyBorder="1" applyFont="1"/>
    <xf borderId="3" fillId="0" fontId="2" numFmtId="0" xfId="0" applyBorder="1" applyFont="1"/>
    <xf borderId="0" fillId="0" fontId="3" numFmtId="0" xfId="0" applyAlignment="1" applyFont="1">
      <alignment horizontal="center" shrinkToFit="0" vertical="center" wrapText="1"/>
    </xf>
    <xf borderId="4" fillId="3" fontId="4" numFmtId="0" xfId="0" applyAlignment="1" applyBorder="1" applyFill="1" applyFont="1">
      <alignment horizontal="left" readingOrder="0" shrinkToFit="0" vertical="center" wrapText="1"/>
    </xf>
    <xf borderId="4" fillId="0" fontId="2" numFmtId="0" xfId="0" applyBorder="1" applyFont="1"/>
    <xf borderId="5" fillId="0" fontId="2" numFmtId="0" xfId="0" applyBorder="1" applyFont="1"/>
    <xf borderId="4" fillId="0" fontId="5" numFmtId="0" xfId="0" applyAlignment="1" applyBorder="1" applyFont="1">
      <alignment horizontal="left" readingOrder="0" shrinkToFit="0" vertical="center" wrapText="1"/>
    </xf>
    <xf borderId="1" fillId="4" fontId="6" numFmtId="0" xfId="0" applyAlignment="1" applyBorder="1" applyFill="1" applyFont="1">
      <alignment horizontal="left" readingOrder="0" vertical="center"/>
    </xf>
    <xf borderId="0" fillId="3" fontId="7" numFmtId="0" xfId="0" applyAlignment="1" applyFont="1">
      <alignment horizontal="left" readingOrder="0" shrinkToFit="0" vertical="center" wrapText="1"/>
    </xf>
    <xf borderId="6" fillId="5" fontId="8" numFmtId="0" xfId="0" applyAlignment="1" applyBorder="1" applyFill="1" applyFont="1">
      <alignment horizontal="center" readingOrder="0" vertical="center"/>
    </xf>
    <xf borderId="7" fillId="0" fontId="2" numFmtId="0" xfId="0" applyBorder="1" applyFont="1"/>
    <xf borderId="8" fillId="0" fontId="2" numFmtId="0" xfId="0" applyBorder="1" applyFont="1"/>
    <xf borderId="6" fillId="3" fontId="9" numFmtId="0" xfId="0" applyAlignment="1" applyBorder="1" applyFont="1">
      <alignment horizontal="center" readingOrder="0" vertical="center"/>
    </xf>
    <xf borderId="9" fillId="3" fontId="9" numFmtId="0" xfId="0" applyAlignment="1" applyBorder="1" applyFont="1">
      <alignment horizontal="center" readingOrder="0" vertical="center"/>
    </xf>
    <xf borderId="9" fillId="3" fontId="4" numFmtId="164" xfId="0" applyAlignment="1" applyBorder="1" applyFont="1" applyNumberFormat="1">
      <alignment horizontal="center" readingOrder="0" shrinkToFit="0" vertical="center" wrapText="1"/>
    </xf>
    <xf borderId="9" fillId="3" fontId="9" numFmtId="0" xfId="0" applyAlignment="1" applyBorder="1" applyFont="1">
      <alignment horizontal="center" readingOrder="0" shrinkToFit="0" vertical="center" wrapText="1"/>
    </xf>
    <xf borderId="6" fillId="0" fontId="9" numFmtId="0" xfId="0" applyAlignment="1" applyBorder="1" applyFont="1">
      <alignment horizontal="left" readingOrder="0" shrinkToFit="0" vertical="center" wrapText="1"/>
    </xf>
    <xf borderId="9" fillId="0" fontId="9" numFmtId="0" xfId="0" applyAlignment="1" applyBorder="1" applyFont="1">
      <alignment horizontal="center" readingOrder="0" shrinkToFit="0" vertical="center" wrapText="1"/>
    </xf>
    <xf borderId="9" fillId="6" fontId="9" numFmtId="3" xfId="0" applyAlignment="1" applyBorder="1" applyFill="1" applyFont="1" applyNumberFormat="1">
      <alignment horizontal="center" readingOrder="0" vertical="center"/>
    </xf>
    <xf borderId="9" fillId="0" fontId="9" numFmtId="3" xfId="0" applyAlignment="1" applyBorder="1" applyFont="1" applyNumberFormat="1">
      <alignment horizontal="center" readingOrder="0" vertical="center"/>
    </xf>
    <xf borderId="6" fillId="7" fontId="8" numFmtId="0" xfId="0" applyAlignment="1" applyBorder="1" applyFill="1" applyFont="1">
      <alignment horizontal="right" readingOrder="0" vertical="center"/>
    </xf>
    <xf borderId="9" fillId="7" fontId="8" numFmtId="3" xfId="0" applyAlignment="1" applyBorder="1" applyFont="1" applyNumberFormat="1">
      <alignment horizontal="center" readingOrder="0" vertical="center"/>
    </xf>
    <xf borderId="6" fillId="8" fontId="8" numFmtId="0" xfId="0" applyAlignment="1" applyBorder="1" applyFill="1" applyFont="1">
      <alignment horizontal="right" readingOrder="0" vertical="center"/>
    </xf>
    <xf borderId="9" fillId="8" fontId="9" numFmtId="3" xfId="0" applyAlignment="1" applyBorder="1" applyFont="1" applyNumberFormat="1">
      <alignment horizontal="center" readingOrder="0" vertical="center"/>
    </xf>
    <xf borderId="9" fillId="8" fontId="8" numFmtId="3" xfId="0" applyAlignment="1" applyBorder="1" applyFont="1" applyNumberFormat="1">
      <alignment horizontal="center" readingOrder="0" vertical="center"/>
    </xf>
    <xf borderId="0" fillId="0" fontId="10" numFmtId="0" xfId="0" applyAlignment="1" applyFont="1">
      <alignment horizontal="center" shrinkToFit="0" vertical="center" wrapText="1"/>
    </xf>
    <xf borderId="0" fillId="0" fontId="10" numFmtId="165" xfId="0" applyAlignment="1" applyFont="1" applyNumberFormat="1">
      <alignment horizontal="center" shrinkToFit="0" vertical="center" wrapText="1"/>
    </xf>
    <xf borderId="1" fillId="9" fontId="8" numFmtId="0" xfId="0" applyAlignment="1" applyBorder="1" applyFill="1" applyFont="1">
      <alignment horizontal="left" readingOrder="0" vertical="center"/>
    </xf>
    <xf borderId="2" fillId="9" fontId="8" numFmtId="0" xfId="0" applyAlignment="1" applyBorder="1" applyFont="1">
      <alignment horizontal="left" readingOrder="0" vertical="center"/>
    </xf>
    <xf borderId="0" fillId="3" fontId="7" numFmtId="0" xfId="0" applyAlignment="1" applyFont="1">
      <alignment horizontal="left" readingOrder="0" shrinkToFit="0" vertical="center" wrapText="1"/>
    </xf>
    <xf borderId="0" fillId="0" fontId="11" numFmtId="0" xfId="0" applyAlignment="1" applyFont="1">
      <alignment horizontal="center" shrinkToFit="0" vertical="center" wrapText="1"/>
    </xf>
    <xf borderId="0" fillId="0" fontId="11" numFmtId="165" xfId="0" applyAlignment="1" applyFont="1" applyNumberFormat="1">
      <alignment horizontal="center" shrinkToFit="0" vertical="center" wrapText="1"/>
    </xf>
    <xf borderId="10" fillId="5" fontId="8" numFmtId="0" xfId="0" applyAlignment="1" applyBorder="1" applyFont="1">
      <alignment horizontal="left" readingOrder="0" shrinkToFit="0" vertical="center" wrapText="1"/>
    </xf>
    <xf borderId="0" fillId="0" fontId="7" numFmtId="0" xfId="0" applyAlignment="1" applyFont="1">
      <alignment horizontal="left" readingOrder="0" shrinkToFit="0" vertical="center" wrapText="1"/>
    </xf>
    <xf borderId="6" fillId="10" fontId="8" numFmtId="0" xfId="0" applyAlignment="1" applyBorder="1" applyFill="1" applyFont="1">
      <alignment horizontal="center" readingOrder="0" shrinkToFit="0" vertical="center" wrapText="1"/>
    </xf>
    <xf borderId="6" fillId="0" fontId="7" numFmtId="0" xfId="0" applyAlignment="1" applyBorder="1" applyFont="1">
      <alignment horizontal="left" readingOrder="0" shrinkToFit="0" vertical="center" wrapText="1"/>
    </xf>
    <xf borderId="9" fillId="3" fontId="8" numFmtId="0" xfId="0" applyAlignment="1" applyBorder="1" applyFont="1">
      <alignment horizontal="center" readingOrder="0" vertical="center"/>
    </xf>
    <xf borderId="9" fillId="0" fontId="9" numFmtId="0" xfId="0" applyAlignment="1" applyBorder="1" applyFont="1">
      <alignment horizontal="left" readingOrder="0" vertical="center"/>
    </xf>
    <xf borderId="9" fillId="11" fontId="9" numFmtId="165" xfId="0" applyAlignment="1" applyBorder="1" applyFill="1" applyFont="1" applyNumberFormat="1">
      <alignment horizontal="center" readingOrder="0" vertical="center"/>
    </xf>
    <xf borderId="9" fillId="11" fontId="8" numFmtId="165" xfId="0" applyAlignment="1" applyBorder="1" applyFont="1" applyNumberFormat="1">
      <alignment horizontal="center" readingOrder="0" vertical="center"/>
    </xf>
    <xf borderId="9" fillId="0" fontId="9" numFmtId="0" xfId="0" applyAlignment="1" applyBorder="1" applyFont="1">
      <alignment horizontal="center" readingOrder="0" vertical="center"/>
    </xf>
    <xf borderId="9" fillId="0" fontId="9" numFmtId="165" xfId="0" applyAlignment="1" applyBorder="1" applyFont="1" applyNumberFormat="1">
      <alignment horizontal="center" readingOrder="0" vertical="center"/>
    </xf>
    <xf borderId="9" fillId="0" fontId="9" numFmtId="165" xfId="0" applyAlignment="1" applyBorder="1" applyFont="1" applyNumberFormat="1">
      <alignment horizontal="center" readingOrder="0" vertical="center"/>
    </xf>
    <xf borderId="0" fillId="0" fontId="9" numFmtId="0" xfId="0" applyAlignment="1" applyFont="1">
      <alignment horizontal="center" vertical="center"/>
    </xf>
    <xf borderId="0" fillId="0" fontId="9" numFmtId="165" xfId="0" applyAlignment="1" applyFont="1" applyNumberFormat="1">
      <alignment horizontal="center" vertical="center"/>
    </xf>
    <xf borderId="6" fillId="8" fontId="7" numFmtId="0" xfId="0" applyAlignment="1" applyBorder="1" applyFont="1">
      <alignment horizontal="left" readingOrder="0" shrinkToFit="0" vertical="center" wrapText="1"/>
    </xf>
    <xf borderId="9" fillId="3" fontId="8" numFmtId="0" xfId="0" applyAlignment="1" applyBorder="1" applyFont="1">
      <alignment horizontal="center" readingOrder="0" shrinkToFit="0" vertical="center" wrapText="1"/>
    </xf>
    <xf borderId="9" fillId="3" fontId="8" numFmtId="165" xfId="0" applyAlignment="1" applyBorder="1" applyFont="1" applyNumberFormat="1">
      <alignment horizontal="center" readingOrder="0" vertical="center"/>
    </xf>
    <xf borderId="9" fillId="0" fontId="9" numFmtId="0" xfId="0" applyAlignment="1" applyBorder="1" applyFont="1">
      <alignment horizontal="left" readingOrder="0" shrinkToFit="0" vertical="center" wrapText="1"/>
    </xf>
    <xf borderId="9" fillId="0" fontId="9" numFmtId="166" xfId="0" applyAlignment="1" applyBorder="1" applyFont="1" applyNumberFormat="1">
      <alignment horizontal="center" readingOrder="0" vertical="center"/>
    </xf>
    <xf borderId="9" fillId="0" fontId="12" numFmtId="165" xfId="0" applyAlignment="1" applyBorder="1" applyFont="1" applyNumberFormat="1">
      <alignment horizontal="center" vertical="center"/>
    </xf>
    <xf borderId="9" fillId="0" fontId="8" numFmtId="165" xfId="0" applyAlignment="1" applyBorder="1" applyFont="1" applyNumberFormat="1">
      <alignment horizontal="center" readingOrder="0" vertical="center"/>
    </xf>
    <xf borderId="9" fillId="0" fontId="9" numFmtId="9" xfId="0" applyAlignment="1" applyBorder="1" applyFont="1" applyNumberFormat="1">
      <alignment horizontal="center" readingOrder="0" vertical="center"/>
    </xf>
    <xf borderId="6" fillId="3" fontId="8" numFmtId="0" xfId="0" applyAlignment="1" applyBorder="1" applyFont="1">
      <alignment horizontal="center" readingOrder="0" vertical="center"/>
    </xf>
    <xf borderId="9" fillId="0" fontId="8" numFmtId="165" xfId="0" applyAlignment="1" applyBorder="1" applyFont="1" applyNumberFormat="1">
      <alignment horizontal="center" readingOrder="0" vertical="center"/>
    </xf>
    <xf borderId="0" fillId="0" fontId="12" numFmtId="0" xfId="0" applyFont="1"/>
    <xf borderId="9" fillId="0" fontId="9" numFmtId="165" xfId="0" applyAlignment="1" applyBorder="1" applyFont="1" applyNumberFormat="1">
      <alignment horizontal="center" vertical="center"/>
    </xf>
    <xf borderId="9" fillId="11" fontId="9" numFmtId="9" xfId="0" applyAlignment="1" applyBorder="1" applyFont="1" applyNumberFormat="1">
      <alignment horizontal="center" readingOrder="0" vertical="center"/>
    </xf>
    <xf borderId="9" fillId="0" fontId="8" numFmtId="165" xfId="0" applyAlignment="1" applyBorder="1" applyFont="1" applyNumberFormat="1">
      <alignment horizontal="center" vertical="center"/>
    </xf>
    <xf borderId="6" fillId="7" fontId="8" numFmtId="0" xfId="0" applyAlignment="1" applyBorder="1" applyFont="1">
      <alignment readingOrder="0"/>
    </xf>
    <xf borderId="9" fillId="10" fontId="8" numFmtId="0" xfId="0" applyAlignment="1" applyBorder="1" applyFont="1">
      <alignment horizontal="center" readingOrder="0" shrinkToFit="0" vertical="center" wrapText="1"/>
    </xf>
    <xf borderId="9" fillId="10" fontId="8" numFmtId="165" xfId="0" applyAlignment="1" applyBorder="1" applyFont="1" applyNumberFormat="1">
      <alignment horizontal="center" readingOrder="0" shrinkToFit="0" vertical="center" wrapText="1"/>
    </xf>
    <xf borderId="9" fillId="3" fontId="9" numFmtId="165" xfId="0" applyAlignment="1" applyBorder="1" applyFont="1" applyNumberFormat="1">
      <alignment horizontal="center" vertical="center"/>
    </xf>
    <xf borderId="0" fillId="8" fontId="8" numFmtId="0" xfId="0" applyAlignment="1" applyFont="1">
      <alignment horizontal="left" readingOrder="0" shrinkToFit="0" vertical="center" wrapText="1"/>
    </xf>
    <xf borderId="0" fillId="8" fontId="8" numFmtId="0" xfId="0" applyAlignment="1" applyFont="1">
      <alignment horizontal="center" readingOrder="0" shrinkToFit="0" vertical="center" wrapText="1"/>
    </xf>
    <xf borderId="11" fillId="0" fontId="7" numFmtId="0" xfId="0" applyAlignment="1" applyBorder="1" applyFont="1">
      <alignment horizontal="left" readingOrder="0" shrinkToFit="0" vertical="center" wrapText="1"/>
    </xf>
    <xf borderId="12" fillId="0" fontId="2" numFmtId="0" xfId="0" applyBorder="1" applyFont="1"/>
    <xf borderId="9" fillId="0" fontId="9" numFmtId="167" xfId="0" applyAlignment="1" applyBorder="1" applyFont="1" applyNumberFormat="1">
      <alignment horizontal="center" vertical="center"/>
    </xf>
    <xf borderId="6" fillId="3" fontId="8" numFmtId="0" xfId="0" applyAlignment="1" applyBorder="1" applyFont="1">
      <alignment readingOrder="0"/>
    </xf>
    <xf borderId="0" fillId="0" fontId="12" numFmtId="0" xfId="0" applyFont="1"/>
    <xf borderId="6" fillId="12" fontId="8" numFmtId="0" xfId="0" applyAlignment="1" applyBorder="1" applyFill="1" applyFont="1">
      <alignment horizontal="left" readingOrder="0" vertical="center"/>
    </xf>
    <xf borderId="9" fillId="5" fontId="8" numFmtId="165" xfId="0" applyAlignment="1" applyBorder="1" applyFont="1" applyNumberFormat="1">
      <alignment horizontal="center" readingOrder="0" shrinkToFit="0" vertical="center" wrapText="1"/>
    </xf>
    <xf borderId="9" fillId="5" fontId="8" numFmtId="0" xfId="0" applyAlignment="1" applyBorder="1" applyFont="1">
      <alignment horizontal="center" readingOrder="0" shrinkToFit="0" vertical="center" wrapText="1"/>
    </xf>
    <xf borderId="0" fillId="0" fontId="10" numFmtId="0" xfId="0" applyAlignment="1" applyFont="1">
      <alignment horizontal="center" vertical="center"/>
    </xf>
    <xf borderId="6" fillId="8" fontId="7" numFmtId="0" xfId="0" applyAlignment="1" applyBorder="1" applyFont="1">
      <alignment horizontal="left" readingOrder="0" vertical="center"/>
    </xf>
    <xf borderId="0" fillId="8" fontId="7" numFmtId="0" xfId="0" applyAlignment="1" applyFont="1">
      <alignment horizontal="center" vertical="center"/>
    </xf>
    <xf borderId="0" fillId="8" fontId="9" numFmtId="0" xfId="0" applyAlignment="1" applyFont="1">
      <alignment horizontal="center" vertical="center"/>
    </xf>
    <xf borderId="9" fillId="0" fontId="9" numFmtId="10" xfId="0" applyAlignment="1" applyBorder="1" applyFont="1" applyNumberFormat="1">
      <alignment horizontal="center" vertical="center"/>
    </xf>
    <xf borderId="0" fillId="0" fontId="7" numFmtId="0" xfId="0" applyAlignment="1" applyFont="1">
      <alignment horizontal="center" vertical="center"/>
    </xf>
    <xf borderId="6" fillId="10" fontId="8" numFmtId="0" xfId="0" applyAlignment="1" applyBorder="1" applyFont="1">
      <alignment horizontal="center" shrinkToFit="0" vertical="center" wrapText="1"/>
    </xf>
    <xf borderId="0" fillId="0" fontId="9" numFmtId="167" xfId="0" applyAlignment="1" applyFont="1" applyNumberFormat="1">
      <alignment horizontal="center" vertical="center"/>
    </xf>
    <xf borderId="6" fillId="7" fontId="8" numFmtId="0" xfId="0" applyAlignment="1" applyBorder="1" applyFont="1">
      <alignment horizontal="left" readingOrder="0" vertical="center"/>
    </xf>
    <xf borderId="9" fillId="10" fontId="8" numFmtId="165" xfId="0" applyAlignment="1" applyBorder="1" applyFont="1" applyNumberFormat="1">
      <alignment horizontal="center" vertical="center"/>
    </xf>
    <xf borderId="9" fillId="10" fontId="8" numFmtId="0" xfId="0" applyAlignment="1" applyBorder="1" applyFont="1">
      <alignment horizontal="center" vertical="center"/>
    </xf>
    <xf borderId="9" fillId="10" fontId="8" numFmtId="0" xfId="0" applyAlignment="1" applyBorder="1" applyFont="1">
      <alignment horizontal="center" readingOrder="0" vertical="center"/>
    </xf>
    <xf borderId="0" fillId="8" fontId="8" numFmtId="0" xfId="0" applyAlignment="1" applyFont="1">
      <alignment horizontal="center" vertical="center"/>
    </xf>
    <xf borderId="6" fillId="10" fontId="8" numFmtId="0" xfId="0" applyAlignment="1" applyBorder="1" applyFont="1">
      <alignment horizontal="center" vertical="center"/>
    </xf>
    <xf borderId="9" fillId="3" fontId="8" numFmtId="0" xfId="0" applyAlignment="1" applyBorder="1" applyFont="1">
      <alignment horizontal="center" vertical="center"/>
    </xf>
    <xf borderId="9" fillId="0" fontId="9" numFmtId="0" xfId="0" applyAlignment="1" applyBorder="1" applyFont="1">
      <alignment horizontal="center" vertical="center"/>
    </xf>
    <xf borderId="9" fillId="11" fontId="9" numFmtId="10" xfId="0" applyAlignment="1" applyBorder="1" applyFont="1" applyNumberFormat="1">
      <alignment horizontal="center" vertical="center"/>
    </xf>
    <xf borderId="9" fillId="11" fontId="9" numFmtId="10" xfId="0" applyAlignment="1" applyBorder="1" applyFont="1" applyNumberFormat="1">
      <alignment horizontal="center" readingOrder="0" vertical="center"/>
    </xf>
    <xf borderId="0" fillId="8" fontId="7" numFmtId="0" xfId="0" applyAlignment="1" applyFont="1">
      <alignment horizontal="left" readingOrder="0" shrinkToFit="0" vertical="center" wrapText="1"/>
    </xf>
    <xf borderId="0" fillId="0" fontId="9" numFmtId="0" xfId="0" applyAlignment="1" applyFont="1">
      <alignment horizontal="left" vertical="center"/>
    </xf>
    <xf borderId="9" fillId="8" fontId="8" numFmtId="0" xfId="0" applyAlignment="1" applyBorder="1" applyFont="1">
      <alignment horizontal="center" vertical="center"/>
    </xf>
    <xf borderId="9" fillId="8" fontId="8" numFmtId="10" xfId="0" applyAlignment="1" applyBorder="1" applyFont="1" applyNumberFormat="1">
      <alignment horizontal="center" vertical="center"/>
    </xf>
    <xf borderId="6" fillId="8" fontId="7" numFmtId="0" xfId="0" applyAlignment="1" applyBorder="1" applyFont="1">
      <alignment horizontal="left" readingOrder="0" shrinkToFit="0" wrapText="1"/>
    </xf>
    <xf borderId="9" fillId="8" fontId="9" numFmtId="10" xfId="0" applyAlignment="1" applyBorder="1" applyFont="1" applyNumberFormat="1">
      <alignment horizontal="center" vertical="center"/>
    </xf>
    <xf borderId="9" fillId="0" fontId="9" numFmtId="168" xfId="0" applyAlignment="1" applyBorder="1" applyFont="1" applyNumberFormat="1">
      <alignment horizontal="center" vertical="center"/>
    </xf>
    <xf borderId="0" fillId="5" fontId="8" numFmtId="0" xfId="0" applyAlignment="1" applyFont="1">
      <alignment horizontal="center" vertical="center"/>
    </xf>
    <xf borderId="6" fillId="10" fontId="8" numFmtId="0" xfId="0" applyAlignment="1" applyBorder="1" applyFont="1">
      <alignment horizontal="center" readingOrder="0" vertical="center"/>
    </xf>
    <xf borderId="9" fillId="11" fontId="9" numFmtId="1" xfId="0" applyAlignment="1" applyBorder="1" applyFont="1" applyNumberFormat="1">
      <alignment horizontal="center" vertical="center"/>
    </xf>
    <xf borderId="9" fillId="0" fontId="9" numFmtId="1" xfId="0" applyAlignment="1" applyBorder="1" applyFont="1" applyNumberFormat="1">
      <alignment horizontal="center" readingOrder="0" vertical="center"/>
    </xf>
    <xf borderId="9" fillId="11" fontId="9" numFmtId="165" xfId="0" applyAlignment="1" applyBorder="1" applyFont="1" applyNumberFormat="1">
      <alignment horizontal="center" vertical="center"/>
    </xf>
    <xf borderId="9" fillId="11" fontId="9" numFmtId="9" xfId="0" applyAlignment="1" applyBorder="1" applyFont="1" applyNumberFormat="1">
      <alignment horizontal="center" vertical="center"/>
    </xf>
    <xf borderId="9" fillId="3" fontId="8" numFmtId="165" xfId="0" applyAlignment="1" applyBorder="1" applyFont="1" applyNumberFormat="1">
      <alignment horizontal="center" vertical="center"/>
    </xf>
    <xf borderId="0" fillId="5" fontId="8" numFmtId="0" xfId="0" applyAlignment="1" applyFont="1">
      <alignment horizontal="center" readingOrder="0" vertical="center"/>
    </xf>
    <xf borderId="9" fillId="0" fontId="9" numFmtId="1" xfId="0" applyAlignment="1" applyBorder="1" applyFont="1" applyNumberFormat="1">
      <alignment horizontal="center" vertical="center"/>
    </xf>
    <xf borderId="0" fillId="5" fontId="8" numFmtId="0" xfId="0" applyAlignment="1" applyFont="1">
      <alignment horizontal="center" readingOrder="0" shrinkToFit="0" vertical="center" wrapText="1"/>
    </xf>
    <xf borderId="9" fillId="3" fontId="8" numFmtId="165" xfId="0" applyAlignment="1" applyBorder="1" applyFont="1" applyNumberFormat="1">
      <alignment horizontal="center" readingOrder="0" shrinkToFit="0" vertical="center" wrapText="1"/>
    </xf>
    <xf borderId="0" fillId="8" fontId="8" numFmtId="0" xfId="0" applyAlignment="1" applyFont="1">
      <alignment horizontal="center" readingOrder="0" vertical="center"/>
    </xf>
    <xf borderId="0" fillId="0" fontId="9" numFmtId="0" xfId="0" applyFont="1"/>
    <xf borderId="9" fillId="5" fontId="8" numFmtId="165" xfId="0" applyAlignment="1" applyBorder="1" applyFont="1" applyNumberFormat="1">
      <alignment horizontal="center" vertical="center"/>
    </xf>
    <xf borderId="9" fillId="5" fontId="8" numFmtId="0" xfId="0" applyAlignment="1" applyBorder="1" applyFont="1">
      <alignment horizontal="center" vertical="center"/>
    </xf>
    <xf borderId="9" fillId="5" fontId="8" numFmtId="0" xfId="0" applyAlignment="1" applyBorder="1" applyFont="1">
      <alignment horizontal="center" readingOrder="0" vertical="center"/>
    </xf>
    <xf borderId="6" fillId="5" fontId="8" numFmtId="0" xfId="0" applyAlignment="1" applyBorder="1" applyFont="1">
      <alignment horizontal="center" readingOrder="0" shrinkToFit="0" vertical="center" wrapText="1"/>
    </xf>
    <xf borderId="6" fillId="3" fontId="8" numFmtId="0" xfId="0" applyAlignment="1" applyBorder="1" applyFont="1">
      <alignment horizontal="center" vertical="center"/>
    </xf>
    <xf borderId="6" fillId="0" fontId="9" numFmtId="0" xfId="0" applyAlignment="1" applyBorder="1" applyFont="1">
      <alignment horizontal="center" readingOrder="0" shrinkToFit="0" vertical="center" wrapText="1"/>
    </xf>
    <xf borderId="6" fillId="13" fontId="9" numFmtId="0" xfId="0" applyAlignment="1" applyBorder="1" applyFill="1" applyFont="1">
      <alignment horizontal="center" readingOrder="0" shrinkToFit="0" vertical="center" wrapText="1"/>
    </xf>
    <xf borderId="9" fillId="13" fontId="9" numFmtId="10" xfId="0" applyAlignment="1" applyBorder="1" applyFont="1" applyNumberFormat="1">
      <alignment horizontal="center" readingOrder="0" vertical="center"/>
    </xf>
    <xf borderId="0" fillId="0" fontId="7" numFmtId="0" xfId="0" applyAlignment="1" applyFont="1">
      <alignment horizontal="left" readingOrder="0" vertical="center"/>
    </xf>
    <xf borderId="6" fillId="8" fontId="8" numFmtId="0" xfId="0" applyAlignment="1" applyBorder="1" applyFont="1">
      <alignment horizontal="center" vertical="center"/>
    </xf>
    <xf borderId="9" fillId="0" fontId="9" numFmtId="10" xfId="0" applyAlignment="1" applyBorder="1" applyFont="1" applyNumberFormat="1">
      <alignment horizontal="center" readingOrder="0" vertical="center"/>
    </xf>
    <xf borderId="0" fillId="0" fontId="8" numFmtId="0" xfId="0" applyAlignment="1" applyFont="1">
      <alignment vertical="center"/>
    </xf>
    <xf borderId="0" fillId="0" fontId="13" numFmtId="0" xfId="0" applyAlignment="1" applyFont="1">
      <alignment vertical="center"/>
    </xf>
    <xf borderId="9" fillId="0" fontId="4" numFmtId="9" xfId="0" applyAlignment="1" applyBorder="1" applyFont="1" applyNumberFormat="1">
      <alignment horizontal="center" readingOrder="0" vertical="center"/>
    </xf>
    <xf borderId="9" fillId="10" fontId="8" numFmtId="165" xfId="0" applyAlignment="1" applyBorder="1" applyFont="1" applyNumberFormat="1">
      <alignment horizontal="center" readingOrder="0" vertical="center"/>
    </xf>
    <xf borderId="1" fillId="3" fontId="7" numFmtId="0" xfId="0" applyAlignment="1" applyBorder="1" applyFont="1">
      <alignment horizontal="left" readingOrder="0" shrinkToFit="0" vertical="center" wrapText="1"/>
    </xf>
    <xf borderId="9" fillId="5" fontId="8" numFmtId="165" xfId="0" applyAlignment="1" applyBorder="1" applyFont="1" applyNumberFormat="1">
      <alignment horizontal="center" readingOrder="0" vertical="center"/>
    </xf>
    <xf borderId="6" fillId="14" fontId="7" numFmtId="0" xfId="0" applyAlignment="1" applyBorder="1" applyFill="1" applyFont="1">
      <alignment horizontal="left" readingOrder="0" shrinkToFit="0" vertical="center" wrapText="1"/>
    </xf>
    <xf borderId="13" fillId="3" fontId="8" numFmtId="0" xfId="0" applyAlignment="1" applyBorder="1" applyFont="1">
      <alignment horizontal="center" readingOrder="0" shrinkToFit="0" vertical="center" wrapText="1"/>
    </xf>
    <xf borderId="13" fillId="3" fontId="8" numFmtId="165" xfId="0" applyAlignment="1" applyBorder="1" applyFont="1" applyNumberFormat="1">
      <alignment horizontal="center" readingOrder="0" shrinkToFit="0" vertical="center" wrapText="1"/>
    </xf>
    <xf borderId="14" fillId="0" fontId="2" numFmtId="0" xfId="0" applyBorder="1" applyFont="1"/>
    <xf borderId="9" fillId="11" fontId="9" numFmtId="169" xfId="0" applyAlignment="1" applyBorder="1" applyFont="1" applyNumberFormat="1">
      <alignment horizontal="center" readingOrder="0" shrinkToFit="0" vertical="center" wrapText="1"/>
    </xf>
    <xf borderId="9" fillId="0" fontId="9" numFmtId="0" xfId="0" applyAlignment="1" applyBorder="1" applyFont="1">
      <alignment horizontal="center" shrinkToFit="0" vertical="center" wrapText="1"/>
    </xf>
    <xf borderId="9" fillId="0" fontId="9" numFmtId="10" xfId="0" applyAlignment="1" applyBorder="1" applyFont="1" applyNumberFormat="1">
      <alignment horizontal="center" readingOrder="0" shrinkToFit="0" vertical="center" wrapText="1"/>
    </xf>
    <xf borderId="9" fillId="0" fontId="8" numFmtId="170" xfId="0" applyAlignment="1" applyBorder="1" applyFont="1" applyNumberFormat="1">
      <alignment horizontal="center" shrinkToFit="0" vertical="center" wrapText="1"/>
    </xf>
    <xf borderId="0" fillId="0" fontId="9" numFmtId="0" xfId="0" applyAlignment="1" applyFont="1">
      <alignment horizontal="center" readingOrder="0" shrinkToFit="0" vertical="center" wrapText="1"/>
    </xf>
    <xf borderId="9" fillId="0" fontId="9" numFmtId="10" xfId="0" applyAlignment="1" applyBorder="1" applyFont="1" applyNumberFormat="1">
      <alignment horizontal="center" shrinkToFit="0" vertical="center" wrapText="1"/>
    </xf>
    <xf borderId="0" fillId="0" fontId="9" numFmtId="9" xfId="0" applyAlignment="1" applyFont="1" applyNumberFormat="1">
      <alignment horizontal="center" readingOrder="0" vertical="center"/>
    </xf>
    <xf borderId="6" fillId="8" fontId="8" numFmtId="0" xfId="0" applyAlignment="1" applyBorder="1" applyFont="1">
      <alignment horizontal="right" readingOrder="0" shrinkToFit="0" vertical="center" wrapText="1"/>
    </xf>
    <xf borderId="9" fillId="8" fontId="8" numFmtId="1" xfId="0" applyAlignment="1" applyBorder="1" applyFont="1" applyNumberFormat="1">
      <alignment horizontal="center" shrinkToFit="0" vertical="center" wrapText="1"/>
    </xf>
    <xf borderId="1" fillId="9" fontId="8" numFmtId="0" xfId="0" applyAlignment="1" applyBorder="1" applyFont="1">
      <alignment horizontal="left" readingOrder="0" shrinkToFit="0" vertical="center" wrapText="1"/>
    </xf>
    <xf borderId="0" fillId="0" fontId="10" numFmtId="3" xfId="0" applyAlignment="1" applyFont="1" applyNumberFormat="1">
      <alignment horizontal="center" shrinkToFit="0" vertical="center" wrapText="1"/>
    </xf>
    <xf borderId="9" fillId="10" fontId="14" numFmtId="3" xfId="0" applyAlignment="1" applyBorder="1" applyFont="1" applyNumberFormat="1">
      <alignment horizontal="center" readingOrder="0" shrinkToFit="0" vertical="center" wrapText="1"/>
    </xf>
    <xf borderId="13" fillId="10" fontId="14" numFmtId="0" xfId="0" applyAlignment="1" applyBorder="1" applyFont="1">
      <alignment horizontal="center" readingOrder="0" shrinkToFit="0" vertical="center" wrapText="1"/>
    </xf>
    <xf borderId="13" fillId="10" fontId="14" numFmtId="165" xfId="0" applyAlignment="1" applyBorder="1" applyFont="1" applyNumberFormat="1">
      <alignment horizontal="center" readingOrder="0" shrinkToFit="0" vertical="center" wrapText="1"/>
    </xf>
    <xf borderId="9" fillId="10" fontId="14" numFmtId="0" xfId="0" applyAlignment="1" applyBorder="1" applyFont="1">
      <alignment horizontal="center" readingOrder="0" shrinkToFit="0" vertical="center" wrapText="1"/>
    </xf>
    <xf borderId="6" fillId="8" fontId="9" numFmtId="0" xfId="0" applyAlignment="1" applyBorder="1" applyFont="1">
      <alignment horizontal="left" shrinkToFit="0" vertical="center" wrapText="1"/>
    </xf>
    <xf borderId="9" fillId="8" fontId="9" numFmtId="0" xfId="0" applyAlignment="1" applyBorder="1" applyFont="1">
      <alignment horizontal="center" shrinkToFit="0" vertical="center" wrapText="1"/>
    </xf>
    <xf borderId="9" fillId="8" fontId="9" numFmtId="3" xfId="0" applyAlignment="1" applyBorder="1" applyFont="1" applyNumberFormat="1">
      <alignment horizontal="center" shrinkToFit="0" vertical="center" wrapText="1"/>
    </xf>
    <xf borderId="9" fillId="11" fontId="12" numFmtId="4" xfId="0" applyAlignment="1" applyBorder="1" applyFont="1" applyNumberFormat="1">
      <alignment horizontal="center" vertical="center"/>
    </xf>
    <xf borderId="6" fillId="8" fontId="9" numFmtId="3" xfId="0" applyAlignment="1" applyBorder="1" applyFont="1" applyNumberFormat="1">
      <alignment horizontal="left" shrinkToFit="0" vertical="center" wrapText="1"/>
    </xf>
    <xf borderId="9" fillId="11" fontId="12" numFmtId="165" xfId="0" applyAlignment="1" applyBorder="1" applyFont="1" applyNumberFormat="1">
      <alignment horizontal="center" vertical="center"/>
    </xf>
    <xf borderId="9" fillId="8" fontId="9" numFmtId="4" xfId="0" applyAlignment="1" applyBorder="1" applyFont="1" applyNumberFormat="1">
      <alignment horizontal="center" shrinkToFit="0" vertical="center" wrapText="1"/>
    </xf>
    <xf borderId="6" fillId="3" fontId="9" numFmtId="0" xfId="0" applyAlignment="1" applyBorder="1" applyFont="1">
      <alignment horizontal="right" readingOrder="0" shrinkToFit="0" vertical="center" wrapText="1"/>
    </xf>
    <xf borderId="9" fillId="3" fontId="9" numFmtId="165" xfId="0" applyAlignment="1" applyBorder="1" applyFont="1" applyNumberFormat="1">
      <alignment horizontal="center" readingOrder="0" vertical="center"/>
    </xf>
    <xf borderId="6" fillId="3" fontId="8" numFmtId="0" xfId="0" applyAlignment="1" applyBorder="1" applyFont="1">
      <alignment horizontal="right" readingOrder="0" shrinkToFit="0" vertical="center" wrapText="1"/>
    </xf>
    <xf borderId="15" fillId="10" fontId="8" numFmtId="0" xfId="0" applyAlignment="1" applyBorder="1" applyFont="1">
      <alignment horizontal="center" readingOrder="0" shrinkToFit="0" vertical="center" wrapText="1"/>
    </xf>
    <xf borderId="16" fillId="0" fontId="2" numFmtId="0" xfId="0" applyBorder="1" applyFont="1"/>
    <xf borderId="13" fillId="10" fontId="8" numFmtId="0" xfId="0" applyAlignment="1" applyBorder="1" applyFont="1">
      <alignment horizontal="center" readingOrder="0" vertical="center"/>
    </xf>
    <xf borderId="13" fillId="10" fontId="14" numFmtId="3" xfId="0" applyAlignment="1" applyBorder="1" applyFont="1" applyNumberFormat="1">
      <alignment horizontal="center" readingOrder="0" shrinkToFit="0" vertical="center" wrapText="1"/>
    </xf>
    <xf borderId="6" fillId="8" fontId="9" numFmtId="3" xfId="0" applyAlignment="1" applyBorder="1" applyFont="1" applyNumberFormat="1">
      <alignment horizontal="left" readingOrder="0" shrinkToFit="0" vertical="center" wrapText="1"/>
    </xf>
    <xf borderId="9" fillId="11" fontId="9" numFmtId="165" xfId="0" applyAlignment="1" applyBorder="1" applyFont="1" applyNumberFormat="1">
      <alignment horizontal="center" shrinkToFit="0" vertical="center" wrapText="1"/>
    </xf>
    <xf borderId="6" fillId="8" fontId="9" numFmtId="0" xfId="0" applyAlignment="1" applyBorder="1" applyFont="1">
      <alignment horizontal="left" readingOrder="0" shrinkToFit="0" vertical="center" wrapText="1"/>
    </xf>
    <xf borderId="17" fillId="3" fontId="9" numFmtId="0" xfId="0" applyAlignment="1" applyBorder="1" applyFont="1">
      <alignment horizontal="right" readingOrder="0" shrinkToFit="0" vertical="center" wrapText="1"/>
    </xf>
    <xf borderId="18" fillId="0" fontId="2" numFmtId="0" xfId="0" applyBorder="1" applyFont="1"/>
    <xf borderId="19" fillId="0" fontId="2" numFmtId="0" xfId="0" applyBorder="1" applyFont="1"/>
    <xf borderId="14" fillId="3" fontId="9" numFmtId="165" xfId="0" applyAlignment="1" applyBorder="1" applyFont="1" applyNumberFormat="1">
      <alignment horizontal="center" readingOrder="0" vertical="center"/>
    </xf>
    <xf borderId="0" fillId="8" fontId="13" numFmtId="0" xfId="0" applyAlignment="1" applyFont="1">
      <alignment horizontal="left" readingOrder="0" shrinkToFit="0" vertical="center" wrapText="1"/>
    </xf>
    <xf borderId="0" fillId="0" fontId="10" numFmtId="0" xfId="0" applyAlignment="1" applyFont="1">
      <alignment horizontal="left" readingOrder="0" shrinkToFit="0" vertical="center" wrapText="1"/>
    </xf>
    <xf borderId="0" fillId="0" fontId="15" numFmtId="165" xfId="0" applyFont="1" applyNumberFormat="1"/>
    <xf borderId="0" fillId="0" fontId="15" numFmtId="0" xfId="0" applyFont="1"/>
    <xf borderId="0" fillId="0" fontId="15" numFmtId="0" xfId="0" applyFont="1"/>
    <xf borderId="6" fillId="0" fontId="9" numFmtId="0" xfId="0" applyAlignment="1" applyBorder="1" applyFont="1">
      <alignment horizontal="left" readingOrder="0" vertical="center"/>
    </xf>
    <xf borderId="9" fillId="0" fontId="9" numFmtId="165" xfId="0" applyAlignment="1" applyBorder="1" applyFont="1" applyNumberFormat="1">
      <alignment horizontal="center" readingOrder="0" shrinkToFit="0" vertical="center" wrapText="1"/>
    </xf>
    <xf borderId="0" fillId="0" fontId="8" numFmtId="165" xfId="0" applyAlignment="1" applyFont="1" applyNumberFormat="1">
      <alignment horizontal="center" vertical="center"/>
    </xf>
    <xf borderId="9" fillId="0" fontId="12" numFmtId="165" xfId="0" applyAlignment="1" applyBorder="1" applyFont="1" applyNumberFormat="1">
      <alignment horizontal="center"/>
    </xf>
    <xf borderId="9" fillId="8" fontId="9" numFmtId="165" xfId="0" applyAlignment="1" applyBorder="1" applyFont="1" applyNumberFormat="1">
      <alignment horizontal="center" readingOrder="0" vertical="center"/>
    </xf>
    <xf borderId="0" fillId="8" fontId="8" numFmtId="0" xfId="0" applyAlignment="1" applyFont="1">
      <alignment horizontal="left" readingOrder="0" vertical="center"/>
    </xf>
    <xf borderId="9" fillId="0" fontId="12" numFmtId="0" xfId="0" applyAlignment="1" applyBorder="1" applyFont="1">
      <alignment horizontal="center" readingOrder="0"/>
    </xf>
    <xf borderId="9" fillId="8" fontId="8" numFmtId="165" xfId="0" applyAlignment="1" applyBorder="1" applyFont="1" applyNumberFormat="1">
      <alignment horizontal="center" readingOrder="0" vertical="center"/>
    </xf>
    <xf borderId="9" fillId="8" fontId="9" numFmtId="0" xfId="0" applyAlignment="1" applyBorder="1" applyFont="1">
      <alignment horizontal="center" readingOrder="0" vertical="center"/>
    </xf>
    <xf borderId="15" fillId="3" fontId="8" numFmtId="0" xfId="0" applyAlignment="1" applyBorder="1" applyFont="1">
      <alignment horizontal="center" readingOrder="0" vertical="center"/>
    </xf>
    <xf borderId="13" fillId="3" fontId="8" numFmtId="0" xfId="0" applyAlignment="1" applyBorder="1" applyFont="1">
      <alignment horizontal="center" readingOrder="0" vertical="center"/>
    </xf>
    <xf borderId="17" fillId="0" fontId="2" numFmtId="0" xfId="0" applyBorder="1" applyFont="1"/>
    <xf borderId="9" fillId="8" fontId="8" numFmtId="0" xfId="0" applyAlignment="1" applyBorder="1" applyFont="1">
      <alignment horizontal="center" readingOrder="0" vertical="center"/>
    </xf>
    <xf borderId="6" fillId="10" fontId="9" numFmtId="0" xfId="0" applyAlignment="1" applyBorder="1" applyFont="1">
      <alignment horizontal="left" readingOrder="0" vertical="center"/>
    </xf>
    <xf borderId="9" fillId="0" fontId="4" numFmtId="165" xfId="0" applyAlignment="1" applyBorder="1" applyFont="1" applyNumberFormat="1">
      <alignment horizontal="center" vertical="center"/>
    </xf>
    <xf borderId="9" fillId="10" fontId="4" numFmtId="165" xfId="0" applyAlignment="1" applyBorder="1" applyFont="1" applyNumberFormat="1">
      <alignment horizontal="center"/>
    </xf>
    <xf borderId="9" fillId="10" fontId="4" numFmtId="165" xfId="0" applyAlignment="1" applyBorder="1" applyFont="1" applyNumberFormat="1">
      <alignment horizontal="center" vertical="center"/>
    </xf>
    <xf borderId="9" fillId="8" fontId="9" numFmtId="10" xfId="0" applyAlignment="1" applyBorder="1" applyFont="1" applyNumberFormat="1">
      <alignment horizontal="center" readingOrder="0" vertical="center"/>
    </xf>
    <xf borderId="9" fillId="0" fontId="4" numFmtId="165" xfId="0" applyAlignment="1" applyBorder="1" applyFont="1" applyNumberFormat="1">
      <alignment horizontal="center" readingOrder="0" vertical="center"/>
    </xf>
    <xf borderId="9" fillId="0" fontId="4" numFmtId="165" xfId="0" applyAlignment="1" applyBorder="1" applyFont="1" applyNumberFormat="1">
      <alignment horizontal="center"/>
    </xf>
    <xf borderId="0" fillId="0" fontId="9" numFmtId="0" xfId="0" applyAlignment="1" applyFont="1">
      <alignment horizontal="center" readingOrder="0" vertical="center"/>
    </xf>
    <xf borderId="6" fillId="8" fontId="8" numFmtId="0" xfId="0" applyAlignment="1" applyBorder="1" applyFont="1">
      <alignment horizontal="left" readingOrder="0" shrinkToFit="0" vertical="center" wrapText="1"/>
    </xf>
    <xf borderId="9" fillId="10" fontId="9" numFmtId="165" xfId="0" applyAlignment="1" applyBorder="1" applyFont="1" applyNumberFormat="1">
      <alignment horizontal="center" readingOrder="0" shrinkToFit="0" vertical="center" wrapText="1"/>
    </xf>
    <xf borderId="0" fillId="0" fontId="4" numFmtId="0" xfId="0" applyAlignment="1" applyFont="1">
      <alignment horizontal="center" vertical="center"/>
    </xf>
    <xf borderId="6" fillId="8" fontId="14" numFmtId="0" xfId="0" applyAlignment="1" applyBorder="1" applyFont="1">
      <alignment horizontal="right" readingOrder="0" shrinkToFit="0" vertical="center" wrapText="1"/>
    </xf>
    <xf borderId="9" fillId="8" fontId="14" numFmtId="165" xfId="0" applyAlignment="1" applyBorder="1" applyFont="1" applyNumberFormat="1">
      <alignment horizontal="center" vertical="center"/>
    </xf>
    <xf borderId="0" fillId="0" fontId="16" numFmtId="0" xfId="0" applyAlignment="1" applyFont="1">
      <alignment horizontal="center" shrinkToFit="0" vertical="center" wrapText="1"/>
    </xf>
    <xf borderId="6" fillId="12" fontId="8" numFmtId="0" xfId="0" applyAlignment="1" applyBorder="1" applyFont="1">
      <alignment horizontal="left" readingOrder="0" shrinkToFit="0" vertical="center" wrapText="1"/>
    </xf>
    <xf borderId="0" fillId="8" fontId="14" numFmtId="0" xfId="0" applyAlignment="1" applyFont="1">
      <alignment horizontal="center" shrinkToFit="0" vertical="center" wrapText="1"/>
    </xf>
    <xf borderId="17" fillId="8" fontId="9" numFmtId="0" xfId="0" applyAlignment="1" applyBorder="1" applyFont="1">
      <alignment horizontal="right" readingOrder="0" shrinkToFit="0" vertical="center" wrapText="1"/>
    </xf>
    <xf borderId="9" fillId="0" fontId="9" numFmtId="0" xfId="0" applyAlignment="1" applyBorder="1" applyFont="1">
      <alignment horizontal="right" readingOrder="0" shrinkToFit="0" vertical="center" wrapText="1"/>
    </xf>
    <xf borderId="9" fillId="0" fontId="9" numFmtId="3" xfId="0" applyAlignment="1" applyBorder="1" applyFont="1" applyNumberFormat="1">
      <alignment horizontal="center" vertical="center"/>
    </xf>
    <xf borderId="9" fillId="0" fontId="9" numFmtId="0" xfId="0" applyAlignment="1" applyBorder="1" applyFont="1">
      <alignment horizontal="right" readingOrder="0" vertical="center"/>
    </xf>
    <xf borderId="9" fillId="7" fontId="9" numFmtId="0" xfId="0" applyAlignment="1" applyBorder="1" applyFont="1">
      <alignment horizontal="right" readingOrder="0" vertical="center"/>
    </xf>
    <xf borderId="9" fillId="7" fontId="9" numFmtId="165" xfId="0" applyAlignment="1" applyBorder="1" applyFont="1" applyNumberFormat="1">
      <alignment horizontal="center" vertical="center"/>
    </xf>
    <xf borderId="0" fillId="0" fontId="17" numFmtId="0" xfId="0" applyAlignment="1" applyFont="1">
      <alignment readingOrder="0"/>
    </xf>
    <xf borderId="9" fillId="8" fontId="9" numFmtId="0" xfId="0" applyAlignment="1" applyBorder="1" applyFont="1">
      <alignment horizontal="right" readingOrder="0" vertical="center"/>
    </xf>
    <xf borderId="9" fillId="8" fontId="12" numFmtId="165" xfId="0" applyAlignment="1" applyBorder="1" applyFont="1" applyNumberFormat="1">
      <alignment horizontal="center"/>
    </xf>
    <xf borderId="6" fillId="15" fontId="8" numFmtId="0" xfId="0" applyAlignment="1" applyBorder="1" applyFill="1" applyFont="1">
      <alignment horizontal="left" readingOrder="0" shrinkToFit="0" vertical="center" wrapText="1"/>
    </xf>
    <xf borderId="9" fillId="7" fontId="8" numFmtId="0" xfId="0" applyAlignment="1" applyBorder="1" applyFont="1">
      <alignment horizontal="center" readingOrder="0" shrinkToFit="0" vertical="center" wrapText="1"/>
    </xf>
    <xf borderId="9" fillId="7" fontId="14" numFmtId="0" xfId="0" applyAlignment="1" applyBorder="1" applyFont="1">
      <alignment horizontal="center" readingOrder="0" shrinkToFit="0" vertical="center" wrapText="1"/>
    </xf>
    <xf borderId="13" fillId="8" fontId="8" numFmtId="0" xfId="0" applyAlignment="1" applyBorder="1" applyFont="1">
      <alignment horizontal="center" readingOrder="0" shrinkToFit="0" vertical="center" wrapText="1"/>
    </xf>
    <xf borderId="9" fillId="8" fontId="17" numFmtId="0" xfId="0" applyAlignment="1" applyBorder="1" applyFont="1">
      <alignment horizontal="left" readingOrder="0" shrinkToFit="0" wrapText="1"/>
    </xf>
    <xf borderId="9" fillId="8" fontId="12" numFmtId="0" xfId="0" applyAlignment="1" applyBorder="1" applyFont="1">
      <alignment horizontal="center" vertical="center"/>
    </xf>
    <xf borderId="9" fillId="8" fontId="4" numFmtId="3" xfId="0" applyAlignment="1" applyBorder="1" applyFont="1" applyNumberFormat="1">
      <alignment horizontal="center" shrinkToFit="0" vertical="center" wrapText="1"/>
    </xf>
    <xf borderId="9" fillId="8" fontId="4" numFmtId="165" xfId="0" applyAlignment="1" applyBorder="1" applyFont="1" applyNumberFormat="1">
      <alignment horizontal="center" shrinkToFit="0" vertical="center" wrapText="1"/>
    </xf>
    <xf borderId="9" fillId="8" fontId="17" numFmtId="0" xfId="0" applyAlignment="1" applyBorder="1" applyFont="1">
      <alignment readingOrder="0" shrinkToFit="0" wrapText="1"/>
    </xf>
    <xf borderId="6" fillId="8" fontId="9" numFmtId="3" xfId="0" applyAlignment="1" applyBorder="1" applyFont="1" applyNumberFormat="1">
      <alignment horizontal="right" readingOrder="0" vertical="center"/>
    </xf>
    <xf borderId="9" fillId="8" fontId="14" numFmtId="165"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gov.br/compras/pt-br/transparencia/cadernos-tecnicos-e-valores-limites/cts-2019/ct_vig_rs_2019.pdf" TargetMode="External"/><Relationship Id="rId2" Type="http://schemas.openxmlformats.org/officeDocument/2006/relationships/hyperlink" Target="https://www.gov.br/compras/pt-br/centrais-de-conteudo/orientacoes-e-procedimentos/28-orientacao-sobre-os-valores-limites-referenciais-de-2020" TargetMode="External"/><Relationship Id="rId3" Type="http://schemas.openxmlformats.org/officeDocument/2006/relationships/hyperlink" Target="https://www.gov.br/compras/pt-br/centrais-de-conteudo/orientacoes-e-procedimentos/26-extincao-da-contribuicao-social-de-10-sobre-o-fgts-e-os-contratos-administrativos" TargetMode="External"/><Relationship Id="rId4" Type="http://schemas.openxmlformats.org/officeDocument/2006/relationships/hyperlink" Target="https://www.gov.br/compras/pt-br/centrais-de-conteudo/orientacoes-e-procedimentos/impactos-da-reforma-trabalhista-nos-contratos-da-administracao" TargetMode="External"/><Relationship Id="rId5" Type="http://schemas.openxmlformats.org/officeDocument/2006/relationships/hyperlink" Target="https://www.gov.br/compras/pt-br/centrais-de-conteudo/orientacoes-e-procedimentos/midia/elaborao-da-planilha-de-custos-e-formao-de-preos.pdf" TargetMode="External"/><Relationship Id="rId6" Type="http://schemas.openxmlformats.org/officeDocument/2006/relationships/hyperlink" Target="https://www.gov.br/compras/pt-br/centrais-de-conteudo/orientacoes-e-procedimentos/midia/nota-informativa-submdulo-2-1.pdf/view" TargetMode="External"/><Relationship Id="rId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75"/>
  <cols>
    <col customWidth="1" min="1" max="1" width="36.71"/>
    <col customWidth="1" min="2" max="2" width="19.57"/>
    <col customWidth="1" min="3" max="3" width="20.14"/>
    <col customWidth="1" min="4" max="4" width="21.86"/>
    <col customWidth="1" min="5" max="5" width="22.0"/>
    <col customWidth="1" min="6" max="6" width="18.57"/>
    <col customWidth="1" min="7" max="7" width="21.86"/>
  </cols>
  <sheetData>
    <row r="1">
      <c r="A1" s="1" t="s">
        <v>0</v>
      </c>
      <c r="B1" s="2"/>
      <c r="C1" s="2"/>
      <c r="D1" s="2"/>
      <c r="E1" s="2"/>
      <c r="F1" s="2"/>
      <c r="G1" s="3"/>
    </row>
    <row r="2" ht="6.0" customHeight="1">
      <c r="A2" s="4"/>
      <c r="B2" s="4"/>
      <c r="C2" s="4"/>
      <c r="D2" s="4"/>
      <c r="E2" s="4"/>
      <c r="F2" s="4"/>
      <c r="G2" s="4"/>
    </row>
    <row r="3">
      <c r="A3" s="5" t="s">
        <v>1</v>
      </c>
      <c r="B3" s="6"/>
      <c r="C3" s="6"/>
      <c r="D3" s="6"/>
      <c r="E3" s="6"/>
      <c r="F3" s="6"/>
      <c r="G3" s="7"/>
    </row>
    <row r="4">
      <c r="A4" s="8" t="s">
        <v>2</v>
      </c>
      <c r="B4" s="6"/>
      <c r="C4" s="6"/>
      <c r="D4" s="6"/>
      <c r="E4" s="6"/>
      <c r="F4" s="6"/>
      <c r="G4" s="7"/>
    </row>
    <row r="5">
      <c r="A5" s="8" t="s">
        <v>3</v>
      </c>
      <c r="B5" s="6"/>
      <c r="C5" s="6"/>
      <c r="D5" s="6"/>
      <c r="E5" s="6"/>
      <c r="F5" s="6"/>
      <c r="G5" s="7"/>
    </row>
    <row r="6">
      <c r="A6" s="8" t="s">
        <v>4</v>
      </c>
      <c r="B6" s="6"/>
      <c r="C6" s="6"/>
      <c r="D6" s="6"/>
      <c r="E6" s="6"/>
      <c r="F6" s="6"/>
      <c r="G6" s="7"/>
    </row>
    <row r="7">
      <c r="A7" s="8" t="s">
        <v>5</v>
      </c>
      <c r="B7" s="6"/>
      <c r="C7" s="6"/>
      <c r="D7" s="6"/>
      <c r="E7" s="6"/>
      <c r="F7" s="6"/>
      <c r="G7" s="7"/>
    </row>
    <row r="8">
      <c r="A8" s="8" t="s">
        <v>6</v>
      </c>
      <c r="B8" s="6"/>
      <c r="C8" s="6"/>
      <c r="D8" s="6"/>
      <c r="E8" s="6"/>
      <c r="F8" s="6"/>
      <c r="G8" s="7"/>
    </row>
    <row r="9">
      <c r="A9" s="8" t="s">
        <v>7</v>
      </c>
      <c r="B9" s="6"/>
      <c r="C9" s="6"/>
      <c r="D9" s="6"/>
      <c r="E9" s="6"/>
      <c r="F9" s="6"/>
      <c r="G9" s="7"/>
    </row>
    <row r="10" ht="6.0" customHeight="1">
      <c r="A10" s="4"/>
      <c r="B10" s="4"/>
      <c r="C10" s="4"/>
      <c r="D10" s="4"/>
      <c r="E10" s="4"/>
      <c r="F10" s="4"/>
      <c r="G10" s="4"/>
    </row>
    <row r="11">
      <c r="A11" s="9" t="s">
        <v>8</v>
      </c>
      <c r="B11" s="2"/>
      <c r="C11" s="2"/>
      <c r="D11" s="2"/>
      <c r="E11" s="2"/>
      <c r="F11" s="2"/>
      <c r="G11" s="3"/>
    </row>
    <row r="12" ht="6.0" customHeight="1">
      <c r="A12" s="4"/>
      <c r="B12" s="4"/>
      <c r="C12" s="4"/>
      <c r="D12" s="4"/>
      <c r="E12" s="4"/>
      <c r="F12" s="4"/>
      <c r="G12" s="4"/>
    </row>
    <row r="13" ht="15.0" customHeight="1">
      <c r="A13" s="10" t="s">
        <v>9</v>
      </c>
    </row>
    <row r="14" ht="6.0" customHeight="1">
      <c r="A14" s="4"/>
      <c r="B14" s="4"/>
      <c r="C14" s="4"/>
      <c r="D14" s="4"/>
      <c r="E14" s="4"/>
      <c r="F14" s="4"/>
      <c r="G14" s="4"/>
    </row>
    <row r="15" ht="15.0" customHeight="1">
      <c r="A15" s="11" t="s">
        <v>10</v>
      </c>
      <c r="B15" s="12"/>
      <c r="C15" s="12"/>
      <c r="D15" s="12"/>
      <c r="E15" s="12"/>
      <c r="F15" s="12"/>
      <c r="G15" s="13"/>
    </row>
    <row r="16" ht="27.75" customHeight="1">
      <c r="A16" s="14" t="s">
        <v>11</v>
      </c>
      <c r="B16" s="12"/>
      <c r="C16" s="13"/>
      <c r="D16" s="15" t="s">
        <v>12</v>
      </c>
      <c r="E16" s="16" t="s">
        <v>13</v>
      </c>
      <c r="F16" s="16" t="s">
        <v>14</v>
      </c>
      <c r="G16" s="17" t="s">
        <v>15</v>
      </c>
    </row>
    <row r="17">
      <c r="A17" s="18" t="s">
        <v>16</v>
      </c>
      <c r="B17" s="12"/>
      <c r="C17" s="13"/>
      <c r="D17" s="19" t="s">
        <v>17</v>
      </c>
      <c r="E17" s="20">
        <v>1.0</v>
      </c>
      <c r="F17" s="21">
        <v>2.0</v>
      </c>
      <c r="G17" s="21">
        <f t="shared" ref="G17:G18" si="1">F17*E17</f>
        <v>2</v>
      </c>
    </row>
    <row r="18">
      <c r="A18" s="18" t="s">
        <v>18</v>
      </c>
      <c r="B18" s="12"/>
      <c r="C18" s="13"/>
      <c r="D18" s="19" t="s">
        <v>17</v>
      </c>
      <c r="E18" s="20">
        <v>2.0</v>
      </c>
      <c r="F18" s="21">
        <v>2.0</v>
      </c>
      <c r="G18" s="21">
        <f t="shared" si="1"/>
        <v>4</v>
      </c>
    </row>
    <row r="19" ht="15.0" customHeight="1">
      <c r="A19" s="22" t="s">
        <v>19</v>
      </c>
      <c r="B19" s="12"/>
      <c r="C19" s="12"/>
      <c r="D19" s="12"/>
      <c r="E19" s="12"/>
      <c r="F19" s="13"/>
      <c r="G19" s="23">
        <f>SUM(G17:G18)</f>
        <v>6</v>
      </c>
    </row>
    <row r="20" ht="15.0" customHeight="1">
      <c r="A20" s="24" t="s">
        <v>20</v>
      </c>
      <c r="B20" s="12"/>
      <c r="C20" s="12"/>
      <c r="D20" s="12"/>
      <c r="E20" s="12"/>
      <c r="F20" s="13"/>
      <c r="G20" s="25">
        <f>IF((G19/40)&lt;1,1,(G19/40))</f>
        <v>1</v>
      </c>
    </row>
    <row r="21" ht="15.0" customHeight="1">
      <c r="A21" s="24" t="s">
        <v>21</v>
      </c>
      <c r="B21" s="12"/>
      <c r="C21" s="12"/>
      <c r="D21" s="12"/>
      <c r="E21" s="12"/>
      <c r="F21" s="13"/>
      <c r="G21" s="26">
        <f>SUM(G19:G20)</f>
        <v>7</v>
      </c>
    </row>
    <row r="22" ht="6.0" customHeight="1">
      <c r="A22" s="4"/>
      <c r="B22" s="4"/>
      <c r="C22" s="4"/>
      <c r="D22" s="4"/>
      <c r="E22" s="4"/>
      <c r="F22" s="4"/>
      <c r="G22" s="4"/>
    </row>
    <row r="23">
      <c r="A23" s="9" t="s">
        <v>22</v>
      </c>
      <c r="B23" s="2"/>
      <c r="C23" s="2"/>
      <c r="D23" s="2"/>
      <c r="E23" s="2"/>
      <c r="F23" s="2"/>
      <c r="G23" s="3"/>
    </row>
    <row r="24" ht="6.0" customHeight="1">
      <c r="A24" s="4"/>
      <c r="B24" s="4"/>
      <c r="C24" s="4"/>
      <c r="D24" s="4"/>
      <c r="E24" s="4"/>
      <c r="F24" s="4"/>
      <c r="G24" s="4"/>
    </row>
    <row r="25">
      <c r="A25" s="10" t="s">
        <v>23</v>
      </c>
    </row>
    <row r="26" ht="6.0" customHeight="1">
      <c r="A26" s="27"/>
      <c r="B26" s="27"/>
      <c r="C26" s="28"/>
      <c r="D26" s="27"/>
      <c r="E26" s="27"/>
      <c r="F26" s="27"/>
      <c r="G26" s="27"/>
    </row>
    <row r="27">
      <c r="A27" s="29" t="s">
        <v>24</v>
      </c>
      <c r="B27" s="30"/>
      <c r="C27" s="30"/>
      <c r="D27" s="30"/>
      <c r="E27" s="30"/>
      <c r="F27" s="30"/>
      <c r="G27" s="30"/>
    </row>
    <row r="28">
      <c r="A28" s="31" t="s">
        <v>25</v>
      </c>
    </row>
    <row r="29" ht="6.0" customHeight="1">
      <c r="A29" s="32"/>
      <c r="B29" s="32"/>
      <c r="C29" s="33"/>
      <c r="D29" s="32"/>
      <c r="E29" s="32"/>
      <c r="F29" s="32"/>
      <c r="G29" s="32"/>
    </row>
    <row r="30">
      <c r="A30" s="34" t="s">
        <v>26</v>
      </c>
      <c r="B30" s="2"/>
      <c r="C30" s="2"/>
      <c r="D30" s="2"/>
      <c r="E30" s="2"/>
      <c r="F30" s="2"/>
      <c r="G30" s="2"/>
    </row>
    <row r="31">
      <c r="A31" s="35" t="s">
        <v>27</v>
      </c>
    </row>
    <row r="32" ht="6.0" customHeight="1">
      <c r="A32" s="32"/>
      <c r="B32" s="32"/>
      <c r="C32" s="33"/>
      <c r="D32" s="32"/>
      <c r="E32" s="32"/>
      <c r="F32" s="32"/>
      <c r="G32" s="32"/>
    </row>
    <row r="33">
      <c r="A33" s="36" t="s">
        <v>28</v>
      </c>
      <c r="B33" s="12"/>
      <c r="C33" s="12"/>
      <c r="D33" s="12"/>
      <c r="E33" s="12"/>
      <c r="F33" s="12"/>
      <c r="G33" s="13"/>
    </row>
    <row r="34">
      <c r="A34" s="37" t="s">
        <v>29</v>
      </c>
      <c r="B34" s="12"/>
      <c r="C34" s="12"/>
      <c r="D34" s="12"/>
      <c r="E34" s="12"/>
      <c r="F34" s="12"/>
      <c r="G34" s="13"/>
    </row>
    <row r="35">
      <c r="A35" s="38" t="s">
        <v>30</v>
      </c>
      <c r="B35" s="38" t="s">
        <v>31</v>
      </c>
      <c r="C35" s="38" t="s">
        <v>32</v>
      </c>
      <c r="D35" s="38" t="s">
        <v>33</v>
      </c>
      <c r="E35" s="38" t="s">
        <v>34</v>
      </c>
      <c r="F35" s="38" t="s">
        <v>35</v>
      </c>
      <c r="G35" s="38" t="s">
        <v>36</v>
      </c>
    </row>
    <row r="36" ht="24.0" customHeight="1">
      <c r="A36" s="39" t="s">
        <v>37</v>
      </c>
      <c r="B36" s="40" t="s">
        <v>38</v>
      </c>
      <c r="C36" s="41">
        <v>1590.6</v>
      </c>
      <c r="D36" s="42">
        <v>220.0</v>
      </c>
      <c r="E36" s="43">
        <f>C36/D36</f>
        <v>7.23</v>
      </c>
      <c r="F36" s="44">
        <f>E36*1.5</f>
        <v>10.845</v>
      </c>
      <c r="G36" s="44">
        <f>E36*1.3</f>
        <v>9.399</v>
      </c>
    </row>
    <row r="37" ht="6.0" customHeight="1">
      <c r="A37" s="45"/>
      <c r="B37" s="45"/>
      <c r="C37" s="46"/>
      <c r="D37" s="45"/>
      <c r="E37" s="45"/>
      <c r="F37" s="45"/>
      <c r="G37" s="45"/>
    </row>
    <row r="38">
      <c r="A38" s="36" t="s">
        <v>39</v>
      </c>
      <c r="B38" s="12"/>
      <c r="C38" s="12"/>
      <c r="D38" s="12"/>
      <c r="E38" s="12"/>
      <c r="F38" s="12"/>
      <c r="G38" s="13"/>
    </row>
    <row r="39">
      <c r="A39" s="47" t="s">
        <v>40</v>
      </c>
      <c r="B39" s="12"/>
      <c r="C39" s="12"/>
      <c r="D39" s="12"/>
      <c r="E39" s="12"/>
      <c r="F39" s="12"/>
      <c r="G39" s="13"/>
    </row>
    <row r="40">
      <c r="A40" s="38" t="s">
        <v>41</v>
      </c>
      <c r="B40" s="48" t="s">
        <v>42</v>
      </c>
      <c r="C40" s="49" t="s">
        <v>43</v>
      </c>
      <c r="D40" s="38" t="s">
        <v>44</v>
      </c>
      <c r="E40" s="38" t="s">
        <v>45</v>
      </c>
      <c r="F40" s="48" t="s">
        <v>46</v>
      </c>
      <c r="G40" s="48" t="s">
        <v>47</v>
      </c>
    </row>
    <row r="41" ht="27.75" customHeight="1">
      <c r="A41" s="50" t="s">
        <v>48</v>
      </c>
      <c r="B41" s="51">
        <v>0.0</v>
      </c>
      <c r="C41" s="43">
        <f t="shared" ref="C41:C42" si="2">$E$36</f>
        <v>7.23</v>
      </c>
      <c r="D41" s="42">
        <v>0.0</v>
      </c>
      <c r="E41" s="52">
        <f t="shared" ref="E41:E42" si="3">C41*0.2</f>
        <v>1.446</v>
      </c>
      <c r="F41" s="42">
        <v>15.0</v>
      </c>
      <c r="G41" s="53">
        <f t="shared" ref="G41:G42" si="4">B41*E41*F41</f>
        <v>0</v>
      </c>
    </row>
    <row r="42">
      <c r="A42" s="50" t="s">
        <v>49</v>
      </c>
      <c r="B42" s="51">
        <v>8.0</v>
      </c>
      <c r="C42" s="43">
        <f t="shared" si="2"/>
        <v>7.23</v>
      </c>
      <c r="D42" s="54">
        <v>0.2</v>
      </c>
      <c r="E42" s="52">
        <f t="shared" si="3"/>
        <v>1.446</v>
      </c>
      <c r="F42" s="42">
        <v>15.0</v>
      </c>
      <c r="G42" s="53">
        <f t="shared" si="4"/>
        <v>173.52</v>
      </c>
    </row>
    <row r="43" ht="6.0" customHeight="1">
      <c r="A43" s="45"/>
      <c r="B43" s="45"/>
      <c r="C43" s="46"/>
      <c r="D43" s="45"/>
      <c r="E43" s="45"/>
      <c r="F43" s="45"/>
      <c r="G43" s="45"/>
    </row>
    <row r="44">
      <c r="A44" s="36" t="s">
        <v>50</v>
      </c>
      <c r="B44" s="12"/>
      <c r="C44" s="12"/>
      <c r="D44" s="12"/>
      <c r="E44" s="12"/>
      <c r="F44" s="12"/>
      <c r="G44" s="13"/>
    </row>
    <row r="45">
      <c r="A45" s="47" t="s">
        <v>51</v>
      </c>
      <c r="B45" s="12"/>
      <c r="C45" s="12"/>
      <c r="D45" s="12"/>
      <c r="E45" s="12"/>
      <c r="F45" s="12"/>
      <c r="G45" s="13"/>
    </row>
    <row r="46">
      <c r="A46" s="55" t="s">
        <v>41</v>
      </c>
      <c r="B46" s="13"/>
      <c r="C46" s="48" t="s">
        <v>42</v>
      </c>
      <c r="D46" s="48" t="s">
        <v>52</v>
      </c>
      <c r="E46" s="49" t="s">
        <v>53</v>
      </c>
      <c r="F46" s="48" t="s">
        <v>46</v>
      </c>
      <c r="G46" s="48" t="s">
        <v>54</v>
      </c>
    </row>
    <row r="47">
      <c r="A47" s="18" t="s">
        <v>48</v>
      </c>
      <c r="B47" s="13"/>
      <c r="C47" s="51">
        <v>0.0</v>
      </c>
      <c r="D47" s="51">
        <f t="shared" ref="D47:D48" si="5">C47*14.285%</f>
        <v>0</v>
      </c>
      <c r="E47" s="44">
        <f t="shared" ref="E47:E48" si="6">$F$36</f>
        <v>10.845</v>
      </c>
      <c r="F47" s="42">
        <v>15.0</v>
      </c>
      <c r="G47" s="56">
        <f t="shared" ref="G47:G48" si="7">D47*E47*F47</f>
        <v>0</v>
      </c>
    </row>
    <row r="48">
      <c r="A48" s="18" t="s">
        <v>49</v>
      </c>
      <c r="B48" s="13"/>
      <c r="C48" s="51">
        <v>8.0</v>
      </c>
      <c r="D48" s="51">
        <f t="shared" si="5"/>
        <v>1.1428</v>
      </c>
      <c r="E48" s="44">
        <f t="shared" si="6"/>
        <v>10.845</v>
      </c>
      <c r="F48" s="42">
        <v>15.0</v>
      </c>
      <c r="G48" s="56">
        <f t="shared" si="7"/>
        <v>185.90499</v>
      </c>
    </row>
    <row r="49" ht="6.0" customHeight="1">
      <c r="A49" s="45"/>
      <c r="B49" s="45"/>
      <c r="C49" s="46"/>
      <c r="D49" s="45"/>
      <c r="E49" s="45"/>
      <c r="F49" s="45"/>
      <c r="G49" s="45"/>
    </row>
    <row r="50">
      <c r="A50" s="36" t="s">
        <v>55</v>
      </c>
      <c r="B50" s="12"/>
      <c r="C50" s="12"/>
      <c r="D50" s="12"/>
      <c r="E50" s="13"/>
      <c r="F50" s="57"/>
      <c r="G50" s="57"/>
    </row>
    <row r="51">
      <c r="A51" s="47" t="s">
        <v>56</v>
      </c>
      <c r="B51" s="12"/>
      <c r="C51" s="12"/>
      <c r="D51" s="12"/>
      <c r="E51" s="13"/>
      <c r="F51" s="57"/>
      <c r="G51" s="45"/>
    </row>
    <row r="52">
      <c r="A52" s="55" t="s">
        <v>41</v>
      </c>
      <c r="B52" s="13"/>
      <c r="C52" s="49" t="s">
        <v>57</v>
      </c>
      <c r="D52" s="38" t="s">
        <v>58</v>
      </c>
      <c r="E52" s="48" t="s">
        <v>59</v>
      </c>
      <c r="F52" s="57"/>
      <c r="G52" s="45"/>
    </row>
    <row r="53">
      <c r="A53" s="18" t="s">
        <v>48</v>
      </c>
      <c r="B53" s="13"/>
      <c r="C53" s="58">
        <f t="shared" ref="C53:C54" si="8">G41+G47</f>
        <v>0</v>
      </c>
      <c r="D53" s="59">
        <v>0.2</v>
      </c>
      <c r="E53" s="60">
        <f t="shared" ref="E53:E54" si="9">C53*D53</f>
        <v>0</v>
      </c>
      <c r="F53" s="57"/>
      <c r="G53" s="45"/>
    </row>
    <row r="54">
      <c r="A54" s="18" t="s">
        <v>49</v>
      </c>
      <c r="B54" s="13"/>
      <c r="C54" s="58">
        <f t="shared" si="8"/>
        <v>359.42499</v>
      </c>
      <c r="D54" s="59">
        <v>0.2</v>
      </c>
      <c r="E54" s="60">
        <f t="shared" si="9"/>
        <v>71.884998</v>
      </c>
      <c r="F54" s="57"/>
      <c r="G54" s="45"/>
    </row>
    <row r="55" ht="6.0" customHeight="1">
      <c r="A55" s="45"/>
      <c r="B55" s="45"/>
      <c r="C55" s="46"/>
      <c r="D55" s="45"/>
      <c r="E55" s="45"/>
      <c r="F55" s="45"/>
      <c r="G55" s="45"/>
    </row>
    <row r="56">
      <c r="A56" s="36" t="s">
        <v>60</v>
      </c>
      <c r="B56" s="12"/>
      <c r="C56" s="12"/>
      <c r="D56" s="12"/>
      <c r="E56" s="12"/>
      <c r="F56" s="12"/>
      <c r="G56" s="13"/>
    </row>
    <row r="57">
      <c r="A57" s="47" t="s">
        <v>61</v>
      </c>
      <c r="B57" s="12"/>
      <c r="C57" s="12"/>
      <c r="D57" s="12"/>
      <c r="E57" s="12"/>
      <c r="F57" s="12"/>
      <c r="G57" s="13"/>
    </row>
    <row r="58">
      <c r="A58" s="55" t="s">
        <v>41</v>
      </c>
      <c r="B58" s="13"/>
      <c r="C58" s="49" t="s">
        <v>57</v>
      </c>
      <c r="D58" s="38" t="s">
        <v>58</v>
      </c>
      <c r="E58" s="48" t="s">
        <v>62</v>
      </c>
      <c r="F58" s="48" t="s">
        <v>63</v>
      </c>
      <c r="G58" s="48" t="s">
        <v>64</v>
      </c>
    </row>
    <row r="59">
      <c r="A59" s="18" t="s">
        <v>48</v>
      </c>
      <c r="B59" s="13"/>
      <c r="C59" s="58">
        <f t="shared" ref="C59:C60" si="10">$C$36+G41+G47+E53</f>
        <v>1590.6</v>
      </c>
      <c r="D59" s="59">
        <v>0.3</v>
      </c>
      <c r="E59" s="58">
        <f t="shared" ref="E59:E60" si="11">(C59/220)*0.3</f>
        <v>2.169</v>
      </c>
      <c r="F59" s="52">
        <f t="shared" ref="F59:F60" si="12">(C59+E59)/220</f>
        <v>7.239859091</v>
      </c>
      <c r="G59" s="60">
        <f t="shared" ref="G59:G60" si="13">C59*D59</f>
        <v>477.18</v>
      </c>
    </row>
    <row r="60">
      <c r="A60" s="18" t="s">
        <v>49</v>
      </c>
      <c r="B60" s="13"/>
      <c r="C60" s="58">
        <f t="shared" si="10"/>
        <v>2021.909988</v>
      </c>
      <c r="D60" s="59">
        <v>0.3</v>
      </c>
      <c r="E60" s="58">
        <f t="shared" si="11"/>
        <v>2.757149984</v>
      </c>
      <c r="F60" s="52">
        <f t="shared" si="12"/>
        <v>9.203032445</v>
      </c>
      <c r="G60" s="60">
        <f t="shared" si="13"/>
        <v>606.5729964</v>
      </c>
    </row>
    <row r="61" ht="6.0" customHeight="1">
      <c r="A61" s="45"/>
      <c r="B61" s="45"/>
      <c r="C61" s="46"/>
      <c r="D61" s="45"/>
      <c r="E61" s="45"/>
      <c r="F61" s="45"/>
      <c r="G61" s="45"/>
    </row>
    <row r="62">
      <c r="A62" s="61" t="s">
        <v>65</v>
      </c>
      <c r="B62" s="12"/>
      <c r="C62" s="12"/>
      <c r="D62" s="12"/>
      <c r="E62" s="12"/>
      <c r="F62" s="12"/>
      <c r="G62" s="13"/>
    </row>
    <row r="63">
      <c r="A63" s="62" t="s">
        <v>41</v>
      </c>
      <c r="B63" s="63" t="s">
        <v>66</v>
      </c>
      <c r="C63" s="62" t="s">
        <v>67</v>
      </c>
      <c r="D63" s="62" t="s">
        <v>68</v>
      </c>
      <c r="E63" s="62" t="s">
        <v>69</v>
      </c>
      <c r="F63" s="62" t="s">
        <v>70</v>
      </c>
      <c r="G63" s="62" t="s">
        <v>71</v>
      </c>
    </row>
    <row r="64">
      <c r="A64" s="50" t="s">
        <v>48</v>
      </c>
      <c r="B64" s="58">
        <f>C36</f>
        <v>1590.6</v>
      </c>
      <c r="C64" s="58">
        <f t="shared" ref="C64:C65" si="14">G41</f>
        <v>0</v>
      </c>
      <c r="D64" s="58">
        <f t="shared" ref="D64:D65" si="15">G47</f>
        <v>0</v>
      </c>
      <c r="E64" s="58">
        <f t="shared" ref="E64:E65" si="16">E53</f>
        <v>0</v>
      </c>
      <c r="F64" s="58">
        <f t="shared" ref="F64:F65" si="17">G59</f>
        <v>477.18</v>
      </c>
      <c r="G64" s="64">
        <f t="shared" ref="G64:G65" si="18">SUM(B64:F64)</f>
        <v>2067.78</v>
      </c>
    </row>
    <row r="65">
      <c r="A65" s="50" t="s">
        <v>49</v>
      </c>
      <c r="B65" s="58">
        <f>C36</f>
        <v>1590.6</v>
      </c>
      <c r="C65" s="58">
        <f t="shared" si="14"/>
        <v>173.52</v>
      </c>
      <c r="D65" s="58">
        <f t="shared" si="15"/>
        <v>185.90499</v>
      </c>
      <c r="E65" s="58">
        <f t="shared" si="16"/>
        <v>71.884998</v>
      </c>
      <c r="F65" s="58">
        <f t="shared" si="17"/>
        <v>606.5729964</v>
      </c>
      <c r="G65" s="64">
        <f t="shared" si="18"/>
        <v>2628.482984</v>
      </c>
    </row>
    <row r="66" ht="6.0" customHeight="1">
      <c r="A66" s="65"/>
      <c r="B66" s="65"/>
      <c r="C66" s="65"/>
      <c r="D66" s="65"/>
      <c r="E66" s="65"/>
      <c r="F66" s="65"/>
      <c r="G66" s="65"/>
    </row>
    <row r="67">
      <c r="A67" s="34" t="s">
        <v>72</v>
      </c>
      <c r="B67" s="2"/>
      <c r="C67" s="2"/>
      <c r="D67" s="2"/>
      <c r="E67" s="2"/>
      <c r="F67" s="2"/>
      <c r="G67" s="2"/>
    </row>
    <row r="68" ht="6.0" customHeight="1">
      <c r="A68" s="66"/>
      <c r="B68" s="66"/>
      <c r="C68" s="66"/>
      <c r="D68" s="66"/>
      <c r="E68" s="66"/>
      <c r="F68" s="66"/>
      <c r="G68" s="66"/>
    </row>
    <row r="69">
      <c r="A69" s="36" t="s">
        <v>73</v>
      </c>
      <c r="B69" s="12"/>
      <c r="C69" s="12"/>
      <c r="D69" s="12"/>
      <c r="E69" s="12"/>
      <c r="F69" s="12"/>
      <c r="G69" s="13"/>
    </row>
    <row r="70">
      <c r="A70" s="67" t="s">
        <v>74</v>
      </c>
      <c r="G70" s="68"/>
    </row>
    <row r="71">
      <c r="A71" s="55" t="s">
        <v>41</v>
      </c>
      <c r="B71" s="13"/>
      <c r="C71" s="49" t="s">
        <v>57</v>
      </c>
      <c r="D71" s="38" t="s">
        <v>58</v>
      </c>
      <c r="E71" s="48" t="s">
        <v>75</v>
      </c>
      <c r="F71" s="48" t="s">
        <v>46</v>
      </c>
      <c r="G71" s="48" t="s">
        <v>76</v>
      </c>
    </row>
    <row r="72">
      <c r="A72" s="18" t="s">
        <v>48</v>
      </c>
      <c r="B72" s="13"/>
      <c r="C72" s="58">
        <f>E36</f>
        <v>7.23</v>
      </c>
      <c r="D72" s="69">
        <f t="shared" ref="D72:D73" si="19">1/6</f>
        <v>0.1666666667</v>
      </c>
      <c r="E72" s="43">
        <f t="shared" ref="E72:E73" si="20">C72*D72</f>
        <v>1.205</v>
      </c>
      <c r="F72" s="21">
        <v>15.0</v>
      </c>
      <c r="G72" s="58">
        <f t="shared" ref="G72:G73" si="21">E72*F72</f>
        <v>18.075</v>
      </c>
    </row>
    <row r="73">
      <c r="A73" s="18" t="s">
        <v>49</v>
      </c>
      <c r="B73" s="13"/>
      <c r="C73" s="58">
        <f>E36</f>
        <v>7.23</v>
      </c>
      <c r="D73" s="69">
        <f t="shared" si="19"/>
        <v>0.1666666667</v>
      </c>
      <c r="E73" s="43">
        <f t="shared" si="20"/>
        <v>1.205</v>
      </c>
      <c r="F73" s="21">
        <v>15.0</v>
      </c>
      <c r="G73" s="58">
        <f t="shared" si="21"/>
        <v>18.075</v>
      </c>
    </row>
    <row r="74" ht="6.0" customHeight="1">
      <c r="A74" s="66"/>
      <c r="B74" s="66"/>
      <c r="C74" s="66"/>
      <c r="D74" s="66"/>
      <c r="E74" s="66"/>
      <c r="F74" s="66"/>
      <c r="G74" s="66"/>
    </row>
    <row r="75">
      <c r="A75" s="36" t="s">
        <v>77</v>
      </c>
      <c r="B75" s="12"/>
      <c r="C75" s="12"/>
      <c r="D75" s="12"/>
      <c r="E75" s="12"/>
      <c r="F75" s="12"/>
      <c r="G75" s="13"/>
    </row>
    <row r="76">
      <c r="A76" s="37" t="s">
        <v>78</v>
      </c>
      <c r="B76" s="12"/>
      <c r="C76" s="12"/>
      <c r="D76" s="12"/>
      <c r="E76" s="12"/>
      <c r="F76" s="12"/>
      <c r="G76" s="13"/>
    </row>
    <row r="77">
      <c r="A77" s="55" t="s">
        <v>41</v>
      </c>
      <c r="B77" s="13"/>
      <c r="C77" s="48" t="s">
        <v>79</v>
      </c>
      <c r="D77" s="49" t="s">
        <v>43</v>
      </c>
      <c r="E77" s="48" t="s">
        <v>80</v>
      </c>
      <c r="F77" s="48" t="s">
        <v>46</v>
      </c>
      <c r="G77" s="48" t="s">
        <v>81</v>
      </c>
    </row>
    <row r="78">
      <c r="A78" s="18" t="s">
        <v>48</v>
      </c>
      <c r="B78" s="13"/>
      <c r="C78" s="42">
        <v>0.5</v>
      </c>
      <c r="D78" s="58">
        <f t="shared" ref="D78:D79" si="22">$F$36</f>
        <v>10.845</v>
      </c>
      <c r="E78" s="43">
        <f t="shared" ref="E78:E79" si="23">C78*D78</f>
        <v>5.4225</v>
      </c>
      <c r="F78" s="21">
        <v>15.0</v>
      </c>
      <c r="G78" s="58">
        <f t="shared" ref="G78:G79" si="24">E78*F78</f>
        <v>81.3375</v>
      </c>
    </row>
    <row r="79">
      <c r="A79" s="18" t="s">
        <v>49</v>
      </c>
      <c r="B79" s="13"/>
      <c r="C79" s="42">
        <v>0.5</v>
      </c>
      <c r="D79" s="58">
        <f t="shared" si="22"/>
        <v>10.845</v>
      </c>
      <c r="E79" s="43">
        <f t="shared" si="23"/>
        <v>5.4225</v>
      </c>
      <c r="F79" s="21">
        <v>15.0</v>
      </c>
      <c r="G79" s="58">
        <f t="shared" si="24"/>
        <v>81.3375</v>
      </c>
    </row>
    <row r="80" ht="6.0" customHeight="1">
      <c r="A80" s="66"/>
      <c r="B80" s="66"/>
      <c r="C80" s="66"/>
      <c r="D80" s="66"/>
      <c r="E80" s="66"/>
      <c r="F80" s="66"/>
      <c r="G80" s="66"/>
    </row>
    <row r="81">
      <c r="A81" s="70" t="s">
        <v>82</v>
      </c>
      <c r="B81" s="12"/>
      <c r="C81" s="12"/>
      <c r="D81" s="12"/>
      <c r="E81" s="13"/>
      <c r="F81" s="57"/>
      <c r="G81" s="71"/>
    </row>
    <row r="82">
      <c r="A82" s="36" t="s">
        <v>41</v>
      </c>
      <c r="B82" s="13"/>
      <c r="C82" s="63" t="s">
        <v>83</v>
      </c>
      <c r="D82" s="62" t="s">
        <v>84</v>
      </c>
      <c r="E82" s="62" t="s">
        <v>85</v>
      </c>
      <c r="F82" s="57"/>
      <c r="G82" s="57"/>
    </row>
    <row r="83">
      <c r="A83" s="18" t="s">
        <v>48</v>
      </c>
      <c r="B83" s="13"/>
      <c r="C83" s="58">
        <f t="shared" ref="C83:C84" si="25">G72</f>
        <v>18.075</v>
      </c>
      <c r="D83" s="58">
        <f t="shared" ref="D83:D84" si="26">G78</f>
        <v>81.3375</v>
      </c>
      <c r="E83" s="64">
        <f t="shared" ref="E83:E84" si="27">SUM(C83:D83)</f>
        <v>99.4125</v>
      </c>
      <c r="F83" s="57"/>
      <c r="G83" s="57"/>
    </row>
    <row r="84">
      <c r="A84" s="18" t="s">
        <v>49</v>
      </c>
      <c r="B84" s="13"/>
      <c r="C84" s="58">
        <f t="shared" si="25"/>
        <v>18.075</v>
      </c>
      <c r="D84" s="58">
        <f t="shared" si="26"/>
        <v>81.3375</v>
      </c>
      <c r="E84" s="64">
        <f t="shared" si="27"/>
        <v>99.4125</v>
      </c>
      <c r="F84" s="57"/>
      <c r="G84" s="57"/>
    </row>
    <row r="85" ht="6.0" customHeight="1">
      <c r="A85" s="65"/>
      <c r="B85" s="65"/>
      <c r="C85" s="65"/>
      <c r="D85" s="65"/>
      <c r="E85" s="65"/>
      <c r="F85" s="65"/>
      <c r="G85" s="65"/>
    </row>
    <row r="86">
      <c r="A86" s="72" t="s">
        <v>86</v>
      </c>
      <c r="B86" s="12"/>
      <c r="C86" s="12"/>
      <c r="D86" s="12"/>
      <c r="E86" s="13"/>
      <c r="F86" s="57"/>
      <c r="G86" s="45"/>
    </row>
    <row r="87" ht="24.0" customHeight="1">
      <c r="A87" s="11" t="s">
        <v>41</v>
      </c>
      <c r="B87" s="13"/>
      <c r="C87" s="73" t="s">
        <v>87</v>
      </c>
      <c r="D87" s="74" t="s">
        <v>88</v>
      </c>
      <c r="E87" s="74" t="s">
        <v>89</v>
      </c>
      <c r="F87" s="57"/>
      <c r="G87" s="45"/>
    </row>
    <row r="88">
      <c r="A88" s="18" t="s">
        <v>48</v>
      </c>
      <c r="B88" s="13"/>
      <c r="C88" s="58">
        <f t="shared" ref="C88:C89" si="28">G64</f>
        <v>2067.78</v>
      </c>
      <c r="D88" s="58">
        <f t="shared" ref="D88:D89" si="29">E83</f>
        <v>99.4125</v>
      </c>
      <c r="E88" s="60">
        <f t="shared" ref="E88:E89" si="30">SUM(C88,D88)</f>
        <v>2167.1925</v>
      </c>
      <c r="F88" s="57"/>
      <c r="G88" s="45"/>
    </row>
    <row r="89">
      <c r="A89" s="18" t="s">
        <v>49</v>
      </c>
      <c r="B89" s="13"/>
      <c r="C89" s="58">
        <f t="shared" si="28"/>
        <v>2628.482984</v>
      </c>
      <c r="D89" s="58">
        <f t="shared" si="29"/>
        <v>99.4125</v>
      </c>
      <c r="E89" s="60">
        <f t="shared" si="30"/>
        <v>2727.895484</v>
      </c>
      <c r="F89" s="57"/>
      <c r="G89" s="45"/>
    </row>
    <row r="90" ht="6.0" customHeight="1">
      <c r="A90" s="45"/>
      <c r="B90" s="45"/>
      <c r="C90" s="46"/>
      <c r="D90" s="45"/>
      <c r="E90" s="45"/>
      <c r="F90" s="45"/>
      <c r="G90" s="45"/>
    </row>
    <row r="91">
      <c r="A91" s="29" t="s">
        <v>90</v>
      </c>
      <c r="B91" s="2"/>
      <c r="C91" s="2"/>
      <c r="D91" s="2"/>
      <c r="E91" s="2"/>
      <c r="F91" s="2"/>
      <c r="G91" s="2"/>
    </row>
    <row r="92" ht="6.0" customHeight="1">
      <c r="A92" s="45"/>
      <c r="B92" s="45"/>
      <c r="C92" s="46"/>
      <c r="D92" s="45"/>
      <c r="E92" s="45"/>
      <c r="F92" s="45"/>
      <c r="G92" s="45"/>
    </row>
    <row r="93">
      <c r="A93" s="34" t="s">
        <v>91</v>
      </c>
      <c r="B93" s="2"/>
      <c r="C93" s="2"/>
      <c r="D93" s="2"/>
      <c r="E93" s="2"/>
      <c r="F93" s="2"/>
      <c r="G93" s="2"/>
    </row>
    <row r="94" ht="6.0" customHeight="1">
      <c r="A94" s="45"/>
      <c r="B94" s="45"/>
      <c r="C94" s="46"/>
      <c r="D94" s="45"/>
      <c r="E94" s="45"/>
      <c r="F94" s="45"/>
      <c r="G94" s="45"/>
    </row>
    <row r="95">
      <c r="A95" s="36" t="s">
        <v>92</v>
      </c>
      <c r="B95" s="12"/>
      <c r="C95" s="12"/>
      <c r="D95" s="12"/>
      <c r="E95" s="13"/>
      <c r="F95" s="75"/>
      <c r="G95" s="45"/>
    </row>
    <row r="96">
      <c r="A96" s="76" t="s">
        <v>93</v>
      </c>
      <c r="B96" s="12"/>
      <c r="C96" s="12"/>
      <c r="D96" s="12"/>
      <c r="E96" s="13"/>
      <c r="F96" s="77"/>
      <c r="G96" s="77"/>
    </row>
    <row r="97">
      <c r="A97" s="55" t="s">
        <v>41</v>
      </c>
      <c r="B97" s="13"/>
      <c r="C97" s="49" t="s">
        <v>57</v>
      </c>
      <c r="D97" s="48" t="s">
        <v>94</v>
      </c>
      <c r="E97" s="38" t="s">
        <v>95</v>
      </c>
      <c r="F97" s="78"/>
      <c r="G97" s="78"/>
    </row>
    <row r="98" ht="24.0" customHeight="1">
      <c r="A98" s="18" t="s">
        <v>48</v>
      </c>
      <c r="B98" s="13"/>
      <c r="C98" s="58">
        <f>$C$88</f>
        <v>2067.78</v>
      </c>
      <c r="D98" s="79">
        <f t="shared" ref="D98:D99" si="31">1/12</f>
        <v>0.08333333333</v>
      </c>
      <c r="E98" s="60">
        <f t="shared" ref="E98:E99" si="32">C98*D98</f>
        <v>172.315</v>
      </c>
      <c r="F98" s="45"/>
      <c r="G98" s="45"/>
    </row>
    <row r="99" ht="24.0" customHeight="1">
      <c r="A99" s="18" t="s">
        <v>49</v>
      </c>
      <c r="B99" s="13"/>
      <c r="C99" s="58">
        <f>$C$89</f>
        <v>2628.482984</v>
      </c>
      <c r="D99" s="79">
        <f t="shared" si="31"/>
        <v>0.08333333333</v>
      </c>
      <c r="E99" s="60">
        <f t="shared" si="32"/>
        <v>219.0402487</v>
      </c>
      <c r="F99" s="45"/>
      <c r="G99" s="45"/>
    </row>
    <row r="100" ht="6.0" customHeight="1">
      <c r="A100" s="45"/>
      <c r="B100" s="45"/>
      <c r="C100" s="46"/>
      <c r="D100" s="45"/>
      <c r="E100" s="45"/>
      <c r="F100" s="45"/>
      <c r="G100" s="45"/>
    </row>
    <row r="101">
      <c r="A101" s="36" t="s">
        <v>96</v>
      </c>
      <c r="B101" s="12"/>
      <c r="C101" s="12"/>
      <c r="D101" s="12"/>
      <c r="E101" s="13"/>
      <c r="F101" s="45"/>
      <c r="G101" s="45"/>
    </row>
    <row r="102">
      <c r="A102" s="76" t="s">
        <v>97</v>
      </c>
      <c r="B102" s="12"/>
      <c r="C102" s="12"/>
      <c r="D102" s="12"/>
      <c r="E102" s="13"/>
      <c r="F102" s="80"/>
      <c r="G102" s="80"/>
    </row>
    <row r="103">
      <c r="A103" s="55" t="s">
        <v>41</v>
      </c>
      <c r="B103" s="13"/>
      <c r="C103" s="49" t="s">
        <v>57</v>
      </c>
      <c r="D103" s="48" t="s">
        <v>94</v>
      </c>
      <c r="E103" s="38" t="s">
        <v>95</v>
      </c>
      <c r="F103" s="78"/>
      <c r="G103" s="78"/>
    </row>
    <row r="104" ht="24.0" customHeight="1">
      <c r="A104" s="18" t="s">
        <v>48</v>
      </c>
      <c r="B104" s="13"/>
      <c r="C104" s="58">
        <f>$C$88</f>
        <v>2067.78</v>
      </c>
      <c r="D104" s="79">
        <f t="shared" ref="D104:D105" si="33">1/12</f>
        <v>0.08333333333</v>
      </c>
      <c r="E104" s="60">
        <f t="shared" ref="E104:E105" si="34">C104*D104</f>
        <v>172.315</v>
      </c>
      <c r="F104" s="45"/>
      <c r="G104" s="45"/>
    </row>
    <row r="105" ht="24.0" customHeight="1">
      <c r="A105" s="18" t="s">
        <v>49</v>
      </c>
      <c r="B105" s="13"/>
      <c r="C105" s="58">
        <f>$C$89</f>
        <v>2628.482984</v>
      </c>
      <c r="D105" s="79">
        <f t="shared" si="33"/>
        <v>0.08333333333</v>
      </c>
      <c r="E105" s="60">
        <f t="shared" si="34"/>
        <v>219.0402487</v>
      </c>
      <c r="F105" s="45"/>
      <c r="G105" s="45"/>
    </row>
    <row r="106" ht="6.0" customHeight="1">
      <c r="A106" s="45"/>
      <c r="B106" s="45"/>
      <c r="C106" s="46"/>
      <c r="D106" s="45"/>
      <c r="E106" s="45"/>
      <c r="F106" s="45"/>
      <c r="G106" s="45"/>
    </row>
    <row r="107">
      <c r="A107" s="81" t="s">
        <v>98</v>
      </c>
      <c r="B107" s="12"/>
      <c r="C107" s="12"/>
      <c r="D107" s="12"/>
      <c r="E107" s="12"/>
      <c r="F107" s="13"/>
      <c r="G107" s="45"/>
    </row>
    <row r="108">
      <c r="A108" s="76" t="s">
        <v>99</v>
      </c>
      <c r="B108" s="12"/>
      <c r="C108" s="12"/>
      <c r="D108" s="12"/>
      <c r="E108" s="12"/>
      <c r="F108" s="13"/>
      <c r="G108" s="78"/>
    </row>
    <row r="109">
      <c r="A109" s="55" t="s">
        <v>41</v>
      </c>
      <c r="B109" s="13"/>
      <c r="C109" s="49" t="s">
        <v>57</v>
      </c>
      <c r="D109" s="48" t="s">
        <v>100</v>
      </c>
      <c r="E109" s="48" t="s">
        <v>101</v>
      </c>
      <c r="F109" s="38" t="s">
        <v>95</v>
      </c>
      <c r="G109" s="78"/>
    </row>
    <row r="110" ht="24.0" customHeight="1">
      <c r="A110" s="18" t="s">
        <v>48</v>
      </c>
      <c r="B110" s="13"/>
      <c r="C110" s="58">
        <f>$C$88</f>
        <v>2067.78</v>
      </c>
      <c r="D110" s="79">
        <f t="shared" ref="D110:D111" si="35">1/3</f>
        <v>0.3333333333</v>
      </c>
      <c r="E110" s="79">
        <f t="shared" ref="E110:E111" si="36">1/12</f>
        <v>0.08333333333</v>
      </c>
      <c r="F110" s="60">
        <f t="shared" ref="F110:F111" si="37">C110*D110*E110</f>
        <v>57.43833333</v>
      </c>
      <c r="G110" s="82"/>
    </row>
    <row r="111" ht="24.0" customHeight="1">
      <c r="A111" s="18" t="s">
        <v>49</v>
      </c>
      <c r="B111" s="13"/>
      <c r="C111" s="58">
        <f>$C$89</f>
        <v>2628.482984</v>
      </c>
      <c r="D111" s="79">
        <f t="shared" si="35"/>
        <v>0.3333333333</v>
      </c>
      <c r="E111" s="79">
        <f t="shared" si="36"/>
        <v>0.08333333333</v>
      </c>
      <c r="F111" s="60">
        <f t="shared" si="37"/>
        <v>73.01341623</v>
      </c>
      <c r="G111" s="45"/>
    </row>
    <row r="112" ht="6.0" customHeight="1">
      <c r="A112" s="45"/>
      <c r="B112" s="45"/>
      <c r="C112" s="46"/>
      <c r="D112" s="45"/>
      <c r="E112" s="45"/>
      <c r="F112" s="45"/>
      <c r="G112" s="45"/>
    </row>
    <row r="113">
      <c r="A113" s="83" t="s">
        <v>102</v>
      </c>
      <c r="B113" s="12"/>
      <c r="C113" s="12"/>
      <c r="D113" s="12"/>
      <c r="E113" s="12"/>
      <c r="F113" s="13"/>
      <c r="G113" s="45"/>
    </row>
    <row r="114" ht="24.0" customHeight="1">
      <c r="A114" s="36" t="s">
        <v>41</v>
      </c>
      <c r="B114" s="13"/>
      <c r="C114" s="84" t="s">
        <v>103</v>
      </c>
      <c r="D114" s="85" t="s">
        <v>104</v>
      </c>
      <c r="E114" s="85" t="s">
        <v>105</v>
      </c>
      <c r="F114" s="86" t="s">
        <v>106</v>
      </c>
      <c r="G114" s="78"/>
    </row>
    <row r="115" ht="24.0" customHeight="1">
      <c r="A115" s="18" t="s">
        <v>48</v>
      </c>
      <c r="B115" s="13"/>
      <c r="C115" s="58">
        <f t="shared" ref="C115:C116" si="38">E98</f>
        <v>172.315</v>
      </c>
      <c r="D115" s="58">
        <f t="shared" ref="D115:D116" si="39">E104</f>
        <v>172.315</v>
      </c>
      <c r="E115" s="58">
        <f t="shared" ref="E115:E116" si="40">F110</f>
        <v>57.43833333</v>
      </c>
      <c r="F115" s="60">
        <f t="shared" ref="F115:F116" si="41">SUM(C115:E115)</f>
        <v>402.0683333</v>
      </c>
      <c r="G115" s="45"/>
    </row>
    <row r="116" ht="24.0" customHeight="1">
      <c r="A116" s="18" t="s">
        <v>49</v>
      </c>
      <c r="B116" s="13"/>
      <c r="C116" s="58">
        <f t="shared" si="38"/>
        <v>219.0402487</v>
      </c>
      <c r="D116" s="58">
        <f t="shared" si="39"/>
        <v>219.0402487</v>
      </c>
      <c r="E116" s="58">
        <f t="shared" si="40"/>
        <v>73.01341623</v>
      </c>
      <c r="F116" s="60">
        <f t="shared" si="41"/>
        <v>511.0939136</v>
      </c>
      <c r="G116" s="45"/>
    </row>
    <row r="117" ht="6.0" customHeight="1">
      <c r="A117" s="45"/>
      <c r="B117" s="45"/>
      <c r="C117" s="46"/>
      <c r="D117" s="45"/>
      <c r="E117" s="45"/>
      <c r="F117" s="45"/>
      <c r="G117" s="45"/>
    </row>
    <row r="118">
      <c r="A118" s="34" t="s">
        <v>107</v>
      </c>
      <c r="B118" s="2"/>
      <c r="C118" s="2"/>
      <c r="D118" s="2"/>
      <c r="E118" s="2"/>
      <c r="F118" s="2"/>
      <c r="G118" s="2"/>
    </row>
    <row r="119">
      <c r="A119" s="31" t="s">
        <v>108</v>
      </c>
    </row>
    <row r="120" ht="6.0" customHeight="1">
      <c r="A120" s="87"/>
      <c r="B120" s="87"/>
      <c r="C120" s="87"/>
      <c r="D120" s="87"/>
      <c r="E120" s="87"/>
      <c r="F120" s="87"/>
      <c r="G120" s="87"/>
    </row>
    <row r="121">
      <c r="A121" s="88" t="s">
        <v>109</v>
      </c>
      <c r="B121" s="13"/>
      <c r="C121" s="57"/>
      <c r="D121" s="45"/>
      <c r="E121" s="45"/>
      <c r="F121" s="45"/>
      <c r="G121" s="45"/>
    </row>
    <row r="122">
      <c r="A122" s="89" t="s">
        <v>110</v>
      </c>
      <c r="B122" s="49" t="s">
        <v>111</v>
      </c>
      <c r="C122" s="57"/>
      <c r="D122" s="78"/>
      <c r="E122" s="78"/>
      <c r="F122" s="78"/>
      <c r="G122" s="78"/>
    </row>
    <row r="123">
      <c r="A123" s="90" t="s">
        <v>112</v>
      </c>
      <c r="B123" s="91">
        <v>0.2</v>
      </c>
      <c r="C123" s="35" t="s">
        <v>113</v>
      </c>
    </row>
    <row r="124" ht="24.0" customHeight="1">
      <c r="A124" s="90" t="s">
        <v>114</v>
      </c>
      <c r="B124" s="91">
        <v>0.025</v>
      </c>
      <c r="C124" s="57"/>
      <c r="D124" s="45"/>
      <c r="E124" s="45"/>
      <c r="F124" s="45"/>
      <c r="G124" s="45"/>
    </row>
    <row r="125" ht="25.5" customHeight="1">
      <c r="A125" s="42" t="s">
        <v>115</v>
      </c>
      <c r="B125" s="92">
        <v>0.048</v>
      </c>
      <c r="C125" s="93" t="s">
        <v>116</v>
      </c>
    </row>
    <row r="126" ht="24.0" customHeight="1">
      <c r="A126" s="90" t="s">
        <v>117</v>
      </c>
      <c r="B126" s="91">
        <v>0.015</v>
      </c>
      <c r="C126" s="57"/>
      <c r="D126" s="45"/>
      <c r="E126" s="45"/>
      <c r="F126" s="45"/>
      <c r="G126" s="45"/>
    </row>
    <row r="127" ht="24.0" customHeight="1">
      <c r="A127" s="90" t="s">
        <v>118</v>
      </c>
      <c r="B127" s="91">
        <v>0.01</v>
      </c>
      <c r="C127" s="57"/>
      <c r="D127" s="45"/>
      <c r="E127" s="45"/>
      <c r="F127" s="45"/>
      <c r="G127" s="45"/>
    </row>
    <row r="128" ht="24.0" customHeight="1">
      <c r="A128" s="90" t="s">
        <v>119</v>
      </c>
      <c r="B128" s="91">
        <v>0.006</v>
      </c>
      <c r="C128" s="57"/>
      <c r="D128" s="45"/>
      <c r="E128" s="45"/>
      <c r="F128" s="45"/>
      <c r="G128" s="45"/>
    </row>
    <row r="129" ht="24.0" customHeight="1">
      <c r="A129" s="90" t="s">
        <v>120</v>
      </c>
      <c r="B129" s="91">
        <v>0.002</v>
      </c>
      <c r="C129" s="57"/>
      <c r="D129" s="94"/>
      <c r="E129" s="45"/>
      <c r="F129" s="45"/>
      <c r="G129" s="45"/>
    </row>
    <row r="130" ht="24.0" customHeight="1">
      <c r="A130" s="90" t="s">
        <v>121</v>
      </c>
      <c r="B130" s="91">
        <v>0.08</v>
      </c>
      <c r="C130" s="57"/>
      <c r="D130" s="45"/>
      <c r="E130" s="45"/>
      <c r="F130" s="45"/>
      <c r="G130" s="45"/>
    </row>
    <row r="131" ht="24.0" customHeight="1">
      <c r="A131" s="95" t="s">
        <v>122</v>
      </c>
      <c r="B131" s="96">
        <f>SUM(B123:B130)</f>
        <v>0.386</v>
      </c>
      <c r="C131" s="57"/>
      <c r="D131" s="45"/>
      <c r="E131" s="45"/>
      <c r="F131" s="45"/>
      <c r="G131" s="45"/>
    </row>
    <row r="132" ht="6.0" customHeight="1">
      <c r="A132" s="45"/>
      <c r="B132" s="45"/>
      <c r="C132" s="46"/>
      <c r="D132" s="45"/>
      <c r="E132" s="45"/>
      <c r="F132" s="45"/>
      <c r="G132" s="45"/>
    </row>
    <row r="133">
      <c r="A133" s="88" t="s">
        <v>123</v>
      </c>
      <c r="B133" s="12"/>
      <c r="C133" s="12"/>
      <c r="D133" s="12"/>
      <c r="E133" s="13"/>
      <c r="F133" s="45"/>
      <c r="G133" s="45"/>
    </row>
    <row r="134">
      <c r="A134" s="97" t="s">
        <v>124</v>
      </c>
      <c r="B134" s="12"/>
      <c r="C134" s="12"/>
      <c r="D134" s="12"/>
      <c r="E134" s="13"/>
      <c r="F134" s="78"/>
      <c r="G134" s="78"/>
    </row>
    <row r="135">
      <c r="A135" s="55" t="s">
        <v>41</v>
      </c>
      <c r="B135" s="13"/>
      <c r="C135" s="49" t="s">
        <v>57</v>
      </c>
      <c r="D135" s="48" t="s">
        <v>94</v>
      </c>
      <c r="E135" s="38" t="s">
        <v>95</v>
      </c>
      <c r="F135" s="78"/>
      <c r="G135" s="78"/>
    </row>
    <row r="136" ht="24.0" customHeight="1">
      <c r="A136" s="18" t="s">
        <v>48</v>
      </c>
      <c r="B136" s="13"/>
      <c r="C136" s="58">
        <f>$C$88+$F$115</f>
        <v>2469.848333</v>
      </c>
      <c r="D136" s="98">
        <f t="shared" ref="D136:D137" si="42">SUM($B$123:$B$129)</f>
        <v>0.306</v>
      </c>
      <c r="E136" s="60">
        <f t="shared" ref="E136:E137" si="43">C136*D136</f>
        <v>755.77359</v>
      </c>
      <c r="F136" s="45"/>
      <c r="G136" s="45"/>
    </row>
    <row r="137" ht="24.0" customHeight="1">
      <c r="A137" s="18" t="s">
        <v>49</v>
      </c>
      <c r="B137" s="13"/>
      <c r="C137" s="58">
        <f>$C$89+$F$116</f>
        <v>3139.576898</v>
      </c>
      <c r="D137" s="98">
        <f t="shared" si="42"/>
        <v>0.306</v>
      </c>
      <c r="E137" s="60">
        <f t="shared" si="43"/>
        <v>960.7105308</v>
      </c>
      <c r="F137" s="45"/>
      <c r="G137" s="45"/>
    </row>
    <row r="138" ht="6.0" customHeight="1">
      <c r="A138" s="45"/>
      <c r="B138" s="45"/>
      <c r="C138" s="46"/>
      <c r="D138" s="45"/>
      <c r="E138" s="45"/>
      <c r="F138" s="45"/>
      <c r="G138" s="45"/>
    </row>
    <row r="139">
      <c r="A139" s="88" t="s">
        <v>125</v>
      </c>
      <c r="B139" s="12"/>
      <c r="C139" s="12"/>
      <c r="D139" s="12"/>
      <c r="E139" s="13"/>
      <c r="F139" s="45"/>
      <c r="G139" s="45"/>
    </row>
    <row r="140">
      <c r="A140" s="97" t="s">
        <v>126</v>
      </c>
      <c r="B140" s="12"/>
      <c r="C140" s="12"/>
      <c r="D140" s="12"/>
      <c r="E140" s="13"/>
      <c r="F140" s="78"/>
      <c r="G140" s="78"/>
    </row>
    <row r="141">
      <c r="A141" s="55" t="s">
        <v>41</v>
      </c>
      <c r="B141" s="13"/>
      <c r="C141" s="49" t="s">
        <v>57</v>
      </c>
      <c r="D141" s="48" t="s">
        <v>94</v>
      </c>
      <c r="E141" s="38" t="s">
        <v>95</v>
      </c>
      <c r="F141" s="78"/>
      <c r="G141" s="78"/>
    </row>
    <row r="142" ht="24.0" customHeight="1">
      <c r="A142" s="18" t="s">
        <v>48</v>
      </c>
      <c r="B142" s="13"/>
      <c r="C142" s="58">
        <f>$C$88+$F$115</f>
        <v>2469.848333</v>
      </c>
      <c r="D142" s="79">
        <f t="shared" ref="D142:D143" si="44">$B$130</f>
        <v>0.08</v>
      </c>
      <c r="E142" s="60">
        <f t="shared" ref="E142:E143" si="45">C142*D142</f>
        <v>197.5878667</v>
      </c>
      <c r="F142" s="45"/>
      <c r="G142" s="45"/>
    </row>
    <row r="143" ht="24.0" customHeight="1">
      <c r="A143" s="18" t="s">
        <v>49</v>
      </c>
      <c r="B143" s="13"/>
      <c r="C143" s="58">
        <f>$C$89+$F$116</f>
        <v>3139.576898</v>
      </c>
      <c r="D143" s="79">
        <f t="shared" si="44"/>
        <v>0.08</v>
      </c>
      <c r="E143" s="60">
        <f t="shared" si="45"/>
        <v>251.1661518</v>
      </c>
      <c r="F143" s="45"/>
      <c r="G143" s="45"/>
    </row>
    <row r="144" ht="6.0" customHeight="1">
      <c r="A144" s="45"/>
      <c r="B144" s="45"/>
      <c r="C144" s="46"/>
      <c r="D144" s="45"/>
      <c r="E144" s="45"/>
      <c r="F144" s="45"/>
      <c r="G144" s="45"/>
    </row>
    <row r="145">
      <c r="A145" s="83" t="s">
        <v>127</v>
      </c>
      <c r="B145" s="12"/>
      <c r="C145" s="12"/>
      <c r="D145" s="12"/>
      <c r="E145" s="13"/>
      <c r="F145" s="45"/>
      <c r="G145" s="45"/>
    </row>
    <row r="146">
      <c r="A146" s="36" t="s">
        <v>41</v>
      </c>
      <c r="B146" s="13"/>
      <c r="C146" s="84" t="s">
        <v>128</v>
      </c>
      <c r="D146" s="85" t="s">
        <v>121</v>
      </c>
      <c r="E146" s="86" t="s">
        <v>106</v>
      </c>
      <c r="F146" s="78"/>
      <c r="G146" s="78"/>
    </row>
    <row r="147" ht="24.0" customHeight="1">
      <c r="A147" s="18" t="s">
        <v>48</v>
      </c>
      <c r="B147" s="13"/>
      <c r="C147" s="58">
        <f t="shared" ref="C147:C148" si="46">E136</f>
        <v>755.77359</v>
      </c>
      <c r="D147" s="99">
        <f t="shared" ref="D147:D148" si="47">E142</f>
        <v>197.5878667</v>
      </c>
      <c r="E147" s="60">
        <f t="shared" ref="E147:E148" si="48">C147+D147</f>
        <v>953.3614567</v>
      </c>
      <c r="F147" s="45"/>
      <c r="G147" s="45"/>
    </row>
    <row r="148" ht="24.0" customHeight="1">
      <c r="A148" s="18" t="s">
        <v>49</v>
      </c>
      <c r="B148" s="13"/>
      <c r="C148" s="58">
        <f t="shared" si="46"/>
        <v>960.7105308</v>
      </c>
      <c r="D148" s="99">
        <f t="shared" si="47"/>
        <v>251.1661518</v>
      </c>
      <c r="E148" s="60">
        <f t="shared" si="48"/>
        <v>1211.876683</v>
      </c>
      <c r="F148" s="45"/>
      <c r="G148" s="45"/>
    </row>
    <row r="149" ht="6.0" customHeight="1">
      <c r="A149" s="45"/>
      <c r="B149" s="45"/>
      <c r="C149" s="46"/>
      <c r="D149" s="45"/>
      <c r="E149" s="45"/>
      <c r="F149" s="45"/>
      <c r="G149" s="45"/>
    </row>
    <row r="150">
      <c r="A150" s="34" t="s">
        <v>129</v>
      </c>
      <c r="B150" s="2"/>
      <c r="C150" s="2"/>
      <c r="D150" s="2"/>
      <c r="E150" s="2"/>
      <c r="F150" s="2"/>
      <c r="G150" s="2"/>
    </row>
    <row r="151">
      <c r="A151" s="31" t="s">
        <v>130</v>
      </c>
    </row>
    <row r="152" ht="6.0" customHeight="1">
      <c r="A152" s="45"/>
      <c r="B152" s="45"/>
      <c r="C152" s="46"/>
      <c r="D152" s="45"/>
      <c r="E152" s="45"/>
      <c r="F152" s="45"/>
      <c r="G152" s="45"/>
    </row>
    <row r="153">
      <c r="A153" s="100" t="s">
        <v>131</v>
      </c>
      <c r="G153" s="45"/>
    </row>
    <row r="154" ht="6.0" customHeight="1">
      <c r="A154" s="45"/>
      <c r="B154" s="45"/>
      <c r="C154" s="46"/>
      <c r="D154" s="45"/>
      <c r="E154" s="45"/>
      <c r="F154" s="45"/>
      <c r="G154" s="45"/>
    </row>
    <row r="155">
      <c r="A155" s="101" t="s">
        <v>132</v>
      </c>
      <c r="B155" s="12"/>
      <c r="C155" s="12"/>
      <c r="D155" s="12"/>
      <c r="E155" s="12"/>
      <c r="F155" s="13"/>
      <c r="G155" s="45"/>
    </row>
    <row r="156">
      <c r="A156" s="37" t="s">
        <v>133</v>
      </c>
      <c r="B156" s="12"/>
      <c r="C156" s="12"/>
      <c r="D156" s="12"/>
      <c r="E156" s="12"/>
      <c r="F156" s="13"/>
      <c r="G156" s="77"/>
    </row>
    <row r="157">
      <c r="A157" s="55" t="s">
        <v>41</v>
      </c>
      <c r="B157" s="13"/>
      <c r="C157" s="49" t="s">
        <v>134</v>
      </c>
      <c r="D157" s="38" t="s">
        <v>135</v>
      </c>
      <c r="E157" s="48" t="s">
        <v>136</v>
      </c>
      <c r="F157" s="38" t="s">
        <v>137</v>
      </c>
      <c r="G157" s="78"/>
    </row>
    <row r="158" ht="24.0" customHeight="1">
      <c r="A158" s="18" t="s">
        <v>48</v>
      </c>
      <c r="B158" s="13"/>
      <c r="C158" s="40">
        <v>4.8</v>
      </c>
      <c r="D158" s="102">
        <v>2.0</v>
      </c>
      <c r="E158" s="103">
        <v>15.0</v>
      </c>
      <c r="F158" s="60">
        <f t="shared" ref="F158:F159" si="50">C158*D158*E158</f>
        <v>144</v>
      </c>
      <c r="G158" s="45"/>
    </row>
    <row r="159" ht="24.0" customHeight="1">
      <c r="A159" s="18" t="s">
        <v>49</v>
      </c>
      <c r="B159" s="13"/>
      <c r="C159" s="104">
        <f t="shared" ref="C159:D159" si="49">C158</f>
        <v>4.8</v>
      </c>
      <c r="D159" s="102">
        <f t="shared" si="49"/>
        <v>2</v>
      </c>
      <c r="E159" s="103">
        <v>15.0</v>
      </c>
      <c r="F159" s="60">
        <f t="shared" si="50"/>
        <v>144</v>
      </c>
      <c r="G159" s="45"/>
    </row>
    <row r="160" ht="6.0" customHeight="1">
      <c r="A160" s="45"/>
      <c r="B160" s="45"/>
      <c r="C160" s="46"/>
      <c r="D160" s="45"/>
      <c r="E160" s="45"/>
      <c r="F160" s="45"/>
      <c r="G160" s="45"/>
    </row>
    <row r="161">
      <c r="A161" s="88" t="s">
        <v>138</v>
      </c>
      <c r="B161" s="12"/>
      <c r="C161" s="12"/>
      <c r="D161" s="12"/>
      <c r="E161" s="13"/>
      <c r="F161" s="57"/>
      <c r="G161" s="45"/>
    </row>
    <row r="162">
      <c r="A162" s="37" t="s">
        <v>139</v>
      </c>
      <c r="B162" s="12"/>
      <c r="C162" s="12"/>
      <c r="D162" s="12"/>
      <c r="E162" s="13"/>
      <c r="F162" s="57"/>
      <c r="G162" s="78"/>
    </row>
    <row r="163">
      <c r="A163" s="55" t="s">
        <v>41</v>
      </c>
      <c r="B163" s="13"/>
      <c r="C163" s="49" t="s">
        <v>57</v>
      </c>
      <c r="D163" s="48" t="s">
        <v>94</v>
      </c>
      <c r="E163" s="38" t="s">
        <v>140</v>
      </c>
      <c r="F163" s="57"/>
      <c r="G163" s="78"/>
    </row>
    <row r="164" ht="24.0" customHeight="1">
      <c r="A164" s="18" t="s">
        <v>48</v>
      </c>
      <c r="B164" s="13"/>
      <c r="C164" s="58">
        <f t="shared" ref="C164:C165" si="51">$C$36</f>
        <v>1590.6</v>
      </c>
      <c r="D164" s="105">
        <v>0.06</v>
      </c>
      <c r="E164" s="60">
        <f t="shared" ref="E164:E165" si="52">C164*D164</f>
        <v>95.436</v>
      </c>
      <c r="F164" s="57"/>
      <c r="G164" s="45"/>
    </row>
    <row r="165" ht="24.0" customHeight="1">
      <c r="A165" s="18" t="s">
        <v>49</v>
      </c>
      <c r="B165" s="13"/>
      <c r="C165" s="58">
        <f t="shared" si="51"/>
        <v>1590.6</v>
      </c>
      <c r="D165" s="105">
        <v>0.06</v>
      </c>
      <c r="E165" s="60">
        <f t="shared" si="52"/>
        <v>95.436</v>
      </c>
      <c r="F165" s="57"/>
      <c r="G165" s="45"/>
    </row>
    <row r="166" ht="6.0" customHeight="1">
      <c r="A166" s="45"/>
      <c r="B166" s="45"/>
      <c r="C166" s="46"/>
      <c r="D166" s="45"/>
      <c r="E166" s="45"/>
      <c r="F166" s="45"/>
      <c r="G166" s="45"/>
    </row>
    <row r="167">
      <c r="A167" s="88" t="s">
        <v>141</v>
      </c>
      <c r="B167" s="12"/>
      <c r="C167" s="12"/>
      <c r="D167" s="12"/>
      <c r="E167" s="13"/>
      <c r="F167" s="45"/>
      <c r="G167" s="45"/>
    </row>
    <row r="168">
      <c r="A168" s="55" t="s">
        <v>41</v>
      </c>
      <c r="B168" s="13"/>
      <c r="C168" s="106" t="s">
        <v>142</v>
      </c>
      <c r="D168" s="89" t="s">
        <v>143</v>
      </c>
      <c r="E168" s="38" t="s">
        <v>144</v>
      </c>
      <c r="F168" s="78"/>
      <c r="G168" s="78"/>
    </row>
    <row r="169" ht="24.0" customHeight="1">
      <c r="A169" s="18" t="s">
        <v>48</v>
      </c>
      <c r="B169" s="13"/>
      <c r="C169" s="58">
        <f t="shared" ref="C169:C170" si="53">F158</f>
        <v>144</v>
      </c>
      <c r="D169" s="58">
        <f t="shared" ref="D169:D170" si="54">E164</f>
        <v>95.436</v>
      </c>
      <c r="E169" s="60">
        <f t="shared" ref="E169:E170" si="55">C169-D169</f>
        <v>48.564</v>
      </c>
      <c r="F169" s="45"/>
      <c r="G169" s="45"/>
    </row>
    <row r="170" ht="24.0" customHeight="1">
      <c r="A170" s="18" t="s">
        <v>49</v>
      </c>
      <c r="B170" s="13"/>
      <c r="C170" s="58">
        <f t="shared" si="53"/>
        <v>144</v>
      </c>
      <c r="D170" s="58">
        <f t="shared" si="54"/>
        <v>95.436</v>
      </c>
      <c r="E170" s="60">
        <f t="shared" si="55"/>
        <v>48.564</v>
      </c>
      <c r="F170" s="45"/>
      <c r="G170" s="45"/>
    </row>
    <row r="171" ht="6.0" customHeight="1">
      <c r="A171" s="45"/>
      <c r="B171" s="45"/>
      <c r="C171" s="46"/>
      <c r="D171" s="45"/>
      <c r="E171" s="45"/>
      <c r="F171" s="45"/>
      <c r="G171" s="45"/>
    </row>
    <row r="172" ht="18.75" customHeight="1">
      <c r="A172" s="107" t="s">
        <v>145</v>
      </c>
      <c r="F172" s="45"/>
      <c r="G172" s="45"/>
    </row>
    <row r="173" ht="6.0" customHeight="1">
      <c r="A173" s="45"/>
      <c r="B173" s="45"/>
      <c r="C173" s="46"/>
      <c r="D173" s="45"/>
      <c r="E173" s="45"/>
      <c r="F173" s="45"/>
      <c r="G173" s="45"/>
    </row>
    <row r="174">
      <c r="A174" s="101" t="s">
        <v>146</v>
      </c>
      <c r="B174" s="12"/>
      <c r="C174" s="12"/>
      <c r="D174" s="12"/>
      <c r="E174" s="13"/>
      <c r="F174" s="45"/>
      <c r="G174" s="45"/>
    </row>
    <row r="175">
      <c r="A175" s="37" t="s">
        <v>147</v>
      </c>
      <c r="B175" s="12"/>
      <c r="C175" s="12"/>
      <c r="D175" s="12"/>
      <c r="E175" s="13"/>
      <c r="F175" s="78"/>
      <c r="G175" s="78"/>
    </row>
    <row r="176">
      <c r="A176" s="55" t="s">
        <v>41</v>
      </c>
      <c r="B176" s="13"/>
      <c r="C176" s="106" t="s">
        <v>148</v>
      </c>
      <c r="D176" s="48" t="s">
        <v>149</v>
      </c>
      <c r="E176" s="38" t="s">
        <v>137</v>
      </c>
      <c r="F176" s="78"/>
      <c r="G176" s="78"/>
    </row>
    <row r="177" ht="24.0" customHeight="1">
      <c r="A177" s="18" t="s">
        <v>48</v>
      </c>
      <c r="B177" s="13"/>
      <c r="C177" s="40">
        <v>21.5</v>
      </c>
      <c r="D177" s="108">
        <f t="shared" ref="D177:D178" si="56">E158</f>
        <v>15</v>
      </c>
      <c r="E177" s="60">
        <f t="shared" ref="E177:E178" si="57">C177*D177</f>
        <v>322.5</v>
      </c>
      <c r="F177" s="45"/>
      <c r="G177" s="45"/>
    </row>
    <row r="178" ht="24.0" customHeight="1">
      <c r="A178" s="18" t="s">
        <v>49</v>
      </c>
      <c r="B178" s="13"/>
      <c r="C178" s="104">
        <f>C177</f>
        <v>21.5</v>
      </c>
      <c r="D178" s="108">
        <f t="shared" si="56"/>
        <v>15</v>
      </c>
      <c r="E178" s="60">
        <f t="shared" si="57"/>
        <v>322.5</v>
      </c>
      <c r="F178" s="45"/>
      <c r="G178" s="45"/>
    </row>
    <row r="179" ht="6.0" customHeight="1">
      <c r="A179" s="45"/>
      <c r="B179" s="45"/>
      <c r="C179" s="46"/>
      <c r="D179" s="45"/>
      <c r="E179" s="45"/>
      <c r="F179" s="45"/>
      <c r="G179" s="45"/>
    </row>
    <row r="180">
      <c r="A180" s="88" t="s">
        <v>150</v>
      </c>
      <c r="B180" s="12"/>
      <c r="C180" s="12"/>
      <c r="D180" s="12"/>
      <c r="E180" s="13"/>
      <c r="F180" s="45"/>
      <c r="G180" s="45"/>
    </row>
    <row r="181">
      <c r="A181" s="37" t="s">
        <v>151</v>
      </c>
      <c r="B181" s="12"/>
      <c r="C181" s="12"/>
      <c r="D181" s="12"/>
      <c r="E181" s="13"/>
      <c r="F181" s="78"/>
      <c r="G181" s="78"/>
    </row>
    <row r="182">
      <c r="A182" s="55" t="s">
        <v>41</v>
      </c>
      <c r="B182" s="13"/>
      <c r="C182" s="49" t="s">
        <v>57</v>
      </c>
      <c r="D182" s="38" t="s">
        <v>58</v>
      </c>
      <c r="E182" s="38" t="s">
        <v>140</v>
      </c>
      <c r="F182" s="78"/>
      <c r="G182" s="78"/>
    </row>
    <row r="183" ht="24.0" customHeight="1">
      <c r="A183" s="18" t="s">
        <v>48</v>
      </c>
      <c r="B183" s="13"/>
      <c r="C183" s="58">
        <f t="shared" ref="C183:C184" si="58">E177</f>
        <v>322.5</v>
      </c>
      <c r="D183" s="59">
        <v>0.2</v>
      </c>
      <c r="E183" s="60">
        <f t="shared" ref="E183:E184" si="59">C183*D183</f>
        <v>64.5</v>
      </c>
      <c r="F183" s="45"/>
      <c r="G183" s="45"/>
    </row>
    <row r="184" ht="24.0" customHeight="1">
      <c r="A184" s="18" t="s">
        <v>49</v>
      </c>
      <c r="B184" s="13"/>
      <c r="C184" s="58">
        <f t="shared" si="58"/>
        <v>322.5</v>
      </c>
      <c r="D184" s="105">
        <f>D183</f>
        <v>0.2</v>
      </c>
      <c r="E184" s="60">
        <f t="shared" si="59"/>
        <v>64.5</v>
      </c>
      <c r="F184" s="45"/>
      <c r="G184" s="45"/>
    </row>
    <row r="185" ht="6.0" customHeight="1">
      <c r="A185" s="45"/>
      <c r="B185" s="45"/>
      <c r="C185" s="46"/>
      <c r="D185" s="45"/>
      <c r="E185" s="45"/>
      <c r="F185" s="45"/>
      <c r="G185" s="45"/>
    </row>
    <row r="186">
      <c r="A186" s="88" t="s">
        <v>152</v>
      </c>
      <c r="B186" s="12"/>
      <c r="C186" s="12"/>
      <c r="D186" s="12"/>
      <c r="E186" s="13"/>
      <c r="F186" s="45"/>
      <c r="G186" s="45"/>
    </row>
    <row r="187">
      <c r="A187" s="55" t="s">
        <v>41</v>
      </c>
      <c r="B187" s="13"/>
      <c r="C187" s="106" t="s">
        <v>142</v>
      </c>
      <c r="D187" s="89" t="s">
        <v>153</v>
      </c>
      <c r="E187" s="38" t="s">
        <v>144</v>
      </c>
      <c r="F187" s="78"/>
      <c r="G187" s="78"/>
    </row>
    <row r="188" ht="24.0" customHeight="1">
      <c r="A188" s="18" t="s">
        <v>48</v>
      </c>
      <c r="B188" s="13"/>
      <c r="C188" s="58">
        <f t="shared" ref="C188:C189" si="60">E177</f>
        <v>322.5</v>
      </c>
      <c r="D188" s="58">
        <f t="shared" ref="D188:D189" si="61">E183</f>
        <v>64.5</v>
      </c>
      <c r="E188" s="60">
        <f t="shared" ref="E188:E189" si="62">C188-D188</f>
        <v>258</v>
      </c>
      <c r="F188" s="45"/>
      <c r="G188" s="45"/>
    </row>
    <row r="189" ht="24.0" customHeight="1">
      <c r="A189" s="18" t="s">
        <v>49</v>
      </c>
      <c r="B189" s="13"/>
      <c r="C189" s="58">
        <f t="shared" si="60"/>
        <v>322.5</v>
      </c>
      <c r="D189" s="58">
        <f t="shared" si="61"/>
        <v>64.5</v>
      </c>
      <c r="E189" s="60">
        <f t="shared" si="62"/>
        <v>258</v>
      </c>
      <c r="F189" s="45"/>
      <c r="G189" s="45"/>
    </row>
    <row r="190" ht="6.0" customHeight="1">
      <c r="A190" s="45"/>
      <c r="B190" s="45"/>
      <c r="C190" s="46"/>
      <c r="D190" s="45"/>
      <c r="E190" s="45"/>
      <c r="F190" s="45"/>
      <c r="G190" s="45"/>
    </row>
    <row r="191">
      <c r="A191" s="109" t="s">
        <v>154</v>
      </c>
    </row>
    <row r="192">
      <c r="A192" s="93" t="s">
        <v>155</v>
      </c>
    </row>
    <row r="193">
      <c r="A193" s="55" t="s">
        <v>41</v>
      </c>
      <c r="B193" s="13"/>
      <c r="C193" s="110" t="s">
        <v>156</v>
      </c>
      <c r="D193" s="48" t="s">
        <v>157</v>
      </c>
      <c r="E193" s="48" t="s">
        <v>158</v>
      </c>
      <c r="F193" s="48" t="s">
        <v>159</v>
      </c>
      <c r="G193" s="48" t="s">
        <v>160</v>
      </c>
    </row>
    <row r="194" ht="24.0" customHeight="1">
      <c r="A194" s="18" t="s">
        <v>48</v>
      </c>
      <c r="B194" s="13"/>
      <c r="C194" s="43">
        <f t="shared" ref="C194:C195" si="63">G64</f>
        <v>2067.78</v>
      </c>
      <c r="D194" s="58">
        <f t="shared" ref="D194:D195" si="64">26*C194</f>
        <v>53762.28</v>
      </c>
      <c r="E194" s="58">
        <f t="shared" ref="E194:E195" si="65">52*C194</f>
        <v>107524.56</v>
      </c>
      <c r="F194" s="40">
        <v>642.0</v>
      </c>
      <c r="G194" s="58">
        <f t="shared" ref="G194:G195" si="66">F194/12</f>
        <v>53.5</v>
      </c>
    </row>
    <row r="195" ht="24.0" customHeight="1">
      <c r="A195" s="18" t="s">
        <v>49</v>
      </c>
      <c r="B195" s="13"/>
      <c r="C195" s="43">
        <f t="shared" si="63"/>
        <v>2628.482984</v>
      </c>
      <c r="D195" s="58">
        <f t="shared" si="64"/>
        <v>68340.55759</v>
      </c>
      <c r="E195" s="58">
        <f t="shared" si="65"/>
        <v>136681.1152</v>
      </c>
      <c r="F195" s="40">
        <v>797.28</v>
      </c>
      <c r="G195" s="58">
        <f t="shared" si="66"/>
        <v>66.44</v>
      </c>
    </row>
    <row r="196" ht="6.0" customHeight="1">
      <c r="A196" s="111"/>
      <c r="B196" s="111"/>
      <c r="C196" s="111"/>
      <c r="D196" s="111"/>
      <c r="E196" s="111"/>
      <c r="F196" s="111"/>
      <c r="G196" s="111"/>
    </row>
    <row r="197">
      <c r="A197" s="83" t="s">
        <v>161</v>
      </c>
      <c r="B197" s="12"/>
      <c r="C197" s="12"/>
      <c r="D197" s="12"/>
      <c r="E197" s="12"/>
      <c r="F197" s="13"/>
      <c r="G197" s="45"/>
    </row>
    <row r="198">
      <c r="A198" s="36" t="s">
        <v>41</v>
      </c>
      <c r="B198" s="13"/>
      <c r="C198" s="84" t="s">
        <v>162</v>
      </c>
      <c r="D198" s="85" t="s">
        <v>163</v>
      </c>
      <c r="E198" s="86" t="s">
        <v>164</v>
      </c>
      <c r="F198" s="85" t="s">
        <v>165</v>
      </c>
      <c r="G198" s="112"/>
    </row>
    <row r="199" ht="24.0" customHeight="1">
      <c r="A199" s="18" t="s">
        <v>48</v>
      </c>
      <c r="B199" s="13"/>
      <c r="C199" s="58">
        <f t="shared" ref="C199:C200" si="67">E169</f>
        <v>48.564</v>
      </c>
      <c r="D199" s="58">
        <f t="shared" ref="D199:D200" si="68">E188</f>
        <v>258</v>
      </c>
      <c r="E199" s="58">
        <f t="shared" ref="E199:E200" si="69">G194</f>
        <v>53.5</v>
      </c>
      <c r="F199" s="60">
        <f t="shared" ref="F199:F200" si="70">SUM(C199:E199)</f>
        <v>360.064</v>
      </c>
      <c r="G199" s="112"/>
    </row>
    <row r="200" ht="24.0" customHeight="1">
      <c r="A200" s="18" t="s">
        <v>49</v>
      </c>
      <c r="B200" s="13"/>
      <c r="C200" s="58">
        <f t="shared" si="67"/>
        <v>48.564</v>
      </c>
      <c r="D200" s="58">
        <f t="shared" si="68"/>
        <v>258</v>
      </c>
      <c r="E200" s="58">
        <f t="shared" si="69"/>
        <v>66.44</v>
      </c>
      <c r="F200" s="60">
        <f t="shared" si="70"/>
        <v>373.004</v>
      </c>
      <c r="G200" s="112"/>
    </row>
    <row r="201" ht="6.0" customHeight="1">
      <c r="A201" s="45"/>
      <c r="B201" s="45"/>
      <c r="C201" s="46"/>
      <c r="D201" s="45"/>
      <c r="E201" s="45"/>
      <c r="F201" s="45"/>
      <c r="G201" s="45"/>
    </row>
    <row r="202">
      <c r="A202" s="72" t="s">
        <v>166</v>
      </c>
      <c r="B202" s="12"/>
      <c r="C202" s="12"/>
      <c r="D202" s="12"/>
      <c r="E202" s="12"/>
      <c r="F202" s="13"/>
      <c r="G202" s="45"/>
    </row>
    <row r="203">
      <c r="A203" s="11" t="s">
        <v>41</v>
      </c>
      <c r="B203" s="13"/>
      <c r="C203" s="113" t="s">
        <v>167</v>
      </c>
      <c r="D203" s="114" t="s">
        <v>168</v>
      </c>
      <c r="E203" s="114" t="s">
        <v>169</v>
      </c>
      <c r="F203" s="115" t="s">
        <v>106</v>
      </c>
      <c r="G203" s="78"/>
    </row>
    <row r="204" ht="24.0" customHeight="1">
      <c r="A204" s="18" t="s">
        <v>48</v>
      </c>
      <c r="B204" s="13"/>
      <c r="C204" s="58">
        <f t="shared" ref="C204:C205" si="71">F115</f>
        <v>402.0683333</v>
      </c>
      <c r="D204" s="58">
        <f t="shared" ref="D204:D205" si="72">E147</f>
        <v>953.3614567</v>
      </c>
      <c r="E204" s="58">
        <f t="shared" ref="E204:E205" si="73">F199</f>
        <v>360.064</v>
      </c>
      <c r="F204" s="60">
        <f t="shared" ref="F204:F205" si="74">SUM(C204:E204)</f>
        <v>1715.49379</v>
      </c>
      <c r="G204" s="45"/>
    </row>
    <row r="205" ht="24.0" customHeight="1">
      <c r="A205" s="18" t="s">
        <v>49</v>
      </c>
      <c r="B205" s="13"/>
      <c r="C205" s="58">
        <f t="shared" si="71"/>
        <v>511.0939136</v>
      </c>
      <c r="D205" s="58">
        <f t="shared" si="72"/>
        <v>1211.876683</v>
      </c>
      <c r="E205" s="58">
        <f t="shared" si="73"/>
        <v>373.004</v>
      </c>
      <c r="F205" s="60">
        <f t="shared" si="74"/>
        <v>2095.974596</v>
      </c>
      <c r="G205" s="45"/>
    </row>
    <row r="206" ht="6.0" customHeight="1">
      <c r="A206" s="45"/>
      <c r="B206" s="45"/>
      <c r="C206" s="46"/>
      <c r="D206" s="45"/>
      <c r="E206" s="45"/>
      <c r="F206" s="45"/>
      <c r="G206" s="45"/>
    </row>
    <row r="207">
      <c r="A207" s="29" t="s">
        <v>170</v>
      </c>
      <c r="B207" s="2"/>
      <c r="C207" s="2"/>
      <c r="D207" s="2"/>
      <c r="E207" s="2"/>
      <c r="F207" s="2"/>
      <c r="G207" s="3"/>
    </row>
    <row r="208">
      <c r="A208" s="31" t="s">
        <v>171</v>
      </c>
    </row>
    <row r="209" ht="24.0" customHeight="1">
      <c r="A209" s="116" t="s">
        <v>172</v>
      </c>
      <c r="B209" s="12"/>
      <c r="C209" s="13"/>
      <c r="D209" s="45"/>
      <c r="E209" s="45"/>
      <c r="F209" s="45"/>
      <c r="G209" s="45"/>
    </row>
    <row r="210">
      <c r="A210" s="117" t="s">
        <v>173</v>
      </c>
      <c r="B210" s="13"/>
      <c r="C210" s="49" t="s">
        <v>174</v>
      </c>
      <c r="D210" s="78"/>
      <c r="E210" s="78"/>
      <c r="F210" s="78"/>
      <c r="G210" s="78"/>
    </row>
    <row r="211">
      <c r="A211" s="118" t="s">
        <v>175</v>
      </c>
      <c r="B211" s="13"/>
      <c r="C211" s="92">
        <v>0.606</v>
      </c>
      <c r="D211" s="45"/>
      <c r="E211" s="45"/>
      <c r="F211" s="45"/>
      <c r="G211" s="45"/>
    </row>
    <row r="212">
      <c r="A212" s="119" t="s">
        <v>176</v>
      </c>
      <c r="B212" s="13"/>
      <c r="C212" s="120">
        <v>0.55</v>
      </c>
      <c r="D212" s="45"/>
      <c r="E212" s="45"/>
      <c r="F212" s="45"/>
      <c r="G212" s="45"/>
    </row>
    <row r="213">
      <c r="A213" s="119" t="s">
        <v>177</v>
      </c>
      <c r="B213" s="13"/>
      <c r="C213" s="120">
        <v>0.45</v>
      </c>
      <c r="D213" s="45"/>
      <c r="E213" s="45"/>
      <c r="F213" s="45"/>
      <c r="G213" s="45"/>
    </row>
    <row r="214">
      <c r="A214" s="118" t="s">
        <v>178</v>
      </c>
      <c r="B214" s="13"/>
      <c r="C214" s="92">
        <v>0.078</v>
      </c>
      <c r="D214" s="45"/>
      <c r="E214" s="45"/>
      <c r="F214" s="45"/>
      <c r="G214" s="45"/>
    </row>
    <row r="215">
      <c r="A215" s="118" t="s">
        <v>179</v>
      </c>
      <c r="B215" s="13"/>
      <c r="C215" s="92">
        <v>0.316</v>
      </c>
      <c r="D215" s="121" t="s">
        <v>180</v>
      </c>
      <c r="E215" s="45"/>
      <c r="F215" s="45"/>
      <c r="G215" s="45"/>
    </row>
    <row r="216">
      <c r="A216" s="122" t="s">
        <v>122</v>
      </c>
      <c r="B216" s="13"/>
      <c r="C216" s="96">
        <f>SUM(C211,C214,C215)</f>
        <v>1</v>
      </c>
      <c r="D216" s="78"/>
      <c r="E216" s="78"/>
      <c r="F216" s="78"/>
      <c r="G216" s="78"/>
    </row>
    <row r="217" ht="6.0" customHeight="1">
      <c r="A217" s="45"/>
      <c r="B217" s="45"/>
      <c r="C217" s="46"/>
      <c r="D217" s="45"/>
      <c r="E217" s="45"/>
      <c r="F217" s="45"/>
      <c r="G217" s="45"/>
    </row>
    <row r="218">
      <c r="A218" s="34" t="s">
        <v>181</v>
      </c>
      <c r="B218" s="2"/>
      <c r="C218" s="2"/>
      <c r="D218" s="2"/>
      <c r="E218" s="2"/>
      <c r="F218" s="2"/>
      <c r="G218" s="3"/>
    </row>
    <row r="219">
      <c r="A219" s="31" t="s">
        <v>182</v>
      </c>
    </row>
    <row r="220" ht="7.5" customHeight="1">
      <c r="A220" s="45"/>
      <c r="B220" s="45"/>
      <c r="C220" s="46"/>
      <c r="D220" s="45"/>
      <c r="E220" s="45"/>
      <c r="F220" s="45"/>
      <c r="G220" s="45"/>
    </row>
    <row r="221">
      <c r="A221" s="88" t="s">
        <v>183</v>
      </c>
      <c r="B221" s="12"/>
      <c r="C221" s="12"/>
      <c r="D221" s="12"/>
      <c r="E221" s="13"/>
      <c r="F221" s="45"/>
      <c r="G221" s="45"/>
    </row>
    <row r="222">
      <c r="A222" s="97" t="s">
        <v>184</v>
      </c>
      <c r="B222" s="12"/>
      <c r="C222" s="12"/>
      <c r="D222" s="12"/>
      <c r="E222" s="13"/>
      <c r="F222" s="78"/>
      <c r="G222" s="78"/>
    </row>
    <row r="223">
      <c r="A223" s="55" t="s">
        <v>41</v>
      </c>
      <c r="B223" s="13"/>
      <c r="C223" s="49" t="s">
        <v>57</v>
      </c>
      <c r="D223" s="48" t="s">
        <v>185</v>
      </c>
      <c r="E223" s="38" t="s">
        <v>186</v>
      </c>
      <c r="F223" s="78"/>
      <c r="G223" s="78"/>
    </row>
    <row r="224" ht="24.0" customHeight="1">
      <c r="A224" s="18" t="s">
        <v>48</v>
      </c>
      <c r="B224" s="13"/>
      <c r="C224" s="58">
        <f t="shared" ref="C224:C225" si="75">E88+(F204-E136)</f>
        <v>3126.9127</v>
      </c>
      <c r="D224" s="123">
        <f>1/12</f>
        <v>0.08333333333</v>
      </c>
      <c r="E224" s="60">
        <f t="shared" ref="E224:E225" si="76">C224*D224</f>
        <v>260.5760583</v>
      </c>
      <c r="F224" s="45"/>
      <c r="G224" s="45"/>
    </row>
    <row r="225" ht="24.0" customHeight="1">
      <c r="A225" s="18" t="s">
        <v>49</v>
      </c>
      <c r="B225" s="13"/>
      <c r="C225" s="58">
        <f t="shared" si="75"/>
        <v>3863.15955</v>
      </c>
      <c r="D225" s="79">
        <f>D224</f>
        <v>0.08333333333</v>
      </c>
      <c r="E225" s="60">
        <f t="shared" si="76"/>
        <v>321.9299625</v>
      </c>
      <c r="F225" s="45"/>
      <c r="G225" s="45"/>
    </row>
    <row r="226" ht="6.0" customHeight="1">
      <c r="A226" s="45"/>
      <c r="B226" s="45"/>
      <c r="C226" s="46"/>
      <c r="D226" s="45"/>
      <c r="E226" s="45"/>
      <c r="F226" s="45"/>
      <c r="G226" s="45"/>
    </row>
    <row r="227">
      <c r="A227" s="36" t="s">
        <v>187</v>
      </c>
      <c r="B227" s="12"/>
      <c r="C227" s="12"/>
      <c r="D227" s="12"/>
      <c r="E227" s="13"/>
      <c r="F227" s="124"/>
      <c r="G227" s="45"/>
    </row>
    <row r="228">
      <c r="A228" s="47" t="s">
        <v>188</v>
      </c>
      <c r="B228" s="12"/>
      <c r="C228" s="12"/>
      <c r="D228" s="12"/>
      <c r="E228" s="13"/>
      <c r="F228" s="125"/>
      <c r="G228" s="80"/>
    </row>
    <row r="229">
      <c r="A229" s="55" t="s">
        <v>41</v>
      </c>
      <c r="B229" s="13"/>
      <c r="C229" s="49" t="s">
        <v>57</v>
      </c>
      <c r="D229" s="48" t="s">
        <v>189</v>
      </c>
      <c r="E229" s="38" t="s">
        <v>190</v>
      </c>
      <c r="F229" s="78"/>
      <c r="G229" s="78"/>
    </row>
    <row r="230" ht="24.0" customHeight="1">
      <c r="A230" s="18" t="s">
        <v>48</v>
      </c>
      <c r="B230" s="13"/>
      <c r="C230" s="58">
        <f t="shared" ref="C230:C231" si="77">E142</f>
        <v>197.5878667</v>
      </c>
      <c r="D230" s="126">
        <v>0.4</v>
      </c>
      <c r="E230" s="60">
        <f t="shared" ref="E230:E231" si="78">C230*D230</f>
        <v>79.03514667</v>
      </c>
      <c r="F230" s="45"/>
      <c r="G230" s="45"/>
    </row>
    <row r="231" ht="24.0" customHeight="1">
      <c r="A231" s="18" t="s">
        <v>49</v>
      </c>
      <c r="B231" s="13"/>
      <c r="C231" s="58">
        <f t="shared" si="77"/>
        <v>251.1661518</v>
      </c>
      <c r="D231" s="126">
        <v>0.4</v>
      </c>
      <c r="E231" s="60">
        <f t="shared" si="78"/>
        <v>100.4664607</v>
      </c>
      <c r="F231" s="45"/>
      <c r="G231" s="45"/>
    </row>
    <row r="232" ht="6.0" customHeight="1">
      <c r="A232" s="45"/>
      <c r="B232" s="45"/>
      <c r="C232" s="46"/>
      <c r="D232" s="45"/>
      <c r="E232" s="45"/>
      <c r="F232" s="45"/>
      <c r="G232" s="45"/>
    </row>
    <row r="233">
      <c r="A233" s="83" t="s">
        <v>191</v>
      </c>
      <c r="B233" s="12"/>
      <c r="C233" s="12"/>
      <c r="D233" s="12"/>
      <c r="E233" s="13"/>
      <c r="F233" s="45"/>
      <c r="G233" s="45"/>
    </row>
    <row r="234">
      <c r="A234" s="47" t="s">
        <v>192</v>
      </c>
      <c r="B234" s="12"/>
      <c r="C234" s="12"/>
      <c r="D234" s="12"/>
      <c r="E234" s="13"/>
      <c r="F234" s="78"/>
      <c r="G234" s="78"/>
    </row>
    <row r="235">
      <c r="A235" s="55" t="s">
        <v>41</v>
      </c>
      <c r="B235" s="13"/>
      <c r="C235" s="127" t="s">
        <v>57</v>
      </c>
      <c r="D235" s="86" t="s">
        <v>193</v>
      </c>
      <c r="E235" s="86" t="s">
        <v>194</v>
      </c>
      <c r="F235" s="78"/>
      <c r="G235" s="78"/>
    </row>
    <row r="236" ht="24.0" customHeight="1">
      <c r="A236" s="18" t="s">
        <v>48</v>
      </c>
      <c r="B236" s="13"/>
      <c r="C236" s="58">
        <f t="shared" ref="C236:C237" si="79">E224+E230</f>
        <v>339.611205</v>
      </c>
      <c r="D236" s="79">
        <f>C212*C211</f>
        <v>0.3333</v>
      </c>
      <c r="E236" s="60">
        <f t="shared" ref="E236:E237" si="80">C236*D236</f>
        <v>113.1924146</v>
      </c>
      <c r="F236" s="45"/>
      <c r="G236" s="45"/>
    </row>
    <row r="237" ht="24.0" customHeight="1">
      <c r="A237" s="18" t="s">
        <v>49</v>
      </c>
      <c r="B237" s="13"/>
      <c r="C237" s="58">
        <f t="shared" si="79"/>
        <v>422.3964232</v>
      </c>
      <c r="D237" s="79">
        <f>C212*C211</f>
        <v>0.3333</v>
      </c>
      <c r="E237" s="60">
        <f t="shared" si="80"/>
        <v>140.7847279</v>
      </c>
      <c r="F237" s="45"/>
      <c r="G237" s="45"/>
    </row>
    <row r="238" ht="6.0" customHeight="1">
      <c r="A238" s="45"/>
      <c r="B238" s="45"/>
      <c r="C238" s="46"/>
      <c r="D238" s="45"/>
      <c r="E238" s="45"/>
      <c r="F238" s="45"/>
      <c r="G238" s="45"/>
    </row>
    <row r="239">
      <c r="A239" s="34" t="s">
        <v>195</v>
      </c>
      <c r="B239" s="2"/>
      <c r="C239" s="2"/>
      <c r="D239" s="2"/>
      <c r="E239" s="2"/>
      <c r="F239" s="2"/>
      <c r="G239" s="3"/>
    </row>
    <row r="240">
      <c r="A240" s="31" t="s">
        <v>196</v>
      </c>
    </row>
    <row r="241" ht="6.0" customHeight="1">
      <c r="A241" s="45"/>
      <c r="B241" s="45"/>
      <c r="C241" s="46"/>
      <c r="D241" s="45"/>
      <c r="E241" s="45"/>
      <c r="F241" s="45"/>
      <c r="G241" s="45"/>
    </row>
    <row r="242">
      <c r="A242" s="88" t="s">
        <v>197</v>
      </c>
      <c r="B242" s="12"/>
      <c r="C242" s="12"/>
      <c r="D242" s="12"/>
      <c r="E242" s="13"/>
      <c r="F242" s="45"/>
      <c r="G242" s="45"/>
    </row>
    <row r="243">
      <c r="A243" s="97" t="s">
        <v>198</v>
      </c>
      <c r="B243" s="12"/>
      <c r="C243" s="12"/>
      <c r="D243" s="12"/>
      <c r="E243" s="13"/>
      <c r="F243" s="78"/>
      <c r="G243" s="78"/>
    </row>
    <row r="244">
      <c r="A244" s="55" t="s">
        <v>41</v>
      </c>
      <c r="B244" s="13"/>
      <c r="C244" s="49" t="s">
        <v>57</v>
      </c>
      <c r="D244" s="48" t="s">
        <v>185</v>
      </c>
      <c r="E244" s="38" t="s">
        <v>199</v>
      </c>
      <c r="F244" s="78"/>
      <c r="G244" s="78"/>
    </row>
    <row r="245" ht="24.0" customHeight="1">
      <c r="A245" s="18" t="s">
        <v>48</v>
      </c>
      <c r="B245" s="13"/>
      <c r="C245" s="58">
        <f t="shared" ref="C245:C246" si="81">E88+F204</f>
        <v>3882.68629</v>
      </c>
      <c r="D245" s="123">
        <f>1/12</f>
        <v>0.08333333333</v>
      </c>
      <c r="E245" s="60">
        <f t="shared" ref="E245:E246" si="82">C245*D245</f>
        <v>323.5571908</v>
      </c>
      <c r="F245" s="45"/>
      <c r="G245" s="45"/>
    </row>
    <row r="246" ht="24.0" customHeight="1">
      <c r="A246" s="18" t="s">
        <v>49</v>
      </c>
      <c r="B246" s="13"/>
      <c r="C246" s="58">
        <f t="shared" si="81"/>
        <v>4823.870081</v>
      </c>
      <c r="D246" s="79">
        <f>D245</f>
        <v>0.08333333333</v>
      </c>
      <c r="E246" s="60">
        <f t="shared" si="82"/>
        <v>401.9891734</v>
      </c>
      <c r="F246" s="45"/>
      <c r="G246" s="45"/>
    </row>
    <row r="247" ht="12.0" customHeight="1">
      <c r="A247" s="45"/>
      <c r="B247" s="45"/>
      <c r="C247" s="46"/>
      <c r="D247" s="45"/>
      <c r="E247" s="45"/>
      <c r="F247" s="45"/>
      <c r="G247" s="45"/>
    </row>
    <row r="248">
      <c r="A248" s="81" t="s">
        <v>200</v>
      </c>
      <c r="B248" s="12"/>
      <c r="C248" s="12"/>
      <c r="D248" s="12"/>
      <c r="E248" s="13"/>
      <c r="F248" s="45"/>
      <c r="G248" s="45"/>
    </row>
    <row r="249">
      <c r="A249" s="47" t="s">
        <v>201</v>
      </c>
      <c r="B249" s="12"/>
      <c r="C249" s="12"/>
      <c r="D249" s="12"/>
      <c r="E249" s="13"/>
      <c r="F249" s="78"/>
      <c r="G249" s="78"/>
    </row>
    <row r="250">
      <c r="A250" s="55" t="s">
        <v>41</v>
      </c>
      <c r="B250" s="13"/>
      <c r="C250" s="49" t="s">
        <v>57</v>
      </c>
      <c r="D250" s="48" t="s">
        <v>189</v>
      </c>
      <c r="E250" s="38" t="s">
        <v>202</v>
      </c>
      <c r="F250" s="78"/>
      <c r="G250" s="78"/>
    </row>
    <row r="251" ht="24.0" customHeight="1">
      <c r="A251" s="18" t="s">
        <v>48</v>
      </c>
      <c r="B251" s="13"/>
      <c r="C251" s="58">
        <f t="shared" ref="C251:C252" si="83">E142</f>
        <v>197.5878667</v>
      </c>
      <c r="D251" s="54">
        <v>0.4</v>
      </c>
      <c r="E251" s="60">
        <f t="shared" ref="E251:E252" si="84">C251*D251</f>
        <v>79.03514667</v>
      </c>
      <c r="F251" s="45"/>
      <c r="G251" s="45"/>
    </row>
    <row r="252" ht="24.0" customHeight="1">
      <c r="A252" s="18" t="s">
        <v>49</v>
      </c>
      <c r="B252" s="13"/>
      <c r="C252" s="58">
        <f t="shared" si="83"/>
        <v>251.1661518</v>
      </c>
      <c r="D252" s="54">
        <v>0.4</v>
      </c>
      <c r="E252" s="60">
        <f t="shared" si="84"/>
        <v>100.4664607</v>
      </c>
      <c r="F252" s="45"/>
      <c r="G252" s="45"/>
    </row>
    <row r="253" ht="6.0" customHeight="1">
      <c r="A253" s="45"/>
      <c r="B253" s="45"/>
      <c r="C253" s="46"/>
      <c r="D253" s="45"/>
      <c r="E253" s="45"/>
      <c r="F253" s="45"/>
      <c r="G253" s="45"/>
    </row>
    <row r="254">
      <c r="A254" s="83" t="s">
        <v>203</v>
      </c>
      <c r="B254" s="12"/>
      <c r="C254" s="12"/>
      <c r="D254" s="12"/>
      <c r="E254" s="13"/>
      <c r="F254" s="45"/>
      <c r="G254" s="45"/>
    </row>
    <row r="255">
      <c r="A255" s="47" t="s">
        <v>204</v>
      </c>
      <c r="B255" s="12"/>
      <c r="C255" s="12"/>
      <c r="D255" s="12"/>
      <c r="E255" s="13"/>
      <c r="F255" s="78"/>
      <c r="G255" s="78"/>
    </row>
    <row r="256">
      <c r="A256" s="36" t="s">
        <v>41</v>
      </c>
      <c r="B256" s="13"/>
      <c r="C256" s="127" t="s">
        <v>57</v>
      </c>
      <c r="D256" s="86" t="s">
        <v>193</v>
      </c>
      <c r="E256" s="86" t="s">
        <v>194</v>
      </c>
      <c r="F256" s="78"/>
      <c r="G256" s="78"/>
    </row>
    <row r="257" ht="24.0" customHeight="1">
      <c r="A257" s="18" t="s">
        <v>48</v>
      </c>
      <c r="B257" s="13"/>
      <c r="C257" s="58">
        <f t="shared" ref="C257:C258" si="85">E245+E251</f>
        <v>402.5923375</v>
      </c>
      <c r="D257" s="79">
        <f>C213*C211</f>
        <v>0.2727</v>
      </c>
      <c r="E257" s="60">
        <f t="shared" ref="E257:E258" si="86">C257*D257</f>
        <v>109.7869304</v>
      </c>
      <c r="F257" s="45"/>
      <c r="G257" s="45"/>
    </row>
    <row r="258" ht="24.0" customHeight="1">
      <c r="A258" s="18" t="s">
        <v>49</v>
      </c>
      <c r="B258" s="13"/>
      <c r="C258" s="58">
        <f t="shared" si="85"/>
        <v>502.4556341</v>
      </c>
      <c r="D258" s="79">
        <f>C213*C211</f>
        <v>0.2727</v>
      </c>
      <c r="E258" s="60">
        <f t="shared" si="86"/>
        <v>137.0196514</v>
      </c>
      <c r="F258" s="45"/>
      <c r="G258" s="45"/>
    </row>
    <row r="259" ht="6.0" customHeight="1">
      <c r="A259" s="45"/>
      <c r="B259" s="45"/>
      <c r="C259" s="46"/>
      <c r="D259" s="45"/>
      <c r="E259" s="45"/>
      <c r="F259" s="45"/>
      <c r="G259" s="45"/>
    </row>
    <row r="260">
      <c r="A260" s="34" t="s">
        <v>205</v>
      </c>
      <c r="B260" s="2"/>
      <c r="C260" s="2"/>
      <c r="D260" s="2"/>
      <c r="E260" s="2"/>
      <c r="F260" s="2"/>
      <c r="G260" s="3"/>
    </row>
    <row r="261">
      <c r="A261" s="128" t="s">
        <v>206</v>
      </c>
      <c r="B261" s="2"/>
      <c r="C261" s="2"/>
      <c r="D261" s="2"/>
      <c r="E261" s="2"/>
      <c r="F261" s="2"/>
      <c r="G261" s="3"/>
    </row>
    <row r="262" ht="6.0" customHeight="1">
      <c r="A262" s="45"/>
      <c r="B262" s="45"/>
      <c r="C262" s="46"/>
      <c r="D262" s="45"/>
      <c r="E262" s="45"/>
      <c r="F262" s="45"/>
      <c r="G262" s="45"/>
    </row>
    <row r="263">
      <c r="A263" s="88" t="s">
        <v>207</v>
      </c>
      <c r="B263" s="12"/>
      <c r="C263" s="12"/>
      <c r="D263" s="12"/>
      <c r="E263" s="12"/>
      <c r="F263" s="13"/>
      <c r="G263" s="45"/>
    </row>
    <row r="264">
      <c r="A264" s="55" t="s">
        <v>41</v>
      </c>
      <c r="B264" s="13"/>
      <c r="C264" s="110" t="s">
        <v>208</v>
      </c>
      <c r="D264" s="48" t="s">
        <v>209</v>
      </c>
      <c r="E264" s="48" t="s">
        <v>210</v>
      </c>
      <c r="F264" s="38" t="s">
        <v>106</v>
      </c>
      <c r="G264" s="78"/>
    </row>
    <row r="265" ht="24.0" customHeight="1">
      <c r="A265" s="18" t="s">
        <v>48</v>
      </c>
      <c r="B265" s="13"/>
      <c r="C265" s="58">
        <f t="shared" ref="C265:C266" si="87">-E98</f>
        <v>-172.315</v>
      </c>
      <c r="D265" s="58">
        <f t="shared" ref="D265:D266" si="88">-E104</f>
        <v>-172.315</v>
      </c>
      <c r="E265" s="58">
        <f t="shared" ref="E265:E266" si="89">-F110</f>
        <v>-57.43833333</v>
      </c>
      <c r="F265" s="60">
        <f t="shared" ref="F265:F266" si="90">SUM(C265:E265)</f>
        <v>-402.0683333</v>
      </c>
      <c r="G265" s="45"/>
    </row>
    <row r="266" ht="24.0" customHeight="1">
      <c r="A266" s="18" t="s">
        <v>49</v>
      </c>
      <c r="B266" s="13"/>
      <c r="C266" s="58">
        <f t="shared" si="87"/>
        <v>-219.0402487</v>
      </c>
      <c r="D266" s="58">
        <f t="shared" si="88"/>
        <v>-219.0402487</v>
      </c>
      <c r="E266" s="58">
        <f t="shared" si="89"/>
        <v>-73.01341623</v>
      </c>
      <c r="F266" s="60">
        <f t="shared" si="90"/>
        <v>-511.0939136</v>
      </c>
      <c r="G266" s="45"/>
    </row>
    <row r="267" ht="6.0" customHeight="1">
      <c r="A267" s="45"/>
      <c r="B267" s="45"/>
      <c r="C267" s="46"/>
      <c r="D267" s="45"/>
      <c r="E267" s="45"/>
      <c r="F267" s="45"/>
      <c r="G267" s="45"/>
    </row>
    <row r="268">
      <c r="A268" s="83" t="s">
        <v>211</v>
      </c>
      <c r="B268" s="12"/>
      <c r="C268" s="12"/>
      <c r="D268" s="12"/>
      <c r="E268" s="13"/>
      <c r="F268" s="45"/>
      <c r="G268" s="45"/>
    </row>
    <row r="269">
      <c r="A269" s="47" t="s">
        <v>212</v>
      </c>
      <c r="B269" s="12"/>
      <c r="C269" s="12"/>
      <c r="D269" s="12"/>
      <c r="E269" s="13"/>
      <c r="F269" s="78"/>
      <c r="G269" s="78"/>
    </row>
    <row r="270">
      <c r="A270" s="36" t="s">
        <v>41</v>
      </c>
      <c r="B270" s="13"/>
      <c r="C270" s="127" t="s">
        <v>213</v>
      </c>
      <c r="D270" s="86" t="s">
        <v>193</v>
      </c>
      <c r="E270" s="86" t="s">
        <v>214</v>
      </c>
      <c r="F270" s="78"/>
      <c r="G270" s="78"/>
    </row>
    <row r="271" ht="24.0" customHeight="1">
      <c r="A271" s="18" t="s">
        <v>48</v>
      </c>
      <c r="B271" s="13"/>
      <c r="C271" s="60">
        <f t="shared" ref="C271:C272" si="91">F265</f>
        <v>-402.0683333</v>
      </c>
      <c r="D271" s="79">
        <f>C214</f>
        <v>0.078</v>
      </c>
      <c r="E271" s="60">
        <f t="shared" ref="E271:E272" si="92">C271*D271</f>
        <v>-31.36133</v>
      </c>
      <c r="F271" s="45"/>
      <c r="G271" s="45"/>
    </row>
    <row r="272" ht="24.0" customHeight="1">
      <c r="A272" s="18" t="s">
        <v>49</v>
      </c>
      <c r="B272" s="13"/>
      <c r="C272" s="60">
        <f t="shared" si="91"/>
        <v>-511.0939136</v>
      </c>
      <c r="D272" s="79">
        <f>C214</f>
        <v>0.078</v>
      </c>
      <c r="E272" s="60">
        <f t="shared" si="92"/>
        <v>-39.86532526</v>
      </c>
      <c r="F272" s="45"/>
      <c r="G272" s="45"/>
    </row>
    <row r="273" ht="6.0" customHeight="1">
      <c r="A273" s="45"/>
      <c r="B273" s="45"/>
      <c r="C273" s="46"/>
      <c r="D273" s="45"/>
      <c r="E273" s="45"/>
      <c r="F273" s="45"/>
      <c r="G273" s="45"/>
    </row>
    <row r="274">
      <c r="A274" s="72" t="s">
        <v>215</v>
      </c>
      <c r="B274" s="12"/>
      <c r="C274" s="12"/>
      <c r="D274" s="12"/>
      <c r="E274" s="12"/>
      <c r="F274" s="13"/>
      <c r="G274" s="45"/>
    </row>
    <row r="275">
      <c r="A275" s="11" t="s">
        <v>41</v>
      </c>
      <c r="B275" s="13"/>
      <c r="C275" s="129" t="s">
        <v>216</v>
      </c>
      <c r="D275" s="115" t="s">
        <v>217</v>
      </c>
      <c r="E275" s="115" t="s">
        <v>218</v>
      </c>
      <c r="F275" s="114" t="s">
        <v>165</v>
      </c>
      <c r="G275" s="78"/>
    </row>
    <row r="276" ht="24.0" customHeight="1">
      <c r="A276" s="18" t="s">
        <v>48</v>
      </c>
      <c r="B276" s="13"/>
      <c r="C276" s="58">
        <f t="shared" ref="C276:C277" si="93">E236</f>
        <v>113.1924146</v>
      </c>
      <c r="D276" s="58">
        <f t="shared" ref="D276:D277" si="94">E257</f>
        <v>109.7869304</v>
      </c>
      <c r="E276" s="58">
        <f t="shared" ref="E276:E277" si="95">E271</f>
        <v>-31.36133</v>
      </c>
      <c r="F276" s="60">
        <f t="shared" ref="F276:F277" si="96">SUM(C276:E276)</f>
        <v>191.6180151</v>
      </c>
      <c r="G276" s="45"/>
    </row>
    <row r="277" ht="24.0" customHeight="1">
      <c r="A277" s="18" t="s">
        <v>49</v>
      </c>
      <c r="B277" s="13"/>
      <c r="C277" s="58">
        <f t="shared" si="93"/>
        <v>140.7847279</v>
      </c>
      <c r="D277" s="58">
        <f t="shared" si="94"/>
        <v>137.0196514</v>
      </c>
      <c r="E277" s="58">
        <f t="shared" si="95"/>
        <v>-39.86532526</v>
      </c>
      <c r="F277" s="60">
        <f t="shared" si="96"/>
        <v>237.939054</v>
      </c>
      <c r="G277" s="45"/>
    </row>
    <row r="278" ht="6.0" customHeight="1">
      <c r="A278" s="45"/>
      <c r="B278" s="45"/>
      <c r="C278" s="46"/>
      <c r="D278" s="45"/>
      <c r="E278" s="45"/>
      <c r="F278" s="45"/>
      <c r="G278" s="45"/>
    </row>
    <row r="279">
      <c r="A279" s="29" t="s">
        <v>219</v>
      </c>
      <c r="B279" s="2"/>
      <c r="C279" s="2"/>
      <c r="D279" s="2"/>
      <c r="E279" s="2"/>
      <c r="F279" s="2"/>
      <c r="G279" s="3"/>
    </row>
    <row r="280">
      <c r="A280" s="31" t="s">
        <v>220</v>
      </c>
    </row>
    <row r="281" ht="6.0" customHeight="1">
      <c r="A281" s="45"/>
      <c r="B281" s="45"/>
      <c r="C281" s="46"/>
      <c r="D281" s="45"/>
      <c r="E281" s="45"/>
      <c r="F281" s="45"/>
      <c r="G281" s="45"/>
    </row>
    <row r="282">
      <c r="A282" s="81" t="s">
        <v>221</v>
      </c>
      <c r="B282" s="12"/>
      <c r="C282" s="12"/>
      <c r="D282" s="12"/>
      <c r="E282" s="13"/>
      <c r="F282" s="57"/>
      <c r="G282" s="45"/>
    </row>
    <row r="283">
      <c r="A283" s="130" t="s">
        <v>222</v>
      </c>
      <c r="B283" s="12"/>
      <c r="C283" s="12"/>
      <c r="D283" s="12"/>
      <c r="E283" s="13"/>
      <c r="F283" s="57"/>
      <c r="G283" s="45"/>
    </row>
    <row r="284">
      <c r="A284" s="131" t="s">
        <v>223</v>
      </c>
      <c r="B284" s="132" t="s">
        <v>224</v>
      </c>
      <c r="C284" s="131" t="s">
        <v>225</v>
      </c>
      <c r="D284" s="131" t="s">
        <v>226</v>
      </c>
      <c r="E284" s="131" t="s">
        <v>227</v>
      </c>
      <c r="F284" s="57"/>
      <c r="G284" s="45"/>
    </row>
    <row r="285">
      <c r="A285" s="133"/>
      <c r="B285" s="133"/>
      <c r="C285" s="133"/>
      <c r="D285" s="133"/>
      <c r="E285" s="133"/>
      <c r="F285" s="57"/>
      <c r="G285" s="45"/>
    </row>
    <row r="286" ht="24.0" customHeight="1">
      <c r="A286" s="19" t="s">
        <v>228</v>
      </c>
      <c r="B286" s="134">
        <v>1.0</v>
      </c>
      <c r="C286" s="135">
        <v>30.0</v>
      </c>
      <c r="D286" s="136">
        <v>0.5</v>
      </c>
      <c r="E286" s="137">
        <f t="shared" ref="E286:E297" si="97">(B286*C286)*D286</f>
        <v>15</v>
      </c>
      <c r="F286" s="57"/>
      <c r="G286" s="138"/>
    </row>
    <row r="287" ht="24.0" customHeight="1">
      <c r="A287" s="135" t="s">
        <v>229</v>
      </c>
      <c r="B287" s="134">
        <v>1.0</v>
      </c>
      <c r="C287" s="135">
        <v>1.0</v>
      </c>
      <c r="D287" s="139">
        <v>1.0</v>
      </c>
      <c r="E287" s="137">
        <f t="shared" si="97"/>
        <v>1</v>
      </c>
      <c r="F287" s="57"/>
      <c r="G287" s="45"/>
    </row>
    <row r="288" ht="24.0" customHeight="1">
      <c r="A288" s="135" t="s">
        <v>230</v>
      </c>
      <c r="B288" s="134">
        <v>0.0922</v>
      </c>
      <c r="C288" s="135">
        <v>15.0</v>
      </c>
      <c r="D288" s="136">
        <v>0.5</v>
      </c>
      <c r="E288" s="137">
        <f t="shared" si="97"/>
        <v>0.6915</v>
      </c>
      <c r="F288" s="57"/>
      <c r="G288" s="140"/>
    </row>
    <row r="289" ht="24.0" customHeight="1">
      <c r="A289" s="135" t="s">
        <v>231</v>
      </c>
      <c r="B289" s="134">
        <v>1.0</v>
      </c>
      <c r="C289" s="135">
        <v>5.0</v>
      </c>
      <c r="D289" s="136">
        <v>0.5</v>
      </c>
      <c r="E289" s="137">
        <f t="shared" si="97"/>
        <v>2.5</v>
      </c>
      <c r="F289" s="57"/>
      <c r="G289" s="45"/>
    </row>
    <row r="290" ht="24.0" customHeight="1">
      <c r="A290" s="19" t="s">
        <v>232</v>
      </c>
      <c r="B290" s="134">
        <v>0.1344</v>
      </c>
      <c r="C290" s="135">
        <v>2.0</v>
      </c>
      <c r="D290" s="139">
        <v>1.0</v>
      </c>
      <c r="E290" s="137">
        <f t="shared" si="97"/>
        <v>0.2688</v>
      </c>
      <c r="F290" s="57"/>
      <c r="G290" s="45"/>
    </row>
    <row r="291" ht="24.0" customHeight="1">
      <c r="A291" s="135" t="s">
        <v>233</v>
      </c>
      <c r="B291" s="134">
        <v>0.0302</v>
      </c>
      <c r="C291" s="135">
        <v>2.0</v>
      </c>
      <c r="D291" s="136">
        <v>0.5</v>
      </c>
      <c r="E291" s="137">
        <f t="shared" si="97"/>
        <v>0.0302</v>
      </c>
      <c r="F291" s="57"/>
      <c r="G291" s="45"/>
    </row>
    <row r="292" ht="24.0" customHeight="1">
      <c r="A292" s="135" t="s">
        <v>234</v>
      </c>
      <c r="B292" s="134">
        <v>0.0118</v>
      </c>
      <c r="C292" s="135">
        <v>3.0</v>
      </c>
      <c r="D292" s="136">
        <v>1.0</v>
      </c>
      <c r="E292" s="137">
        <f t="shared" si="97"/>
        <v>0.0354</v>
      </c>
      <c r="F292" s="57"/>
      <c r="G292" s="45"/>
    </row>
    <row r="293" ht="24.0" customHeight="1">
      <c r="A293" s="135" t="s">
        <v>235</v>
      </c>
      <c r="B293" s="134">
        <v>0.02</v>
      </c>
      <c r="C293" s="135">
        <v>1.0</v>
      </c>
      <c r="D293" s="139">
        <v>1.0</v>
      </c>
      <c r="E293" s="137">
        <f t="shared" si="97"/>
        <v>0.02</v>
      </c>
      <c r="F293" s="57"/>
      <c r="G293" s="45"/>
    </row>
    <row r="294" ht="24.0" customHeight="1">
      <c r="A294" s="135" t="s">
        <v>236</v>
      </c>
      <c r="B294" s="134">
        <v>0.004</v>
      </c>
      <c r="C294" s="135">
        <v>1.0</v>
      </c>
      <c r="D294" s="139">
        <v>1.0</v>
      </c>
      <c r="E294" s="137">
        <f t="shared" si="97"/>
        <v>0.004</v>
      </c>
      <c r="F294" s="57"/>
      <c r="G294" s="45"/>
    </row>
    <row r="295" ht="24.0" customHeight="1">
      <c r="A295" s="135" t="s">
        <v>237</v>
      </c>
      <c r="B295" s="134">
        <v>0.0143</v>
      </c>
      <c r="C295" s="19">
        <v>5.0</v>
      </c>
      <c r="D295" s="136">
        <v>0.5</v>
      </c>
      <c r="E295" s="137">
        <f t="shared" si="97"/>
        <v>0.03575</v>
      </c>
      <c r="F295" s="57"/>
      <c r="G295" s="45"/>
    </row>
    <row r="296" ht="24.0" customHeight="1">
      <c r="A296" s="135" t="s">
        <v>238</v>
      </c>
      <c r="B296" s="134">
        <v>0.0197</v>
      </c>
      <c r="C296" s="19">
        <v>120.0</v>
      </c>
      <c r="D296" s="136">
        <v>0.5</v>
      </c>
      <c r="E296" s="137">
        <f t="shared" si="97"/>
        <v>1.182</v>
      </c>
      <c r="F296" s="57"/>
      <c r="G296" s="45"/>
    </row>
    <row r="297" ht="24.0" customHeight="1">
      <c r="A297" s="135" t="s">
        <v>239</v>
      </c>
      <c r="B297" s="134">
        <v>0.0016</v>
      </c>
      <c r="C297" s="135">
        <v>6.0</v>
      </c>
      <c r="D297" s="139">
        <v>1.0</v>
      </c>
      <c r="E297" s="137">
        <f t="shared" si="97"/>
        <v>0.0096</v>
      </c>
      <c r="F297" s="57"/>
      <c r="G297" s="45"/>
    </row>
    <row r="298" ht="24.0" customHeight="1">
      <c r="A298" s="141" t="s">
        <v>240</v>
      </c>
      <c r="B298" s="12"/>
      <c r="C298" s="12"/>
      <c r="D298" s="12"/>
      <c r="E298" s="142">
        <f>SUM(E286:E297)</f>
        <v>20.77725</v>
      </c>
      <c r="F298" s="57"/>
      <c r="G298" s="45"/>
    </row>
    <row r="299" ht="6.0" customHeight="1">
      <c r="A299" s="45"/>
      <c r="B299" s="45"/>
      <c r="C299" s="46"/>
      <c r="D299" s="45"/>
      <c r="E299" s="45"/>
      <c r="F299" s="45"/>
      <c r="G299" s="45"/>
    </row>
    <row r="300">
      <c r="A300" s="101" t="s">
        <v>241</v>
      </c>
      <c r="B300" s="12"/>
      <c r="C300" s="12"/>
      <c r="D300" s="13"/>
      <c r="E300" s="57"/>
      <c r="F300" s="45"/>
      <c r="G300" s="45"/>
    </row>
    <row r="301">
      <c r="A301" s="47" t="s">
        <v>242</v>
      </c>
      <c r="B301" s="12"/>
      <c r="C301" s="12"/>
      <c r="D301" s="13"/>
      <c r="E301" s="57"/>
      <c r="F301" s="45"/>
      <c r="G301" s="45"/>
    </row>
    <row r="302">
      <c r="A302" s="38" t="s">
        <v>243</v>
      </c>
      <c r="B302" s="49" t="s">
        <v>57</v>
      </c>
      <c r="C302" s="38" t="s">
        <v>244</v>
      </c>
      <c r="D302" s="38" t="s">
        <v>245</v>
      </c>
      <c r="E302" s="57"/>
      <c r="F302" s="78"/>
      <c r="G302" s="78"/>
    </row>
    <row r="303" ht="24.0" customHeight="1">
      <c r="A303" s="39" t="s">
        <v>246</v>
      </c>
      <c r="B303" s="58">
        <f t="shared" ref="B303:B304" si="98">E88+F204+F276</f>
        <v>4074.304305</v>
      </c>
      <c r="C303" s="108">
        <v>30.0</v>
      </c>
      <c r="D303" s="60">
        <f t="shared" ref="D303:D304" si="99">B303/C303</f>
        <v>135.8101435</v>
      </c>
      <c r="E303" s="57"/>
      <c r="F303" s="45"/>
      <c r="G303" s="45"/>
    </row>
    <row r="304" ht="24.0" customHeight="1">
      <c r="A304" s="39" t="s">
        <v>247</v>
      </c>
      <c r="B304" s="58">
        <f t="shared" si="98"/>
        <v>5061.809135</v>
      </c>
      <c r="C304" s="108">
        <f>C303</f>
        <v>30</v>
      </c>
      <c r="D304" s="60">
        <f t="shared" si="99"/>
        <v>168.7269712</v>
      </c>
      <c r="E304" s="57"/>
      <c r="F304" s="45"/>
      <c r="G304" s="45"/>
    </row>
    <row r="305" ht="6.0" customHeight="1">
      <c r="A305" s="45"/>
      <c r="B305" s="45"/>
      <c r="C305" s="46"/>
      <c r="D305" s="45"/>
      <c r="E305" s="45"/>
      <c r="F305" s="45"/>
      <c r="G305" s="45"/>
    </row>
    <row r="306">
      <c r="A306" s="72" t="s">
        <v>248</v>
      </c>
      <c r="B306" s="12"/>
      <c r="C306" s="12"/>
      <c r="D306" s="12"/>
      <c r="E306" s="12"/>
      <c r="F306" s="13"/>
      <c r="G306" s="45"/>
    </row>
    <row r="307">
      <c r="A307" s="76" t="s">
        <v>249</v>
      </c>
      <c r="B307" s="12"/>
      <c r="C307" s="12"/>
      <c r="D307" s="12"/>
      <c r="E307" s="12"/>
      <c r="F307" s="13"/>
      <c r="G307" s="78"/>
    </row>
    <row r="308" ht="33.75" customHeight="1">
      <c r="A308" s="11" t="s">
        <v>41</v>
      </c>
      <c r="B308" s="13"/>
      <c r="C308" s="113" t="s">
        <v>250</v>
      </c>
      <c r="D308" s="74" t="s">
        <v>251</v>
      </c>
      <c r="E308" s="115" t="s">
        <v>252</v>
      </c>
      <c r="F308" s="115" t="s">
        <v>253</v>
      </c>
      <c r="G308" s="78"/>
    </row>
    <row r="309" ht="24.0" customHeight="1">
      <c r="A309" s="18" t="s">
        <v>48</v>
      </c>
      <c r="B309" s="13"/>
      <c r="C309" s="58">
        <f t="shared" ref="C309:C310" si="100">D303</f>
        <v>135.8101435</v>
      </c>
      <c r="D309" s="108">
        <f>E298</f>
        <v>20.77725</v>
      </c>
      <c r="E309" s="58">
        <f t="shared" ref="E309:E310" si="101">C309*D309</f>
        <v>2821.761304</v>
      </c>
      <c r="F309" s="60">
        <f t="shared" ref="F309:F310" si="102">E309/12</f>
        <v>235.1467753</v>
      </c>
      <c r="G309" s="45"/>
    </row>
    <row r="310" ht="24.0" customHeight="1">
      <c r="A310" s="18" t="s">
        <v>49</v>
      </c>
      <c r="B310" s="13"/>
      <c r="C310" s="58">
        <f t="shared" si="100"/>
        <v>168.7269712</v>
      </c>
      <c r="D310" s="108">
        <f>E298</f>
        <v>20.77725</v>
      </c>
      <c r="E310" s="58">
        <f t="shared" si="101"/>
        <v>3505.682461</v>
      </c>
      <c r="F310" s="60">
        <f t="shared" si="102"/>
        <v>292.1402051</v>
      </c>
      <c r="G310" s="45"/>
    </row>
    <row r="311" ht="6.0" customHeight="1">
      <c r="A311" s="45"/>
      <c r="B311" s="45"/>
      <c r="C311" s="46"/>
      <c r="D311" s="45"/>
      <c r="E311" s="45"/>
      <c r="F311" s="45"/>
      <c r="G311" s="45"/>
    </row>
    <row r="312">
      <c r="A312" s="143" t="s">
        <v>254</v>
      </c>
      <c r="B312" s="2"/>
      <c r="C312" s="2"/>
      <c r="D312" s="2"/>
      <c r="E312" s="2"/>
      <c r="F312" s="2"/>
      <c r="G312" s="3"/>
    </row>
    <row r="313">
      <c r="A313" s="31" t="s">
        <v>255</v>
      </c>
    </row>
    <row r="314" ht="6.0" customHeight="1">
      <c r="A314" s="27"/>
      <c r="B314" s="27"/>
      <c r="C314" s="27"/>
      <c r="D314" s="144"/>
      <c r="E314" s="28"/>
      <c r="F314" s="27"/>
      <c r="G314" s="27"/>
    </row>
    <row r="315">
      <c r="A315" s="34" t="s">
        <v>256</v>
      </c>
      <c r="B315" s="2"/>
      <c r="C315" s="2"/>
      <c r="D315" s="2"/>
      <c r="E315" s="2"/>
      <c r="F315" s="2"/>
      <c r="G315" s="3"/>
    </row>
    <row r="316">
      <c r="A316" s="93" t="s">
        <v>257</v>
      </c>
    </row>
    <row r="317">
      <c r="A317" s="36" t="s">
        <v>258</v>
      </c>
      <c r="B317" s="13"/>
      <c r="C317" s="86" t="s">
        <v>259</v>
      </c>
      <c r="D317" s="145" t="s">
        <v>260</v>
      </c>
      <c r="E317" s="146" t="s">
        <v>261</v>
      </c>
      <c r="F317" s="147" t="s">
        <v>262</v>
      </c>
      <c r="G317" s="148" t="s">
        <v>263</v>
      </c>
    </row>
    <row r="318">
      <c r="A318" s="149" t="str">
        <f>IFERROR(__xludf.DUMMYFUNCTION("IMPORTRANGE(""https://docs.google.com/spreadsheets/d/1N-MS3Yks1R6miOFtrT4_icbxxDpq3hUVfzqWbJGwO1I/edit?usp=sharing"",""Relatório Pesquisa Preços!$A66"")"),"Agasalho pesado, tipo jaqueta/japona, com bolsos embutidos, capuz conjugado/removível, fechamento frontal, forrada/acolchoada, em material térmico e impermeável (ex.: poliamida com resina).")</f>
        <v>Agasalho pesado, tipo jaqueta/japona, com bolsos embutidos, capuz conjugado/removível, fechamento frontal, forrada/acolchoada, em material térmico e impermeável (ex.: poliamida com resina).</v>
      </c>
      <c r="B318" s="13"/>
      <c r="C318" s="150" t="str">
        <f>IFERROR(__xludf.DUMMYFUNCTION("IMPORTRANGE(""https://docs.google.com/spreadsheets/d/1N-MS3Yks1R6miOFtrT4_icbxxDpq3hUVfzqWbJGwO1I/edit?usp=sharing"",""Relatório Pesquisa Preços!$C66"")"),"peça")</f>
        <v>peça</v>
      </c>
      <c r="D318" s="151">
        <f>IFERROR(__xludf.DUMMYFUNCTION("IMPORTRANGE(""https://docs.google.com/spreadsheets/d/1N-MS3Yks1R6miOFtrT4_icbxxDpq3hUVfzqWbJGwO1I/edit?usp=sharing"",""Relatório Pesquisa Preços!D66"")"),1.0)</f>
        <v>1</v>
      </c>
      <c r="E318" s="151">
        <f>IFERROR(__xludf.DUMMYFUNCTION("IMPORTRANGE(""https://docs.google.com/spreadsheets/d/1N-MS3Yks1R6miOFtrT4_icbxxDpq3hUVfzqWbJGwO1I/edit?usp=sharing"",""Relatório Pesquisa Preços!F66"")"),24.0)</f>
        <v>24</v>
      </c>
      <c r="F318" s="152">
        <f>IFERROR(__xludf.DUMMYFUNCTION("IMPORTRANGE(""https://docs.google.com/spreadsheets/d/1N-MS3Yks1R6miOFtrT4_icbxxDpq3hUVfzqWbJGwO1I/edit?usp=sharing"",""Relatório Pesquisa Preços!G66"")"),118.42)</f>
        <v>118.42</v>
      </c>
      <c r="G318" s="58">
        <f t="shared" ref="G318:G329" si="103">IF($E318&gt;12,(D318*($F318/$E318)*12),($D318*$F318))</f>
        <v>59.21</v>
      </c>
    </row>
    <row r="319" ht="27.0" customHeight="1">
      <c r="A319" s="153" t="str">
        <f>IFERROR(__xludf.DUMMYFUNCTION("IMPORTRANGE(""https://docs.google.com/spreadsheets/d/1N-MS3Yks1R6miOFtrT4_icbxxDpq3hUVfzqWbJGwO1I/edit?usp=sharing"",""Relatório Pesquisa Preços!$A67"")"),"Apito profissional cromado com fiel")</f>
        <v>Apito profissional cromado com fiel</v>
      </c>
      <c r="B319" s="13"/>
      <c r="C319" s="150" t="str">
        <f>IFERROR(__xludf.DUMMYFUNCTION("IMPORTRANGE(""https://docs.google.com/spreadsheets/d/1N-MS3Yks1R6miOFtrT4_icbxxDpq3hUVfzqWbJGwO1I/edit?usp=sharing"",""Relatório Pesquisa Preços!$C67"")"),"unidade")</f>
        <v>unidade</v>
      </c>
      <c r="D319" s="151">
        <f>IFERROR(__xludf.DUMMYFUNCTION("IMPORTRANGE(""https://docs.google.com/spreadsheets/d/1N-MS3Yks1R6miOFtrT4_icbxxDpq3hUVfzqWbJGwO1I/edit?usp=sharing"",""Relatório Pesquisa Preços!D67"")"),1.0)</f>
        <v>1</v>
      </c>
      <c r="E319" s="151">
        <f>IFERROR(__xludf.DUMMYFUNCTION("IMPORTRANGE(""https://docs.google.com/spreadsheets/d/1N-MS3Yks1R6miOFtrT4_icbxxDpq3hUVfzqWbJGwO1I/edit?usp=sharing"",""Relatório Pesquisa Preços!F67"")"),36.0)</f>
        <v>36</v>
      </c>
      <c r="F319" s="154">
        <f>IFERROR(__xludf.DUMMYFUNCTION("IMPORTRANGE(""https://docs.google.com/spreadsheets/d/1N-MS3Yks1R6miOFtrT4_icbxxDpq3hUVfzqWbJGwO1I/edit?usp=sharing"",""Relatório Pesquisa Preços!G67"")"),15.05)</f>
        <v>15.05</v>
      </c>
      <c r="G319" s="58">
        <f t="shared" si="103"/>
        <v>5.016666667</v>
      </c>
    </row>
    <row r="320">
      <c r="A320" s="149" t="str">
        <f>IFERROR(__xludf.DUMMYFUNCTION("IMPORTRANGE(""https://docs.google.com/spreadsheets/d/1N-MS3Yks1R6miOFtrT4_icbxxDpq3hUVfzqWbJGwO1I/edit?usp=sharing"",""Relatório Pesquisa Preços!$A68"")"),"Boné")</f>
        <v>Boné</v>
      </c>
      <c r="B320" s="13"/>
      <c r="C320" s="150" t="str">
        <f>IFERROR(__xludf.DUMMYFUNCTION("IMPORTRANGE(""https://docs.google.com/spreadsheets/d/1N-MS3Yks1R6miOFtrT4_icbxxDpq3hUVfzqWbJGwO1I/edit?usp=sharing"",""Relatório Pesquisa Preços!$C68"")"),"unidade")</f>
        <v>unidade</v>
      </c>
      <c r="D320" s="151">
        <f>IFERROR(__xludf.DUMMYFUNCTION("IMPORTRANGE(""https://docs.google.com/spreadsheets/d/1N-MS3Yks1R6miOFtrT4_icbxxDpq3hUVfzqWbJGwO1I/edit?usp=sharing"",""Relatório Pesquisa Preços!D68"")"),2.0)</f>
        <v>2</v>
      </c>
      <c r="E320" s="151">
        <f>IFERROR(__xludf.DUMMYFUNCTION("IMPORTRANGE(""https://docs.google.com/spreadsheets/d/1N-MS3Yks1R6miOFtrT4_icbxxDpq3hUVfzqWbJGwO1I/edit?usp=sharing"",""Relatório Pesquisa Preços!F68"")"),6.0)</f>
        <v>6</v>
      </c>
      <c r="F320" s="154">
        <f>IFERROR(__xludf.DUMMYFUNCTION("IMPORTRANGE(""https://docs.google.com/spreadsheets/d/1N-MS3Yks1R6miOFtrT4_icbxxDpq3hUVfzqWbJGwO1I/edit?usp=sharing"",""Relatório Pesquisa Preços!G68"")"),22.78)</f>
        <v>22.78</v>
      </c>
      <c r="G320" s="58">
        <f t="shared" si="103"/>
        <v>45.56</v>
      </c>
    </row>
    <row r="321">
      <c r="A321" s="149" t="str">
        <f>IFERROR(__xludf.DUMMYFUNCTION("IMPORTRANGE(""https://docs.google.com/spreadsheets/d/1N-MS3Yks1R6miOFtrT4_icbxxDpq3hUVfzqWbJGwO1I/edit?usp=sharing"",""Relatório Pesquisa Preços!$A69"")"),"Calça social comprida, com presilhas para cinto, em tecido Oxford, na cor preta ou usual da empresa.")</f>
        <v>Calça social comprida, com presilhas para cinto, em tecido Oxford, na cor preta ou usual da empresa.</v>
      </c>
      <c r="B321" s="13"/>
      <c r="C321" s="150" t="str">
        <f>IFERROR(__xludf.DUMMYFUNCTION("IMPORTRANGE(""https://docs.google.com/spreadsheets/d/1N-MS3Yks1R6miOFtrT4_icbxxDpq3hUVfzqWbJGwO1I/edit?usp=sharing"",""Relatório Pesquisa Preços!$C69"")"),"peça")</f>
        <v>peça</v>
      </c>
      <c r="D321" s="151">
        <f>IFERROR(__xludf.DUMMYFUNCTION("IMPORTRANGE(""https://docs.google.com/spreadsheets/d/1N-MS3Yks1R6miOFtrT4_icbxxDpq3hUVfzqWbJGwO1I/edit?usp=sharing"",""Relatório Pesquisa Preços!D69"")"),2.0)</f>
        <v>2</v>
      </c>
      <c r="E321" s="151">
        <f>IFERROR(__xludf.DUMMYFUNCTION("IMPORTRANGE(""https://docs.google.com/spreadsheets/d/1N-MS3Yks1R6miOFtrT4_icbxxDpq3hUVfzqWbJGwO1I/edit?usp=sharing"",""Relatório Pesquisa Preços!F69"")"),12.0)</f>
        <v>12</v>
      </c>
      <c r="F321" s="154">
        <f>IFERROR(__xludf.DUMMYFUNCTION("IMPORTRANGE(""https://docs.google.com/spreadsheets/d/1N-MS3Yks1R6miOFtrT4_icbxxDpq3hUVfzqWbJGwO1I/edit?usp=sharing"",""Relatório Pesquisa Preços!G69"")"),39.69)</f>
        <v>39.69</v>
      </c>
      <c r="G321" s="58">
        <f t="shared" si="103"/>
        <v>79.38</v>
      </c>
    </row>
    <row r="322">
      <c r="A322" s="149" t="str">
        <f>IFERROR(__xludf.DUMMYFUNCTION("IMPORTRANGE(""https://docs.google.com/spreadsheets/d/1N-MS3Yks1R6miOFtrT4_icbxxDpq3hUVfzqWbJGwO1I/edit?usp=sharing"",""Relatório Pesquisa Preços!$A70"")"),"Camisa social mangas curtas em microfibra, na cor usual da empresa")</f>
        <v>Camisa social mangas curtas em microfibra, na cor usual da empresa</v>
      </c>
      <c r="B322" s="13"/>
      <c r="C322" s="150" t="str">
        <f>IFERROR(__xludf.DUMMYFUNCTION("IMPORTRANGE(""https://docs.google.com/spreadsheets/d/1N-MS3Yks1R6miOFtrT4_icbxxDpq3hUVfzqWbJGwO1I/edit?usp=sharing"",""Relatório Pesquisa Preços!$C70"")"),"peça")</f>
        <v>peça</v>
      </c>
      <c r="D322" s="151">
        <f>IFERROR(__xludf.DUMMYFUNCTION("IMPORTRANGE(""https://docs.google.com/spreadsheets/d/1N-MS3Yks1R6miOFtrT4_icbxxDpq3hUVfzqWbJGwO1I/edit?usp=sharing"",""Relatório Pesquisa Preços!D70"")"),3.0)</f>
        <v>3</v>
      </c>
      <c r="E322" s="151">
        <f>IFERROR(__xludf.DUMMYFUNCTION("IMPORTRANGE(""https://docs.google.com/spreadsheets/d/1N-MS3Yks1R6miOFtrT4_icbxxDpq3hUVfzqWbJGwO1I/edit?usp=sharing"",""Relatório Pesquisa Preços!F70"")"),12.0)</f>
        <v>12</v>
      </c>
      <c r="F322" s="154">
        <f>IFERROR(__xludf.DUMMYFUNCTION("IMPORTRANGE(""https://docs.google.com/spreadsheets/d/1N-MS3Yks1R6miOFtrT4_icbxxDpq3hUVfzqWbJGwO1I/edit?usp=sharing"",""Relatório Pesquisa Preços!G70"")"),42.13)</f>
        <v>42.13</v>
      </c>
      <c r="G322" s="58">
        <f t="shared" si="103"/>
        <v>126.39</v>
      </c>
    </row>
    <row r="323">
      <c r="A323" s="149" t="str">
        <f>IFERROR(__xludf.DUMMYFUNCTION("IMPORTRANGE(""https://docs.google.com/spreadsheets/d/1N-MS3Yks1R6miOFtrT4_icbxxDpq3hUVfzqWbJGwO1I/edit?usp=sharing"",""Relatório Pesquisa Preços!$A71"")"),"Camisa social mangas longas em microfibra, na cor usual da empresa")</f>
        <v>Camisa social mangas longas em microfibra, na cor usual da empresa</v>
      </c>
      <c r="B323" s="13"/>
      <c r="C323" s="150" t="str">
        <f>IFERROR(__xludf.DUMMYFUNCTION("IMPORTRANGE(""https://docs.google.com/spreadsheets/d/1N-MS3Yks1R6miOFtrT4_icbxxDpq3hUVfzqWbJGwO1I/edit?usp=sharing"",""Relatório Pesquisa Preços!$C71"")"),"peça")</f>
        <v>peça</v>
      </c>
      <c r="D323" s="151">
        <f>IFERROR(__xludf.DUMMYFUNCTION("IMPORTRANGE(""https://docs.google.com/spreadsheets/d/1N-MS3Yks1R6miOFtrT4_icbxxDpq3hUVfzqWbJGwO1I/edit?usp=sharing"",""Relatório Pesquisa Preços!D71"")"),3.0)</f>
        <v>3</v>
      </c>
      <c r="E323" s="151">
        <f>IFERROR(__xludf.DUMMYFUNCTION("IMPORTRANGE(""https://docs.google.com/spreadsheets/d/1N-MS3Yks1R6miOFtrT4_icbxxDpq3hUVfzqWbJGwO1I/edit?usp=sharing"",""Relatório Pesquisa Preços!F71"")"),12.0)</f>
        <v>12</v>
      </c>
      <c r="F323" s="154">
        <f>IFERROR(__xludf.DUMMYFUNCTION("IMPORTRANGE(""https://docs.google.com/spreadsheets/d/1N-MS3Yks1R6miOFtrT4_icbxxDpq3hUVfzqWbJGwO1I/edit?usp=sharing"",""Relatório Pesquisa Preços!G71"")"),43.28)</f>
        <v>43.28</v>
      </c>
      <c r="G323" s="58">
        <f t="shared" si="103"/>
        <v>129.84</v>
      </c>
    </row>
    <row r="324">
      <c r="A324" s="149" t="str">
        <f>IFERROR(__xludf.DUMMYFUNCTION("IMPORTRANGE(""https://docs.google.com/spreadsheets/d/1N-MS3Yks1R6miOFtrT4_icbxxDpq3hUVfzqWbJGwO1I/edit?usp=sharing"",""Relatório Pesquisa Preços!$A72"")"),"Capa de chuva na cor preta super leve e confortável, em tecido pvc que o torna totalmente impermeável.")</f>
        <v>Capa de chuva na cor preta super leve e confortável, em tecido pvc que o torna totalmente impermeável.</v>
      </c>
      <c r="B324" s="13"/>
      <c r="C324" s="150" t="str">
        <f>IFERROR(__xludf.DUMMYFUNCTION("IMPORTRANGE(""https://docs.google.com/spreadsheets/d/1N-MS3Yks1R6miOFtrT4_icbxxDpq3hUVfzqWbJGwO1I/edit?usp=sharing"",""Relatório Pesquisa Preços!$C72"")"),"peça")</f>
        <v>peça</v>
      </c>
      <c r="D324" s="151">
        <f>IFERROR(__xludf.DUMMYFUNCTION("IMPORTRANGE(""https://docs.google.com/spreadsheets/d/1N-MS3Yks1R6miOFtrT4_icbxxDpq3hUVfzqWbJGwO1I/edit?usp=sharing"",""Relatório Pesquisa Preços!D72"")"),4.0)</f>
        <v>4</v>
      </c>
      <c r="E324" s="151">
        <f>IFERROR(__xludf.DUMMYFUNCTION("IMPORTRANGE(""https://docs.google.com/spreadsheets/d/1N-MS3Yks1R6miOFtrT4_icbxxDpq3hUVfzqWbJGwO1I/edit?usp=sharing"",""Relatório Pesquisa Preços!F72"")"),3.0)</f>
        <v>3</v>
      </c>
      <c r="F324" s="154">
        <f>IFERROR(__xludf.DUMMYFUNCTION("IMPORTRANGE(""https://docs.google.com/spreadsheets/d/1N-MS3Yks1R6miOFtrT4_icbxxDpq3hUVfzqWbJGwO1I/edit?usp=sharing"",""Relatório Pesquisa Preços!G72"")"),30.03)</f>
        <v>30.03</v>
      </c>
      <c r="G324" s="58">
        <f t="shared" si="103"/>
        <v>120.12</v>
      </c>
    </row>
    <row r="325" ht="26.25" customHeight="1">
      <c r="A325" s="149" t="str">
        <f>IFERROR(__xludf.DUMMYFUNCTION("IMPORTRANGE(""https://docs.google.com/spreadsheets/d/1N-MS3Yks1R6miOFtrT4_icbxxDpq3hUVfzqWbJGwO1I/edit?usp=sharing"",""Relatório Pesquisa Preços!$A73"")"),"Capa para colete balístico")</f>
        <v>Capa para colete balístico</v>
      </c>
      <c r="B325" s="13"/>
      <c r="C325" s="150" t="str">
        <f>IFERROR(__xludf.DUMMYFUNCTION("IMPORTRANGE(""https://docs.google.com/spreadsheets/d/1N-MS3Yks1R6miOFtrT4_icbxxDpq3hUVfzqWbJGwO1I/edit?usp=sharing"",""Relatório Pesquisa Preços!$C72"")"),"peça")</f>
        <v>peça</v>
      </c>
      <c r="D325" s="151">
        <f>IFERROR(__xludf.DUMMYFUNCTION("IMPORTRANGE(""https://docs.google.com/spreadsheets/d/1N-MS3Yks1R6miOFtrT4_icbxxDpq3hUVfzqWbJGwO1I/edit?usp=sharing"",""Relatório Pesquisa Preços!D73"")"),2.0)</f>
        <v>2</v>
      </c>
      <c r="E325" s="151">
        <f>IFERROR(__xludf.DUMMYFUNCTION("IMPORTRANGE(""https://docs.google.com/spreadsheets/d/1N-MS3Yks1R6miOFtrT4_icbxxDpq3hUVfzqWbJGwO1I/edit?usp=sharing"",""Relatório Pesquisa Preços!F73"")"),12.0)</f>
        <v>12</v>
      </c>
      <c r="F325" s="154">
        <f>IFERROR(__xludf.DUMMYFUNCTION("IMPORTRANGE(""https://docs.google.com/spreadsheets/d/1N-MS3Yks1R6miOFtrT4_icbxxDpq3hUVfzqWbJGwO1I/edit?usp=sharing"",""Relatório Pesquisa Preços!G73"")"),172.0)</f>
        <v>172</v>
      </c>
      <c r="G325" s="58">
        <f t="shared" si="103"/>
        <v>344</v>
      </c>
    </row>
    <row r="326">
      <c r="A326" s="149" t="str">
        <f>IFERROR(__xludf.DUMMYFUNCTION("IMPORTRANGE(""https://docs.google.com/spreadsheets/d/1N-MS3Yks1R6miOFtrT4_icbxxDpq3hUVfzqWbJGwO1I/edit?usp=sharing"",""Relatório Pesquisa Preços!$A74"")"),"Cinto vestuário")</f>
        <v>Cinto vestuário</v>
      </c>
      <c r="B326" s="13"/>
      <c r="C326" s="150" t="str">
        <f>IFERROR(__xludf.DUMMYFUNCTION("IMPORTRANGE(""https://docs.google.com/spreadsheets/d/1N-MS3Yks1R6miOFtrT4_icbxxDpq3hUVfzqWbJGwO1I/edit?usp=sharing"",""Relatório Pesquisa Preços!$C74"")"),"peça")</f>
        <v>peça</v>
      </c>
      <c r="D326" s="151">
        <f>IFERROR(__xludf.DUMMYFUNCTION("IMPORTRANGE(""https://docs.google.com/spreadsheets/d/1N-MS3Yks1R6miOFtrT4_icbxxDpq3hUVfzqWbJGwO1I/edit?usp=sharing"",""Relatório Pesquisa Preços!D74"")"),2.0)</f>
        <v>2</v>
      </c>
      <c r="E326" s="151">
        <f>IFERROR(__xludf.DUMMYFUNCTION("IMPORTRANGE(""https://docs.google.com/spreadsheets/d/1N-MS3Yks1R6miOFtrT4_icbxxDpq3hUVfzqWbJGwO1I/edit?usp=sharing"",""Relatório Pesquisa Preços!F74"")"),12.0)</f>
        <v>12</v>
      </c>
      <c r="F326" s="154">
        <f>IFERROR(__xludf.DUMMYFUNCTION("IMPORTRANGE(""https://docs.google.com/spreadsheets/d/1N-MS3Yks1R6miOFtrT4_icbxxDpq3hUVfzqWbJGwO1I/edit?usp=sharing"",""Relatório Pesquisa Preços!G74"")"),10.09)</f>
        <v>10.09</v>
      </c>
      <c r="G326" s="58">
        <f t="shared" si="103"/>
        <v>20.18</v>
      </c>
    </row>
    <row r="327">
      <c r="A327" s="149" t="str">
        <f>IFERROR(__xludf.DUMMYFUNCTION("IMPORTRANGE(""https://docs.google.com/spreadsheets/d/1N-MS3Yks1R6miOFtrT4_icbxxDpq3hUVfzqWbJGwO1I/edit?usp=sharing"",""Relatório Pesquisa Preços!$A75"")"),"[Relógio Ponto] Crachá de Identificação (compatível com relógio ponto, p/ leitura por aproximação) - Deve conter nome, tipo sanguíneo e função (incluindo equipe em que atua).")</f>
        <v>[Relógio Ponto] Crachá de Identificação (compatível com relógio ponto, p/ leitura por aproximação) - Deve conter nome, tipo sanguíneo e função (incluindo equipe em que atua).</v>
      </c>
      <c r="B327" s="13"/>
      <c r="C327" s="150" t="str">
        <f>IFERROR(__xludf.DUMMYFUNCTION("IMPORTRANGE(""https://docs.google.com/spreadsheets/d/1N-MS3Yks1R6miOFtrT4_icbxxDpq3hUVfzqWbJGwO1I/edit?usp=sharing"",""Relatório Pesquisa Preços!$C75"")"),"unidade")</f>
        <v>unidade</v>
      </c>
      <c r="D327" s="151">
        <f>IFERROR(__xludf.DUMMYFUNCTION("IMPORTRANGE(""https://docs.google.com/spreadsheets/d/1N-MS3Yks1R6miOFtrT4_icbxxDpq3hUVfzqWbJGwO1I/edit?usp=sharing"",""Relatório Pesquisa Preços!D75"")"),2.0)</f>
        <v>2</v>
      </c>
      <c r="E327" s="151">
        <f>IFERROR(__xludf.DUMMYFUNCTION("IMPORTRANGE(""https://docs.google.com/spreadsheets/d/1N-MS3Yks1R6miOFtrT4_icbxxDpq3hUVfzqWbJGwO1I/edit?usp=sharing"",""Relatório Pesquisa Preços!F75"")"),6.0)</f>
        <v>6</v>
      </c>
      <c r="F327" s="154">
        <f>IFERROR(__xludf.DUMMYFUNCTION("IMPORTRANGE(""https://docs.google.com/spreadsheets/d/1N-MS3Yks1R6miOFtrT4_icbxxDpq3hUVfzqWbJGwO1I/edit?usp=sharing"",""Relatório Pesquisa Preços!G75"")"),7.83)</f>
        <v>7.83</v>
      </c>
      <c r="G327" s="58">
        <f t="shared" si="103"/>
        <v>15.66</v>
      </c>
    </row>
    <row r="328">
      <c r="A328" s="149" t="str">
        <f>IFERROR(__xludf.DUMMYFUNCTION("IMPORTRANGE(""https://docs.google.com/spreadsheets/d/1N-MS3Yks1R6miOFtrT4_icbxxDpq3hUVfzqWbJGwO1I/edit?usp=sharing"",""Relatório Pesquisa Preços!$A76"")"),"Máscara descartável PFF2")</f>
        <v>Máscara descartável PFF2</v>
      </c>
      <c r="B328" s="13"/>
      <c r="C328" s="150" t="str">
        <f>IFERROR(__xludf.DUMMYFUNCTION("IMPORTRANGE(""https://docs.google.com/spreadsheets/d/1N-MS3Yks1R6miOFtrT4_icbxxDpq3hUVfzqWbJGwO1I/edit?usp=sharing"",""Relatório Pesquisa Preços!$C76"")"),"unidade")</f>
        <v>unidade</v>
      </c>
      <c r="D328" s="151">
        <f>IFERROR(__xludf.DUMMYFUNCTION("IMPORTRANGE(""https://docs.google.com/spreadsheets/d/1N-MS3Yks1R6miOFtrT4_icbxxDpq3hUVfzqWbJGwO1I/edit?usp=sharing"",""Relatório Pesquisa Preços!D76"")"),72.0)</f>
        <v>72</v>
      </c>
      <c r="E328" s="155">
        <f>IFERROR(__xludf.DUMMYFUNCTION("IMPORTRANGE(""https://docs.google.com/spreadsheets/d/1N-MS3Yks1R6miOFtrT4_icbxxDpq3hUVfzqWbJGwO1I/edit?usp=sharing"",""Relatório Pesquisa Preços!F76"")"),0.17)</f>
        <v>0.17</v>
      </c>
      <c r="F328" s="154">
        <f>IFERROR(__xludf.DUMMYFUNCTION("IMPORTRANGE(""https://docs.google.com/spreadsheets/d/1N-MS3Yks1R6miOFtrT4_icbxxDpq3hUVfzqWbJGwO1I/edit?usp=sharing"",""Relatório Pesquisa Preços!G76"")"),3.11)</f>
        <v>3.11</v>
      </c>
      <c r="G328" s="58">
        <f t="shared" si="103"/>
        <v>223.92</v>
      </c>
    </row>
    <row r="329">
      <c r="A329" s="149" t="str">
        <f>IFERROR(__xludf.DUMMYFUNCTION("IMPORTRANGE(""https://docs.google.com/spreadsheets/d/1N-MS3Yks1R6miOFtrT4_icbxxDpq3hUVfzqWbJGwO1I/edit?usp=sharing"",""Relatório Pesquisa Preços!$A77"")"),"Sapato de segurança, em couro, cor preta com solado em PU.")</f>
        <v>Sapato de segurança, em couro, cor preta com solado em PU.</v>
      </c>
      <c r="B329" s="13"/>
      <c r="C329" s="150" t="str">
        <f>IFERROR(__xludf.DUMMYFUNCTION("IMPORTRANGE(""https://docs.google.com/spreadsheets/d/1N-MS3Yks1R6miOFtrT4_icbxxDpq3hUVfzqWbJGwO1I/edit?usp=sharing"",""Relatório Pesquisa Preços!$C77"")"),"par")</f>
        <v>par</v>
      </c>
      <c r="D329" s="151">
        <f>IFERROR(__xludf.DUMMYFUNCTION("IMPORTRANGE(""https://docs.google.com/spreadsheets/d/1N-MS3Yks1R6miOFtrT4_icbxxDpq3hUVfzqWbJGwO1I/edit?usp=sharing"",""Relatório Pesquisa Preços!D77"")"),2.0)</f>
        <v>2</v>
      </c>
      <c r="E329" s="151">
        <f>IFERROR(__xludf.DUMMYFUNCTION("IMPORTRANGE(""https://docs.google.com/spreadsheets/d/1N-MS3Yks1R6miOFtrT4_icbxxDpq3hUVfzqWbJGwO1I/edit?usp=sharing"",""Relatório Pesquisa Preços!F77"")"),6.0)</f>
        <v>6</v>
      </c>
      <c r="F329" s="154">
        <f>IFERROR(__xludf.DUMMYFUNCTION("IMPORTRANGE(""https://docs.google.com/spreadsheets/d/1N-MS3Yks1R6miOFtrT4_icbxxDpq3hUVfzqWbJGwO1I/edit?usp=sharing"",""Relatório Pesquisa Preços!G77"")"),59.9)</f>
        <v>59.9</v>
      </c>
      <c r="G329" s="58">
        <f t="shared" si="103"/>
        <v>119.8</v>
      </c>
    </row>
    <row r="330" ht="15.0" customHeight="1">
      <c r="A330" s="156" t="s">
        <v>264</v>
      </c>
      <c r="B330" s="12"/>
      <c r="C330" s="12"/>
      <c r="D330" s="12"/>
      <c r="E330" s="12"/>
      <c r="F330" s="13"/>
      <c r="G330" s="157">
        <f>SUM(G318:G329)</f>
        <v>1289.076667</v>
      </c>
    </row>
    <row r="331" ht="15.0" customHeight="1">
      <c r="A331" s="158" t="s">
        <v>265</v>
      </c>
      <c r="B331" s="12"/>
      <c r="C331" s="12"/>
      <c r="D331" s="12"/>
      <c r="E331" s="12"/>
      <c r="F331" s="13"/>
      <c r="G331" s="106">
        <f>G330/12</f>
        <v>107.4230556</v>
      </c>
    </row>
    <row r="332" ht="6.0" customHeight="1">
      <c r="A332" s="45"/>
      <c r="B332" s="45"/>
      <c r="C332" s="46"/>
      <c r="D332" s="45"/>
      <c r="E332" s="45"/>
      <c r="F332" s="45"/>
      <c r="G332" s="45"/>
    </row>
    <row r="333">
      <c r="A333" s="34" t="s">
        <v>266</v>
      </c>
      <c r="B333" s="2"/>
      <c r="C333" s="2"/>
      <c r="D333" s="2"/>
      <c r="E333" s="2"/>
      <c r="F333" s="2"/>
      <c r="G333" s="3"/>
    </row>
    <row r="334">
      <c r="A334" s="93" t="s">
        <v>267</v>
      </c>
    </row>
    <row r="335">
      <c r="A335" s="159" t="s">
        <v>258</v>
      </c>
      <c r="B335" s="160"/>
      <c r="C335" s="161" t="s">
        <v>259</v>
      </c>
      <c r="D335" s="162" t="s">
        <v>268</v>
      </c>
      <c r="E335" s="146" t="s">
        <v>261</v>
      </c>
      <c r="F335" s="147" t="s">
        <v>262</v>
      </c>
      <c r="G335" s="146" t="s">
        <v>263</v>
      </c>
    </row>
    <row r="336" ht="15.0" customHeight="1">
      <c r="A336" s="163" t="str">
        <f>IFERROR(__xludf.DUMMYFUNCTION("IMPORTRANGE(""https://docs.google.com/spreadsheets/d/1N-MS3Yks1R6miOFtrT4_icbxxDpq3hUVfzqWbJGwO1I/edit?usp=sharing"",""Relatório Pesquisa Preços!$A85"")"),"Algema")</f>
        <v>Algema</v>
      </c>
      <c r="B336" s="13"/>
      <c r="C336" s="150" t="str">
        <f>IFERROR(__xludf.DUMMYFUNCTION("IMPORTRANGE(""https://docs.google.com/spreadsheets/d/1N-MS3Yks1R6miOFtrT4_icbxxDpq3hUVfzqWbJGwO1I/edit?usp=sharing"",""Relatório Pesquisa Preços!$C85"")"),"unidade")</f>
        <v>unidade</v>
      </c>
      <c r="D336" s="151">
        <f>IFERROR(__xludf.DUMMYFUNCTION("IMPORTRANGE(""https://docs.google.com/spreadsheets/d/1N-MS3Yks1R6miOFtrT4_icbxxDpq3hUVfzqWbJGwO1I/edit?usp=sharing"",""Relatório Pesquisa Preços!$D85"")"),2.0)</f>
        <v>2</v>
      </c>
      <c r="E336" s="151">
        <f>IFERROR(__xludf.DUMMYFUNCTION("IMPORTRANGE(""https://docs.google.com/spreadsheets/d/1N-MS3Yks1R6miOFtrT4_icbxxDpq3hUVfzqWbJGwO1I/edit?usp=sharing"",""Relatório Pesquisa Preços!$F85"")"),120.0)</f>
        <v>120</v>
      </c>
      <c r="F336" s="164">
        <f>IFERROR(__xludf.DUMMYFUNCTION("IMPORTRANGE(""https://docs.google.com/spreadsheets/d/1N-MS3Yks1R6miOFtrT4_icbxxDpq3hUVfzqWbJGwO1I/edit?usp=sharing"",""Relatório Pesquisa Preços!$G85"")"),141.41)</f>
        <v>141.41</v>
      </c>
      <c r="G336" s="58">
        <f t="shared" ref="G336:G352" si="104">IF($E336&gt;12,(D336*($F336/$E336)*12),($D336*$F336))</f>
        <v>28.282</v>
      </c>
    </row>
    <row r="337" ht="15.0" customHeight="1">
      <c r="A337" s="163" t="str">
        <f>IFERROR(__xludf.DUMMYFUNCTION("IMPORTRANGE(""https://docs.google.com/spreadsheets/d/1N-MS3Yks1R6miOFtrT4_icbxxDpq3hUVfzqWbJGwO1I/edit?usp=sharing"",""Relatório Pesquisa Preços!$A86"")"),"Bastão policial, Tipo Tonfa, Em Polímero de Alta Resistência, Comprimento min: 58 Cm")</f>
        <v>Bastão policial, Tipo Tonfa, Em Polímero de Alta Resistência, Comprimento min: 58 Cm</v>
      </c>
      <c r="B337" s="13"/>
      <c r="C337" s="150" t="str">
        <f>IFERROR(__xludf.DUMMYFUNCTION("IMPORTRANGE(""https://docs.google.com/spreadsheets/d/1N-MS3Yks1R6miOFtrT4_icbxxDpq3hUVfzqWbJGwO1I/edit?usp=sharing"",""Relatório Pesquisa Preços!$C86"")"),"unidade")</f>
        <v>unidade</v>
      </c>
      <c r="D337" s="151">
        <f>IFERROR(__xludf.DUMMYFUNCTION("IMPORTRANGE(""https://docs.google.com/spreadsheets/d/1N-MS3Yks1R6miOFtrT4_icbxxDpq3hUVfzqWbJGwO1I/edit?usp=sharing"",""Relatório Pesquisa Preços!$D86"")"),2.0)</f>
        <v>2</v>
      </c>
      <c r="E337" s="151">
        <f>IFERROR(__xludf.DUMMYFUNCTION("IMPORTRANGE(""https://docs.google.com/spreadsheets/d/1N-MS3Yks1R6miOFtrT4_icbxxDpq3hUVfzqWbJGwO1I/edit?usp=sharing"",""Relatório Pesquisa Preços!$F86"")"),36.0)</f>
        <v>36</v>
      </c>
      <c r="F337" s="164">
        <f>IFERROR(__xludf.DUMMYFUNCTION("IMPORTRANGE(""https://docs.google.com/spreadsheets/d/1N-MS3Yks1R6miOFtrT4_icbxxDpq3hUVfzqWbJGwO1I/edit?usp=sharing"",""Relatório Pesquisa Preços!$G86"")"),32.9)</f>
        <v>32.9</v>
      </c>
      <c r="G337" s="58">
        <f t="shared" si="104"/>
        <v>21.93333333</v>
      </c>
    </row>
    <row r="338" ht="15.0" customHeight="1">
      <c r="A338" s="163" t="str">
        <f>IFERROR(__xludf.DUMMYFUNCTION("IMPORTRANGE(""https://docs.google.com/spreadsheets/d/1N-MS3Yks1R6miOFtrT4_icbxxDpq3hUVfzqWbJGwO1I/edit?usp=sharing"",""Relatório Pesquisa Preços!$A87"")"),"Cinto tático com coldre, porta munição, porta lanterna e regulagem com velcro.")</f>
        <v>Cinto tático com coldre, porta munição, porta lanterna e regulagem com velcro.</v>
      </c>
      <c r="B338" s="13"/>
      <c r="C338" s="150" t="str">
        <f>IFERROR(__xludf.DUMMYFUNCTION("IMPORTRANGE(""https://docs.google.com/spreadsheets/d/1N-MS3Yks1R6miOFtrT4_icbxxDpq3hUVfzqWbJGwO1I/edit?usp=sharing"",""Relatório Pesquisa Preços!$C87"")"),"peça")</f>
        <v>peça</v>
      </c>
      <c r="D338" s="151">
        <f>IFERROR(__xludf.DUMMYFUNCTION("IMPORTRANGE(""https://docs.google.com/spreadsheets/d/1N-MS3Yks1R6miOFtrT4_icbxxDpq3hUVfzqWbJGwO1I/edit?usp=sharing"",""Relatório Pesquisa Preços!$D87"")"),2.0)</f>
        <v>2</v>
      </c>
      <c r="E338" s="150">
        <f>IFERROR(__xludf.DUMMYFUNCTION("IMPORTRANGE(""https://docs.google.com/spreadsheets/d/1N-MS3Yks1R6miOFtrT4_icbxxDpq3hUVfzqWbJGwO1I/edit?usp=sharing"",""Relatório Pesquisa Preços!$F87"")"),36.0)</f>
        <v>36</v>
      </c>
      <c r="F338" s="164">
        <f>IFERROR(__xludf.DUMMYFUNCTION("IMPORTRANGE(""https://docs.google.com/spreadsheets/d/1N-MS3Yks1R6miOFtrT4_icbxxDpq3hUVfzqWbJGwO1I/edit?usp=sharing"",""Relatório Pesquisa Preços!$G87"")"),156.66)</f>
        <v>156.66</v>
      </c>
      <c r="G338" s="58">
        <f t="shared" si="104"/>
        <v>104.44</v>
      </c>
    </row>
    <row r="339" ht="15.0" customHeight="1">
      <c r="A339" s="165" t="str">
        <f>IFERROR(__xludf.DUMMYFUNCTION("IMPORTRANGE(""https://docs.google.com/spreadsheets/d/1N-MS3Yks1R6miOFtrT4_icbxxDpq3hUVfzqWbJGwO1I/edit?usp=sharing"",""Relatório Pesquisa Preços!$A88"")"),"Cofre para a guarda de armas e munições (a ser instalado nas dependências da contratante). Com capacidade mínima para guarda de dois revólveres e 50 munições.")</f>
        <v>Cofre para a guarda de armas e munições (a ser instalado nas dependências da contratante). Com capacidade mínima para guarda de dois revólveres e 50 munições.</v>
      </c>
      <c r="B339" s="13"/>
      <c r="C339" s="150" t="str">
        <f>IFERROR(__xludf.DUMMYFUNCTION("IMPORTRANGE(""https://docs.google.com/spreadsheets/d/1N-MS3Yks1R6miOFtrT4_icbxxDpq3hUVfzqWbJGwO1I/edit?usp=sharing"",""Relatório Pesquisa Preços!$C88"")"),"unidade")</f>
        <v>unidade</v>
      </c>
      <c r="D339" s="150">
        <f>IFERROR(__xludf.DUMMYFUNCTION("IMPORTRANGE(""https://docs.google.com/spreadsheets/d/1N-MS3Yks1R6miOFtrT4_icbxxDpq3hUVfzqWbJGwO1I/edit?usp=sharing"",""Relatório Pesquisa Preços!$D88"")"),1.0)</f>
        <v>1</v>
      </c>
      <c r="E339" s="150">
        <f>IFERROR(__xludf.DUMMYFUNCTION("IMPORTRANGE(""https://docs.google.com/spreadsheets/d/1N-MS3Yks1R6miOFtrT4_icbxxDpq3hUVfzqWbJGwO1I/edit?usp=sharing"",""Relatório Pesquisa Preços!$F88"")"),120.0)</f>
        <v>120</v>
      </c>
      <c r="F339" s="164">
        <f>IFERROR(__xludf.DUMMYFUNCTION("IMPORTRANGE(""https://docs.google.com/spreadsheets/d/1N-MS3Yks1R6miOFtrT4_icbxxDpq3hUVfzqWbJGwO1I/edit?usp=sharing"",""Relatório Pesquisa Preços!$G88"")"),799.93)</f>
        <v>799.93</v>
      </c>
      <c r="G339" s="58">
        <f t="shared" si="104"/>
        <v>79.993</v>
      </c>
    </row>
    <row r="340" ht="15.0" customHeight="1">
      <c r="A340" s="163" t="str">
        <f>IFERROR(__xludf.DUMMYFUNCTION("IMPORTRANGE(""https://docs.google.com/spreadsheets/d/1N-MS3Yks1R6miOFtrT4_icbxxDpq3hUVfzqWbJGwO1I/edit?usp=sharing"",""Relatório Pesquisa Preços!$A89"")"),"Colete balístico nível II-A, ou superior, executivo/dissimulado")</f>
        <v>Colete balístico nível II-A, ou superior, executivo/dissimulado</v>
      </c>
      <c r="B340" s="13"/>
      <c r="C340" s="150" t="str">
        <f>IFERROR(__xludf.DUMMYFUNCTION("IMPORTRANGE(""https://docs.google.com/spreadsheets/d/1N-MS3Yks1R6miOFtrT4_icbxxDpq3hUVfzqWbJGwO1I/edit?usp=sharing"",""Relatório Pesquisa Preços!$C89"")"),"unidade")</f>
        <v>unidade</v>
      </c>
      <c r="D340" s="151">
        <f>IFERROR(__xludf.DUMMYFUNCTION("IMPORTRANGE(""https://docs.google.com/spreadsheets/d/1N-MS3Yks1R6miOFtrT4_icbxxDpq3hUVfzqWbJGwO1I/edit?usp=sharing"",""Relatório Pesquisa Preços!$D89"")"),2.0)</f>
        <v>2</v>
      </c>
      <c r="E340" s="151">
        <f>IFERROR(__xludf.DUMMYFUNCTION("IMPORTRANGE(""https://docs.google.com/spreadsheets/d/1N-MS3Yks1R6miOFtrT4_icbxxDpq3hUVfzqWbJGwO1I/edit?usp=sharing"",""Relatório Pesquisa Preços!$F89"")"),60.0)</f>
        <v>60</v>
      </c>
      <c r="F340" s="164">
        <f>IFERROR(__xludf.DUMMYFUNCTION("IMPORTRANGE(""https://docs.google.com/spreadsheets/d/1N-MS3Yks1R6miOFtrT4_icbxxDpq3hUVfzqWbJGwO1I/edit?usp=sharing"",""Relatório Pesquisa Preços!$G89"")"),1335.07)</f>
        <v>1335.07</v>
      </c>
      <c r="G340" s="58">
        <f t="shared" si="104"/>
        <v>534.028</v>
      </c>
    </row>
    <row r="341" ht="15.0" customHeight="1">
      <c r="A341" s="163" t="str">
        <f>IFERROR(__xludf.DUMMYFUNCTION("IMPORTRANGE(""https://docs.google.com/spreadsheets/d/1N-MS3Yks1R6miOFtrT4_icbxxDpq3hUVfzqWbJGwO1I/edit?usp=sharing"",""Relatório Pesquisa Preços!$A90"")"),"Fone de Ouvido com Microfone e PTT")</f>
        <v>Fone de Ouvido com Microfone e PTT</v>
      </c>
      <c r="B341" s="13"/>
      <c r="C341" s="150" t="str">
        <f>IFERROR(__xludf.DUMMYFUNCTION("IMPORTRANGE(""https://docs.google.com/spreadsheets/d/1N-MS3Yks1R6miOFtrT4_icbxxDpq3hUVfzqWbJGwO1I/edit?usp=sharing"",""Relatório Pesquisa Preços!$C90"")"),"unidade")</f>
        <v>unidade</v>
      </c>
      <c r="D341" s="151">
        <f>IFERROR(__xludf.DUMMYFUNCTION("IMPORTRANGE(""https://docs.google.com/spreadsheets/d/1N-MS3Yks1R6miOFtrT4_icbxxDpq3hUVfzqWbJGwO1I/edit?usp=sharing"",""Relatório Pesquisa Preços!$D90"")"),2.0)</f>
        <v>2</v>
      </c>
      <c r="E341" s="151">
        <f>IFERROR(__xludf.DUMMYFUNCTION("IMPORTRANGE(""https://docs.google.com/spreadsheets/d/1N-MS3Yks1R6miOFtrT4_icbxxDpq3hUVfzqWbJGwO1I/edit?usp=sharing"",""Relatório Pesquisa Preços!$F90"")"),36.0)</f>
        <v>36</v>
      </c>
      <c r="F341" s="164">
        <f>IFERROR(__xludf.DUMMYFUNCTION("IMPORTRANGE(""https://docs.google.com/spreadsheets/d/1N-MS3Yks1R6miOFtrT4_icbxxDpq3hUVfzqWbJGwO1I/edit?usp=sharing"",""Relatório Pesquisa Preços!$G90"")"),130.66)</f>
        <v>130.66</v>
      </c>
      <c r="G341" s="58">
        <f t="shared" si="104"/>
        <v>87.10666667</v>
      </c>
    </row>
    <row r="342" ht="15.0" customHeight="1">
      <c r="A342" s="163" t="str">
        <f>IFERROR(__xludf.DUMMYFUNCTION("IMPORTRANGE(""https://docs.google.com/spreadsheets/d/1N-MS3Yks1R6miOFtrT4_icbxxDpq3hUVfzqWbJGwO1I/edit?usp=sharing"",""Relatório Pesquisa Preços!$A91"")"),"Kit bastão de ronda. Composição do kit: 01 leitor usb, 01 estojo, 01 cabo usb, 06 buttons (pontos de ronda), software com manual de operação e configuração.")</f>
        <v>Kit bastão de ronda. Composição do kit: 01 leitor usb, 01 estojo, 01 cabo usb, 06 buttons (pontos de ronda), software com manual de operação e configuração.</v>
      </c>
      <c r="B342" s="13"/>
      <c r="C342" s="150" t="str">
        <f>IFERROR(__xludf.DUMMYFUNCTION("IMPORTRANGE(""https://docs.google.com/spreadsheets/d/1N-MS3Yks1R6miOFtrT4_icbxxDpq3hUVfzqWbJGwO1I/edit?usp=sharing"",""Relatório Pesquisa Preços!$C91"")"),"unidade")</f>
        <v>unidade</v>
      </c>
      <c r="D342" s="151">
        <f>IFERROR(__xludf.DUMMYFUNCTION("IMPORTRANGE(""https://docs.google.com/spreadsheets/d/1N-MS3Yks1R6miOFtrT4_icbxxDpq3hUVfzqWbJGwO1I/edit?usp=sharing"",""Relatório Pesquisa Preços!$D91"")"),1.0)</f>
        <v>1</v>
      </c>
      <c r="E342" s="150">
        <f>IFERROR(__xludf.DUMMYFUNCTION("IMPORTRANGE(""https://docs.google.com/spreadsheets/d/1N-MS3Yks1R6miOFtrT4_icbxxDpq3hUVfzqWbJGwO1I/edit?usp=sharing"",""Relatório Pesquisa Preços!$F91"")"),36.0)</f>
        <v>36</v>
      </c>
      <c r="F342" s="164">
        <f>IFERROR(__xludf.DUMMYFUNCTION("IMPORTRANGE(""https://docs.google.com/spreadsheets/d/1N-MS3Yks1R6miOFtrT4_icbxxDpq3hUVfzqWbJGwO1I/edit?usp=sharing"",""Relatório Pesquisa Preços!$G91"")"),702.54)</f>
        <v>702.54</v>
      </c>
      <c r="G342" s="58">
        <f t="shared" si="104"/>
        <v>234.18</v>
      </c>
    </row>
    <row r="343" ht="15.0" customHeight="1">
      <c r="A343" s="163" t="str">
        <f>IFERROR(__xludf.DUMMYFUNCTION("IMPORTRANGE(""https://docs.google.com/spreadsheets/d/1N-MS3Yks1R6miOFtrT4_icbxxDpq3hUVfzqWbJGwO1I/edit?usp=sharing"",""Relatório Pesquisa Preços!$A92"")"),"Lanterna tática compacta 900 lumens ou superior, máximo 12 cm de comprimento")</f>
        <v>Lanterna tática compacta 900 lumens ou superior, máximo 12 cm de comprimento</v>
      </c>
      <c r="B343" s="13"/>
      <c r="C343" s="150" t="str">
        <f>IFERROR(__xludf.DUMMYFUNCTION("IMPORTRANGE(""https://docs.google.com/spreadsheets/d/1N-MS3Yks1R6miOFtrT4_icbxxDpq3hUVfzqWbJGwO1I/edit?usp=sharing"",""Relatório Pesquisa Preços!$C92"")"),"unidade")</f>
        <v>unidade</v>
      </c>
      <c r="D343" s="151">
        <f>IFERROR(__xludf.DUMMYFUNCTION("IMPORTRANGE(""https://docs.google.com/spreadsheets/d/1N-MS3Yks1R6miOFtrT4_icbxxDpq3hUVfzqWbJGwO1I/edit?usp=sharing"",""Relatório Pesquisa Preços!$D92"")"),2.0)</f>
        <v>2</v>
      </c>
      <c r="E343" s="151">
        <f>IFERROR(__xludf.DUMMYFUNCTION("IMPORTRANGE(""https://docs.google.com/spreadsheets/d/1N-MS3Yks1R6miOFtrT4_icbxxDpq3hUVfzqWbJGwO1I/edit?usp=sharing"",""Relatório Pesquisa Preços!$F92"")"),36.0)</f>
        <v>36</v>
      </c>
      <c r="F343" s="164">
        <f>IFERROR(__xludf.DUMMYFUNCTION("IMPORTRANGE(""https://docs.google.com/spreadsheets/d/1N-MS3Yks1R6miOFtrT4_icbxxDpq3hUVfzqWbJGwO1I/edit?usp=sharing"",""Relatório Pesquisa Preços!$G92"")"),56.59)</f>
        <v>56.59</v>
      </c>
      <c r="G343" s="58">
        <f t="shared" si="104"/>
        <v>37.72666667</v>
      </c>
    </row>
    <row r="344" ht="15.0" customHeight="1">
      <c r="A344" s="163" t="str">
        <f>IFERROR(__xludf.DUMMYFUNCTION("IMPORTRANGE(""https://docs.google.com/spreadsheets/d/1N-MS3Yks1R6miOFtrT4_icbxxDpq3hUVfzqWbJGwO1I/edit?usp=sharing"",""Relatório Pesquisa Preços!$A93"")"),"Livro de ocorrências, tipo atas, sem margens, folhas numeradas tipograficamente e acabamento em capa dura.")</f>
        <v>Livro de ocorrências, tipo atas, sem margens, folhas numeradas tipograficamente e acabamento em capa dura.</v>
      </c>
      <c r="B344" s="13"/>
      <c r="C344" s="150" t="str">
        <f>IFERROR(__xludf.DUMMYFUNCTION("IMPORTRANGE(""https://docs.google.com/spreadsheets/d/1N-MS3Yks1R6miOFtrT4_icbxxDpq3hUVfzqWbJGwO1I/edit?usp=sharing"",""Relatório Pesquisa Preços!$C93"")"),"unidade")</f>
        <v>unidade</v>
      </c>
      <c r="D344" s="151">
        <f>IFERROR(__xludf.DUMMYFUNCTION("IMPORTRANGE(""https://docs.google.com/spreadsheets/d/1N-MS3Yks1R6miOFtrT4_icbxxDpq3hUVfzqWbJGwO1I/edit?usp=sharing"",""Relatório Pesquisa Preços!$D93"")"),1.0)</f>
        <v>1</v>
      </c>
      <c r="E344" s="151">
        <f>IFERROR(__xludf.DUMMYFUNCTION("IMPORTRANGE(""https://docs.google.com/spreadsheets/d/1N-MS3Yks1R6miOFtrT4_icbxxDpq3hUVfzqWbJGwO1I/edit?usp=sharing"",""Relatório Pesquisa Preços!$F93"")"),12.0)</f>
        <v>12</v>
      </c>
      <c r="F344" s="164">
        <f>IFERROR(__xludf.DUMMYFUNCTION("IMPORTRANGE(""https://docs.google.com/spreadsheets/d/1N-MS3Yks1R6miOFtrT4_icbxxDpq3hUVfzqWbJGwO1I/edit?usp=sharing"",""Relatório Pesquisa Preços!$G93"")"),7.25)</f>
        <v>7.25</v>
      </c>
      <c r="G344" s="58">
        <f t="shared" si="104"/>
        <v>7.25</v>
      </c>
    </row>
    <row r="345" ht="15.0" customHeight="1">
      <c r="A345" s="163" t="str">
        <f>IFERROR(__xludf.DUMMYFUNCTION("IMPORTRANGE(""https://docs.google.com/spreadsheets/d/1N-MS3Yks1R6miOFtrT4_icbxxDpq3hUVfzqWbJGwO1I/edit?usp=sharing"",""Relatório Pesquisa Preços!$A94"")"),"Munição/projétil calibre .38mm, compatível com armamento disponível")</f>
        <v>Munição/projétil calibre .38mm, compatível com armamento disponível</v>
      </c>
      <c r="B345" s="13"/>
      <c r="C345" s="150" t="str">
        <f>IFERROR(__xludf.DUMMYFUNCTION("IMPORTRANGE(""https://docs.google.com/spreadsheets/d/1N-MS3Yks1R6miOFtrT4_icbxxDpq3hUVfzqWbJGwO1I/edit?usp=sharing"",""Relatório Pesquisa Preços!$C94"")"),"unidade")</f>
        <v>unidade</v>
      </c>
      <c r="D345" s="151">
        <f>IFERROR(__xludf.DUMMYFUNCTION("IMPORTRANGE(""https://docs.google.com/spreadsheets/d/1N-MS3Yks1R6miOFtrT4_icbxxDpq3hUVfzqWbJGwO1I/edit?usp=sharing"",""Relatório Pesquisa Preços!$D94"")"),24.0)</f>
        <v>24</v>
      </c>
      <c r="E345" s="151">
        <f>IFERROR(__xludf.DUMMYFUNCTION("IMPORTRANGE(""https://docs.google.com/spreadsheets/d/1N-MS3Yks1R6miOFtrT4_icbxxDpq3hUVfzqWbJGwO1I/edit?usp=sharing"",""Relatório Pesquisa Preços!$F94"")"),24.0)</f>
        <v>24</v>
      </c>
      <c r="F345" s="164">
        <f>IFERROR(__xludf.DUMMYFUNCTION("IMPORTRANGE(""https://docs.google.com/spreadsheets/d/1N-MS3Yks1R6miOFtrT4_icbxxDpq3hUVfzqWbJGwO1I/edit?usp=sharing"",""Relatório Pesquisa Preços!$G94"")"),10.306666666666667)</f>
        <v>10.30666667</v>
      </c>
      <c r="G345" s="58">
        <f t="shared" si="104"/>
        <v>123.68</v>
      </c>
    </row>
    <row r="346" ht="15.0" customHeight="1">
      <c r="A346" s="165" t="str">
        <f>IFERROR(__xludf.DUMMYFUNCTION("IMPORTRANGE(""https://docs.google.com/spreadsheets/d/1N-MS3Yks1R6miOFtrT4_icbxxDpq3hUVfzqWbJGwO1I/edit?usp=sharing"",""Relatório Pesquisa Preços!$A95"")"),"Porta algemas")</f>
        <v>Porta algemas</v>
      </c>
      <c r="B346" s="13"/>
      <c r="C346" s="150" t="str">
        <f>IFERROR(__xludf.DUMMYFUNCTION("IMPORTRANGE(""https://docs.google.com/spreadsheets/d/1N-MS3Yks1R6miOFtrT4_icbxxDpq3hUVfzqWbJGwO1I/edit?usp=sharing"",""Relatório Pesquisa Preços!$C95"")"),"unidade")</f>
        <v>unidade</v>
      </c>
      <c r="D346" s="151">
        <f>IFERROR(__xludf.DUMMYFUNCTION("IMPORTRANGE(""https://docs.google.com/spreadsheets/d/1N-MS3Yks1R6miOFtrT4_icbxxDpq3hUVfzqWbJGwO1I/edit?usp=sharing"",""Relatório Pesquisa Preços!$D95"")"),2.0)</f>
        <v>2</v>
      </c>
      <c r="E346" s="151">
        <f>IFERROR(__xludf.DUMMYFUNCTION("IMPORTRANGE(""https://docs.google.com/spreadsheets/d/1N-MS3Yks1R6miOFtrT4_icbxxDpq3hUVfzqWbJGwO1I/edit?usp=sharing"",""Relatório Pesquisa Preços!$F95"")"),36.0)</f>
        <v>36</v>
      </c>
      <c r="F346" s="164">
        <f>IFERROR(__xludf.DUMMYFUNCTION("IMPORTRANGE(""https://docs.google.com/spreadsheets/d/1N-MS3Yks1R6miOFtrT4_icbxxDpq3hUVfzqWbJGwO1I/edit?usp=sharing"",""Relatório Pesquisa Preços!$G95"")"),43.95)</f>
        <v>43.95</v>
      </c>
      <c r="G346" s="58">
        <f t="shared" si="104"/>
        <v>29.3</v>
      </c>
    </row>
    <row r="347" ht="15.0" customHeight="1">
      <c r="A347" s="165" t="str">
        <f>IFERROR(__xludf.DUMMYFUNCTION("IMPORTRANGE(""https://docs.google.com/spreadsheets/d/1N-MS3Yks1R6miOFtrT4_icbxxDpq3hUVfzqWbJGwO1I/edit?usp=sharing"",""Relatório Pesquisa Preços!$A96"")"),"Porta tonfa/cassetete")</f>
        <v>Porta tonfa/cassetete</v>
      </c>
      <c r="B347" s="13"/>
      <c r="C347" s="150" t="str">
        <f>IFERROR(__xludf.DUMMYFUNCTION("IMPORTRANGE(""https://docs.google.com/spreadsheets/d/1N-MS3Yks1R6miOFtrT4_icbxxDpq3hUVfzqWbJGwO1I/edit?usp=sharing"",""Relatório Pesquisa Preços!$C96"")"),"unidade")</f>
        <v>unidade</v>
      </c>
      <c r="D347" s="151">
        <f>IFERROR(__xludf.DUMMYFUNCTION("IMPORTRANGE(""https://docs.google.com/spreadsheets/d/1N-MS3Yks1R6miOFtrT4_icbxxDpq3hUVfzqWbJGwO1I/edit?usp=sharing"",""Relatório Pesquisa Preços!$D96"")"),2.0)</f>
        <v>2</v>
      </c>
      <c r="E347" s="151">
        <f>IFERROR(__xludf.DUMMYFUNCTION("IMPORTRANGE(""https://docs.google.com/spreadsheets/d/1N-MS3Yks1R6miOFtrT4_icbxxDpq3hUVfzqWbJGwO1I/edit?usp=sharing"",""Relatório Pesquisa Preços!$F96"")"),36.0)</f>
        <v>36</v>
      </c>
      <c r="F347" s="164">
        <f>IFERROR(__xludf.DUMMYFUNCTION("IMPORTRANGE(""https://docs.google.com/spreadsheets/d/1N-MS3Yks1R6miOFtrT4_icbxxDpq3hUVfzqWbJGwO1I/edit?usp=sharing"",""Relatório Pesquisa Preços!$G96"")"),29.08)</f>
        <v>29.08</v>
      </c>
      <c r="G347" s="58">
        <f t="shared" si="104"/>
        <v>19.38666667</v>
      </c>
    </row>
    <row r="348" ht="15.0" customHeight="1">
      <c r="A348" s="165" t="str">
        <f>IFERROR(__xludf.DUMMYFUNCTION("IMPORTRANGE(""https://docs.google.com/spreadsheets/d/1N-MS3Yks1R6miOFtrT4_icbxxDpq3hUVfzqWbJGwO1I/edit?usp=sharing"",""Relatório Pesquisa Preços!$A97"")"),"Rádio comunicador portátil digital com entradas para fone e microfone. Área de cobertura de no mínimo 4km. Banda uhf 400 - 470 Mhz. Bateria de íons de lítio com capacidade par até 9 horas com carregador.")</f>
        <v>Rádio comunicador portátil digital com entradas para fone e microfone. Área de cobertura de no mínimo 4km. Banda uhf 400 - 470 Mhz. Bateria de íons de lítio com capacidade par até 9 horas com carregador.</v>
      </c>
      <c r="B348" s="13"/>
      <c r="C348" s="150" t="str">
        <f>IFERROR(__xludf.DUMMYFUNCTION("IMPORTRANGE(""https://docs.google.com/spreadsheets/d/1N-MS3Yks1R6miOFtrT4_icbxxDpq3hUVfzqWbJGwO1I/edit?usp=sharing"",""Relatório Pesquisa Preços!$C97"")"),"unidade")</f>
        <v>unidade</v>
      </c>
      <c r="D348" s="151">
        <f>IFERROR(__xludf.DUMMYFUNCTION("IMPORTRANGE(""https://docs.google.com/spreadsheets/d/1N-MS3Yks1R6miOFtrT4_icbxxDpq3hUVfzqWbJGwO1I/edit?usp=sharing"",""Relatório Pesquisa Preços!$D97"")"),2.0)</f>
        <v>2</v>
      </c>
      <c r="E348" s="151">
        <f>IFERROR(__xludf.DUMMYFUNCTION("IMPORTRANGE(""https://docs.google.com/spreadsheets/d/1N-MS3Yks1R6miOFtrT4_icbxxDpq3hUVfzqWbJGwO1I/edit?usp=sharing"",""Relatório Pesquisa Preços!$F97"")"),60.0)</f>
        <v>60</v>
      </c>
      <c r="F348" s="164">
        <f>IFERROR(__xludf.DUMMYFUNCTION("IMPORTRANGE(""https://docs.google.com/spreadsheets/d/1N-MS3Yks1R6miOFtrT4_icbxxDpq3hUVfzqWbJGwO1I/edit?usp=sharing"",""Relatório Pesquisa Preços!$G97"")"),434.98)</f>
        <v>434.98</v>
      </c>
      <c r="G348" s="58">
        <f t="shared" si="104"/>
        <v>173.992</v>
      </c>
    </row>
    <row r="349">
      <c r="A349" s="165" t="str">
        <f>IFERROR(__xludf.DUMMYFUNCTION("IMPORTRANGE(""https://docs.google.com/spreadsheets/d/1N-MS3Yks1R6miOFtrT4_icbxxDpq3hUVfzqWbJGwO1I/edit?usp=sharing"",""Relatório Pesquisa Preços!$A98"")"),"Relógio Ponto - Equipamento Biométrico, ou que atenda a especificação prevista em legislação (Portaria MTE 1.510/2009 e demais aplicáveis), com sistema impressor de comprovante e software de gestão de mão de obra integrado (de preferência que possibilite "&amp;"o gerenciamento de informações de usuários, emissão de relatórios, elaboração de escala de trabalho, comunicação entre gerentes, funcionários e equipes), incluindo instalação da máquina e do software e treinamento para uso de ambos.")</f>
        <v>Relógio Ponto - Equipamento Biométrico, ou que atenda a especificação prevista em legislação (Portaria MTE 1.510/2009 e demais aplicáveis), com sistema impressor de comprovante e software de gestão de mão de obra integrado (de preferência que possibilite o gerenciamento de informações de usuários, emissão de relatórios, elaboração de escala de trabalho, comunicação entre gerentes, funcionários e equipes), incluindo instalação da máquina e do software e treinamento para uso de ambos.</v>
      </c>
      <c r="B349" s="13"/>
      <c r="C349" s="150" t="str">
        <f>IFERROR(__xludf.DUMMYFUNCTION("IMPORTRANGE(""https://docs.google.com/spreadsheets/d/1N-MS3Yks1R6miOFtrT4_icbxxDpq3hUVfzqWbJGwO1I/edit?usp=sharing"",""Relatório Pesquisa Preços!$C98"")"),"unidade")</f>
        <v>unidade</v>
      </c>
      <c r="D349" s="150">
        <f>IFERROR(__xludf.DUMMYFUNCTION("IMPORTRANGE(""https://docs.google.com/spreadsheets/d/1N-MS3Yks1R6miOFtrT4_icbxxDpq3hUVfzqWbJGwO1I/edit?usp=sharing"",""Relatório Pesquisa Preços!$D98"")"),1.0)</f>
        <v>1</v>
      </c>
      <c r="E349" s="151">
        <f>IFERROR(__xludf.DUMMYFUNCTION("IMPORTRANGE(""https://docs.google.com/spreadsheets/d/1N-MS3Yks1R6miOFtrT4_icbxxDpq3hUVfzqWbJGwO1I/edit?usp=sharing"",""Relatório Pesquisa Preços!$F98"")"),60.0)</f>
        <v>60</v>
      </c>
      <c r="F349" s="164">
        <f>IFERROR(__xludf.DUMMYFUNCTION("IMPORTRANGE(""https://docs.google.com/spreadsheets/d/1N-MS3Yks1R6miOFtrT4_icbxxDpq3hUVfzqWbJGwO1I/edit?usp=sharing"",""Relatório Pesquisa Preços!$G98"")"),1580.0)</f>
        <v>1580</v>
      </c>
      <c r="G349" s="58">
        <f t="shared" si="104"/>
        <v>316</v>
      </c>
    </row>
    <row r="350">
      <c r="A350" s="163" t="str">
        <f>IFERROR(__xludf.DUMMYFUNCTION("IMPORTRANGE(""https://docs.google.com/spreadsheets/d/1N-MS3Yks1R6miOFtrT4_icbxxDpq3hUVfzqWbJGwO1I/edit?usp=sharing"",""Relatório Pesquisa Preços!$A99"")"),"[Relógio Ponto] Bobina Térmica compatível com o maquinário fornecido, aprox. 150m por bobina.")</f>
        <v>[Relógio Ponto] Bobina Térmica compatível com o maquinário fornecido, aprox. 150m por bobina.</v>
      </c>
      <c r="B350" s="13"/>
      <c r="C350" s="150" t="str">
        <f>IFERROR(__xludf.DUMMYFUNCTION("IMPORTRANGE(""https://docs.google.com/spreadsheets/d/1N-MS3Yks1R6miOFtrT4_icbxxDpq3hUVfzqWbJGwO1I/edit?usp=sharing"",""Relatório Pesquisa Preços!$C99"")"),"caixa c/ 4 un.")</f>
        <v>caixa c/ 4 un.</v>
      </c>
      <c r="D350" s="151">
        <f>IFERROR(__xludf.DUMMYFUNCTION("IMPORTRANGE(""https://docs.google.com/spreadsheets/d/1N-MS3Yks1R6miOFtrT4_icbxxDpq3hUVfzqWbJGwO1I/edit?usp=sharing"",""Relatório Pesquisa Preços!$D99"")"),1.0)</f>
        <v>1</v>
      </c>
      <c r="E350" s="151">
        <f>IFERROR(__xludf.DUMMYFUNCTION("IMPORTRANGE(""https://docs.google.com/spreadsheets/d/1N-MS3Yks1R6miOFtrT4_icbxxDpq3hUVfzqWbJGwO1I/edit?usp=sharing"",""Relatório Pesquisa Preços!$F99"")"),12.0)</f>
        <v>12</v>
      </c>
      <c r="F350" s="164">
        <f>IFERROR(__xludf.DUMMYFUNCTION("IMPORTRANGE(""https://docs.google.com/spreadsheets/d/1N-MS3Yks1R6miOFtrT4_icbxxDpq3hUVfzqWbJGwO1I/edit?usp=sharing"",""Relatório Pesquisa Preços!$G99"")"),143.43)</f>
        <v>143.43</v>
      </c>
      <c r="G350" s="58">
        <f t="shared" si="104"/>
        <v>143.43</v>
      </c>
    </row>
    <row r="351">
      <c r="A351" s="163" t="str">
        <f>IFERROR(__xludf.DUMMYFUNCTION("IMPORTRANGE(""https://docs.google.com/spreadsheets/d/1N-MS3Yks1R6miOFtrT4_icbxxDpq3hUVfzqWbJGwO1I/edit?usp=sharing"",""Relatório Pesquisa Preços!$A100"")"),"[Relógio Ponto] Nobreak compatível com o maquinário fornecido, com autonomia mínima de 1 hora, bivolt.")</f>
        <v>[Relógio Ponto] Nobreak compatível com o maquinário fornecido, com autonomia mínima de 1 hora, bivolt.</v>
      </c>
      <c r="B351" s="13"/>
      <c r="C351" s="150" t="str">
        <f>IFERROR(__xludf.DUMMYFUNCTION("IMPORTRANGE(""https://docs.google.com/spreadsheets/d/1N-MS3Yks1R6miOFtrT4_icbxxDpq3hUVfzqWbJGwO1I/edit?usp=sharing"",""Relatório Pesquisa Preços!$C100"")"),"unidade")</f>
        <v>unidade</v>
      </c>
      <c r="D351" s="150">
        <f>IFERROR(__xludf.DUMMYFUNCTION("IMPORTRANGE(""https://docs.google.com/spreadsheets/d/1N-MS3Yks1R6miOFtrT4_icbxxDpq3hUVfzqWbJGwO1I/edit?usp=sharing"",""Relatório Pesquisa Preços!$D100"")"),1.0)</f>
        <v>1</v>
      </c>
      <c r="E351" s="151">
        <f>IFERROR(__xludf.DUMMYFUNCTION("IMPORTRANGE(""https://docs.google.com/spreadsheets/d/1N-MS3Yks1R6miOFtrT4_icbxxDpq3hUVfzqWbJGwO1I/edit?usp=sharing"",""Relatório Pesquisa Preços!$F100"")"),60.0)</f>
        <v>60</v>
      </c>
      <c r="F351" s="164">
        <f>IFERROR(__xludf.DUMMYFUNCTION("IMPORTRANGE(""https://docs.google.com/spreadsheets/d/1N-MS3Yks1R6miOFtrT4_icbxxDpq3hUVfzqWbJGwO1I/edit?usp=sharing"",""Relatório Pesquisa Preços!$G100"")"),228.33333333333334)</f>
        <v>228.3333333</v>
      </c>
      <c r="G351" s="58">
        <f t="shared" si="104"/>
        <v>45.66666667</v>
      </c>
    </row>
    <row r="352">
      <c r="A352" s="163" t="str">
        <f>IFERROR(__xludf.DUMMYFUNCTION("IMPORTRANGE(""https://docs.google.com/spreadsheets/d/1N-MS3Yks1R6miOFtrT4_icbxxDpq3hUVfzqWbJGwO1I/edit?usp=sharing"",""Relatório Pesquisa Preços!$A101"")"),"Revólver calibre .38, comprimento do cano de 5 a 6 polegadas, capacidade de 6 a 7 tiros.")</f>
        <v>Revólver calibre .38, comprimento do cano de 5 a 6 polegadas, capacidade de 6 a 7 tiros.</v>
      </c>
      <c r="B352" s="13"/>
      <c r="C352" s="150" t="str">
        <f>IFERROR(__xludf.DUMMYFUNCTION("IMPORTRANGE(""https://docs.google.com/spreadsheets/d/1N-MS3Yks1R6miOFtrT4_icbxxDpq3hUVfzqWbJGwO1I/edit?usp=sharing"",""Relatório Pesquisa Preços!$C101"")"),"unidade")</f>
        <v>unidade</v>
      </c>
      <c r="D352" s="150">
        <f>IFERROR(__xludf.DUMMYFUNCTION("IMPORTRANGE(""https://docs.google.com/spreadsheets/d/1N-MS3Yks1R6miOFtrT4_icbxxDpq3hUVfzqWbJGwO1I/edit?usp=sharing"",""Relatório Pesquisa Preços!$D101"")"),2.0)</f>
        <v>2</v>
      </c>
      <c r="E352" s="151">
        <f>IFERROR(__xludf.DUMMYFUNCTION("IMPORTRANGE(""https://docs.google.com/spreadsheets/d/1N-MS3Yks1R6miOFtrT4_icbxxDpq3hUVfzqWbJGwO1I/edit?usp=sharing"",""Relatório Pesquisa Preços!$F101"")"),120.0)</f>
        <v>120</v>
      </c>
      <c r="F352" s="164">
        <f>IFERROR(__xludf.DUMMYFUNCTION("IMPORTRANGE(""https://docs.google.com/spreadsheets/d/1N-MS3Yks1R6miOFtrT4_icbxxDpq3hUVfzqWbJGwO1I/edit?usp=sharing"",""Relatório Pesquisa Preços!$G101"")"),5518.683333333333)</f>
        <v>5518.683333</v>
      </c>
      <c r="G352" s="58">
        <f t="shared" si="104"/>
        <v>1103.736667</v>
      </c>
    </row>
    <row r="353" ht="15.0" customHeight="1">
      <c r="A353" s="166" t="s">
        <v>269</v>
      </c>
      <c r="B353" s="167"/>
      <c r="C353" s="167"/>
      <c r="D353" s="167"/>
      <c r="E353" s="167"/>
      <c r="F353" s="168"/>
      <c r="G353" s="169">
        <f>SUM(G336:G352)</f>
        <v>3090.131667</v>
      </c>
    </row>
    <row r="354" ht="15.0" customHeight="1">
      <c r="A354" s="158" t="s">
        <v>270</v>
      </c>
      <c r="B354" s="12"/>
      <c r="C354" s="12"/>
      <c r="D354" s="12"/>
      <c r="E354" s="12"/>
      <c r="F354" s="13"/>
      <c r="G354" s="106">
        <f>G353/12</f>
        <v>257.5109722</v>
      </c>
    </row>
    <row r="355" ht="6.0" customHeight="1">
      <c r="A355" s="170"/>
      <c r="B355" s="170"/>
      <c r="C355" s="170"/>
      <c r="D355" s="170"/>
      <c r="E355" s="170"/>
      <c r="F355" s="170"/>
      <c r="G355" s="170"/>
    </row>
    <row r="356">
      <c r="A356" s="72" t="s">
        <v>271</v>
      </c>
      <c r="B356" s="12"/>
      <c r="C356" s="12"/>
      <c r="D356" s="12"/>
      <c r="E356" s="12"/>
      <c r="F356" s="13"/>
      <c r="G356" s="170"/>
    </row>
    <row r="357">
      <c r="A357" s="47" t="s">
        <v>272</v>
      </c>
      <c r="B357" s="12"/>
      <c r="C357" s="12"/>
      <c r="D357" s="12"/>
      <c r="E357" s="12"/>
      <c r="F357" s="13"/>
      <c r="G357" s="170"/>
    </row>
    <row r="358">
      <c r="A358" s="11" t="s">
        <v>41</v>
      </c>
      <c r="B358" s="13"/>
      <c r="C358" s="73" t="s">
        <v>273</v>
      </c>
      <c r="D358" s="73" t="s">
        <v>274</v>
      </c>
      <c r="E358" s="115" t="s">
        <v>275</v>
      </c>
      <c r="F358" s="115" t="s">
        <v>276</v>
      </c>
      <c r="G358" s="57"/>
    </row>
    <row r="359">
      <c r="A359" s="18" t="s">
        <v>277</v>
      </c>
      <c r="B359" s="13"/>
      <c r="C359" s="58">
        <f>G331</f>
        <v>107.4230556</v>
      </c>
      <c r="D359" s="58">
        <f>G354</f>
        <v>257.5109722</v>
      </c>
      <c r="E359" s="21">
        <f>ROUND(G19,0)</f>
        <v>6</v>
      </c>
      <c r="F359" s="60">
        <f>C359+(D359/E359)</f>
        <v>150.3415509</v>
      </c>
      <c r="G359" s="57"/>
    </row>
    <row r="360" ht="6.0" customHeight="1">
      <c r="A360" s="57"/>
      <c r="B360" s="57"/>
      <c r="C360" s="57"/>
      <c r="D360" s="57"/>
      <c r="E360" s="57"/>
      <c r="F360" s="57"/>
      <c r="G360" s="57"/>
    </row>
    <row r="361">
      <c r="A361" s="29" t="s">
        <v>278</v>
      </c>
      <c r="B361" s="2"/>
      <c r="C361" s="2"/>
      <c r="D361" s="2"/>
      <c r="E361" s="2"/>
      <c r="F361" s="2"/>
      <c r="G361" s="3"/>
    </row>
    <row r="362">
      <c r="A362" s="31" t="s">
        <v>279</v>
      </c>
    </row>
    <row r="363" ht="6.0" customHeight="1">
      <c r="A363" s="171"/>
      <c r="B363" s="171"/>
      <c r="C363" s="171"/>
      <c r="D363" s="171"/>
      <c r="E363" s="171"/>
      <c r="F363" s="171"/>
      <c r="G363" s="75"/>
    </row>
    <row r="364">
      <c r="A364" s="36" t="s">
        <v>280</v>
      </c>
      <c r="B364" s="12"/>
      <c r="C364" s="12"/>
      <c r="D364" s="12"/>
      <c r="E364" s="13"/>
      <c r="F364" s="172"/>
      <c r="G364" s="173"/>
    </row>
    <row r="365">
      <c r="A365" s="47" t="s">
        <v>281</v>
      </c>
      <c r="B365" s="12"/>
      <c r="C365" s="12"/>
      <c r="D365" s="12"/>
      <c r="E365" s="13"/>
      <c r="F365" s="172"/>
      <c r="G365" s="174"/>
    </row>
    <row r="366">
      <c r="A366" s="55" t="s">
        <v>243</v>
      </c>
      <c r="B366" s="13"/>
      <c r="C366" s="49" t="s">
        <v>57</v>
      </c>
      <c r="D366" s="48" t="s">
        <v>58</v>
      </c>
      <c r="E366" s="48" t="s">
        <v>282</v>
      </c>
      <c r="F366" s="172"/>
      <c r="G366" s="174"/>
    </row>
    <row r="367">
      <c r="A367" s="175" t="s">
        <v>283</v>
      </c>
      <c r="B367" s="13"/>
      <c r="C367" s="176">
        <f>C36</f>
        <v>1590.6</v>
      </c>
      <c r="D367" s="123">
        <v>0.4257</v>
      </c>
      <c r="E367" s="58">
        <f>C367*D367</f>
        <v>677.11842</v>
      </c>
      <c r="F367" s="172"/>
      <c r="G367" s="174"/>
    </row>
    <row r="368" ht="6.0" customHeight="1">
      <c r="A368" s="171"/>
      <c r="B368" s="171"/>
      <c r="C368" s="171"/>
      <c r="D368" s="171"/>
      <c r="E368" s="46"/>
      <c r="F368" s="177"/>
      <c r="G368" s="45"/>
    </row>
    <row r="369">
      <c r="A369" s="36" t="s">
        <v>284</v>
      </c>
      <c r="B369" s="12"/>
      <c r="C369" s="12"/>
      <c r="D369" s="12"/>
      <c r="E369" s="12"/>
      <c r="F369" s="12"/>
      <c r="G369" s="13"/>
    </row>
    <row r="370">
      <c r="A370" s="47" t="s">
        <v>285</v>
      </c>
      <c r="B370" s="12"/>
      <c r="C370" s="12"/>
      <c r="D370" s="12"/>
      <c r="E370" s="12"/>
      <c r="F370" s="12"/>
      <c r="G370" s="13"/>
    </row>
    <row r="371">
      <c r="A371" s="38" t="s">
        <v>286</v>
      </c>
      <c r="B371" s="38" t="s">
        <v>287</v>
      </c>
      <c r="C371" s="38" t="s">
        <v>288</v>
      </c>
      <c r="D371" s="38" t="s">
        <v>289</v>
      </c>
      <c r="E371" s="38" t="s">
        <v>290</v>
      </c>
      <c r="F371" s="38" t="s">
        <v>291</v>
      </c>
      <c r="G371" s="38" t="s">
        <v>282</v>
      </c>
    </row>
    <row r="372">
      <c r="A372" s="39" t="s">
        <v>292</v>
      </c>
      <c r="B372" s="178">
        <f t="shared" ref="B372:B373" si="105">E88</f>
        <v>2167.1925</v>
      </c>
      <c r="C372" s="178">
        <f t="shared" ref="C372:C373" si="106">F204</f>
        <v>1715.49379</v>
      </c>
      <c r="D372" s="178">
        <f t="shared" ref="D372:D373" si="107">F276</f>
        <v>191.6180151</v>
      </c>
      <c r="E372" s="58">
        <f t="shared" ref="E372:E373" si="108">F309</f>
        <v>235.1467753</v>
      </c>
      <c r="F372" s="58">
        <f>G331</f>
        <v>107.4230556</v>
      </c>
      <c r="G372" s="58">
        <f>E367</f>
        <v>677.11842</v>
      </c>
    </row>
    <row r="373">
      <c r="A373" s="39" t="s">
        <v>293</v>
      </c>
      <c r="B373" s="178">
        <f t="shared" si="105"/>
        <v>2727.895484</v>
      </c>
      <c r="C373" s="179">
        <f t="shared" si="106"/>
        <v>2095.974596</v>
      </c>
      <c r="D373" s="179">
        <f t="shared" si="107"/>
        <v>237.939054</v>
      </c>
      <c r="E373" s="179">
        <f t="shared" si="108"/>
        <v>292.1402051</v>
      </c>
      <c r="F373" s="179">
        <f>G331</f>
        <v>107.4230556</v>
      </c>
      <c r="G373" s="179">
        <f>E367</f>
        <v>677.11842</v>
      </c>
    </row>
    <row r="374" ht="6.0" customHeight="1">
      <c r="A374" s="171"/>
      <c r="B374" s="171"/>
      <c r="C374" s="171"/>
      <c r="D374" s="171"/>
      <c r="E374" s="46"/>
      <c r="F374" s="177"/>
      <c r="G374" s="45"/>
    </row>
    <row r="375">
      <c r="A375" s="72" t="s">
        <v>294</v>
      </c>
      <c r="B375" s="12"/>
      <c r="C375" s="12"/>
      <c r="D375" s="13"/>
      <c r="E375" s="180"/>
      <c r="F375" s="180"/>
      <c r="G375" s="180"/>
    </row>
    <row r="376">
      <c r="A376" s="47" t="s">
        <v>295</v>
      </c>
      <c r="B376" s="12"/>
      <c r="C376" s="12"/>
      <c r="D376" s="13"/>
      <c r="E376" s="180"/>
      <c r="F376" s="180"/>
      <c r="G376" s="180"/>
    </row>
    <row r="377">
      <c r="A377" s="38" t="s">
        <v>286</v>
      </c>
      <c r="B377" s="38" t="s">
        <v>296</v>
      </c>
      <c r="C377" s="38" t="s">
        <v>297</v>
      </c>
      <c r="D377" s="38" t="s">
        <v>298</v>
      </c>
      <c r="E377" s="180"/>
      <c r="F377" s="180"/>
      <c r="G377" s="180"/>
    </row>
    <row r="378">
      <c r="A378" s="39" t="s">
        <v>292</v>
      </c>
      <c r="B378" s="178">
        <f>SUM(B372:G372)</f>
        <v>5093.992556</v>
      </c>
      <c r="C378" s="181">
        <v>40.0</v>
      </c>
      <c r="D378" s="182">
        <f t="shared" ref="D378:D379" si="109">B378/C378</f>
        <v>127.3498139</v>
      </c>
      <c r="E378" s="180"/>
      <c r="F378" s="180"/>
      <c r="G378" s="180"/>
    </row>
    <row r="379">
      <c r="A379" s="39" t="s">
        <v>293</v>
      </c>
      <c r="B379" s="179">
        <f>(SUM(B373:G373))</f>
        <v>6138.490815</v>
      </c>
      <c r="C379" s="183">
        <v>40.0</v>
      </c>
      <c r="D379" s="182">
        <f t="shared" si="109"/>
        <v>153.4622704</v>
      </c>
      <c r="E379" s="180"/>
      <c r="F379" s="180"/>
      <c r="G379" s="180"/>
    </row>
    <row r="380" ht="6.0" customHeight="1">
      <c r="A380" s="171"/>
      <c r="B380" s="171"/>
      <c r="C380" s="171"/>
      <c r="D380" s="171"/>
      <c r="E380" s="46"/>
      <c r="F380" s="177"/>
      <c r="G380" s="45"/>
    </row>
    <row r="381">
      <c r="A381" s="29" t="s">
        <v>299</v>
      </c>
      <c r="B381" s="2"/>
      <c r="C381" s="2"/>
      <c r="D381" s="2"/>
      <c r="E381" s="2"/>
      <c r="F381" s="2"/>
      <c r="G381" s="3"/>
    </row>
    <row r="382" ht="6.0" customHeight="1">
      <c r="A382" s="171"/>
      <c r="B382" s="171"/>
      <c r="C382" s="171"/>
      <c r="D382" s="171"/>
      <c r="E382" s="171"/>
      <c r="F382" s="171"/>
      <c r="G382" s="75"/>
    </row>
    <row r="383">
      <c r="A383" s="81" t="s">
        <v>300</v>
      </c>
      <c r="B383" s="12"/>
      <c r="C383" s="12"/>
      <c r="D383" s="12"/>
      <c r="E383" s="12"/>
      <c r="F383" s="12"/>
      <c r="G383" s="13"/>
    </row>
    <row r="384">
      <c r="A384" s="47" t="s">
        <v>301</v>
      </c>
      <c r="B384" s="12"/>
      <c r="C384" s="12"/>
      <c r="D384" s="12"/>
      <c r="E384" s="12"/>
      <c r="F384" s="12"/>
      <c r="G384" s="13"/>
    </row>
    <row r="385">
      <c r="A385" s="184" t="s">
        <v>302</v>
      </c>
      <c r="B385" s="160"/>
      <c r="C385" s="185" t="s">
        <v>303</v>
      </c>
      <c r="D385" s="55" t="s">
        <v>213</v>
      </c>
      <c r="E385" s="13"/>
      <c r="F385" s="55" t="s">
        <v>304</v>
      </c>
      <c r="G385" s="13"/>
    </row>
    <row r="386">
      <c r="A386" s="186"/>
      <c r="B386" s="168"/>
      <c r="C386" s="133"/>
      <c r="D386" s="182" t="s">
        <v>305</v>
      </c>
      <c r="E386" s="187" t="s">
        <v>306</v>
      </c>
      <c r="F386" s="182" t="s">
        <v>305</v>
      </c>
      <c r="G386" s="187" t="s">
        <v>306</v>
      </c>
    </row>
    <row r="387">
      <c r="A387" s="188" t="s">
        <v>307</v>
      </c>
      <c r="B387" s="13"/>
      <c r="C387" s="92">
        <v>0.03</v>
      </c>
      <c r="D387" s="189">
        <f>SUM(E88,F204,F276,F309,F359,D378)</f>
        <v>4587.142445</v>
      </c>
      <c r="E387" s="189">
        <f>SUM(E89,F205,F277,F310,F359,D379)</f>
        <v>5657.753161</v>
      </c>
      <c r="F387" s="190">
        <f t="shared" ref="F387:F388" si="111">C387*D387</f>
        <v>137.6142734</v>
      </c>
      <c r="G387" s="190">
        <f t="shared" ref="G387:G388" si="112">C387*E387</f>
        <v>169.7325948</v>
      </c>
    </row>
    <row r="388">
      <c r="A388" s="188" t="s">
        <v>308</v>
      </c>
      <c r="B388" s="13"/>
      <c r="C388" s="92">
        <v>0.0679</v>
      </c>
      <c r="D388" s="189">
        <f t="shared" ref="D388:E388" si="110">SUM(D387,F387)</f>
        <v>4724.756719</v>
      </c>
      <c r="E388" s="189">
        <f t="shared" si="110"/>
        <v>5827.485756</v>
      </c>
      <c r="F388" s="191">
        <f t="shared" si="111"/>
        <v>320.8109812</v>
      </c>
      <c r="G388" s="190">
        <f t="shared" si="112"/>
        <v>395.6862828</v>
      </c>
    </row>
    <row r="389">
      <c r="A389" s="188" t="s">
        <v>309</v>
      </c>
      <c r="B389" s="13"/>
      <c r="C389" s="192">
        <f>SUM(C390,C393,C395)</f>
        <v>0.1175</v>
      </c>
      <c r="D389" s="193" t="s">
        <v>310</v>
      </c>
      <c r="E389" s="193" t="s">
        <v>310</v>
      </c>
      <c r="F389" s="191">
        <f t="shared" ref="F389:G389" si="113">SUM(F390,F393,F394)</f>
        <v>671.7894671</v>
      </c>
      <c r="G389" s="191">
        <f t="shared" si="113"/>
        <v>828.5809797</v>
      </c>
    </row>
    <row r="390">
      <c r="A390" s="175" t="s">
        <v>311</v>
      </c>
      <c r="B390" s="13"/>
      <c r="C390" s="192">
        <f>SUM(C391,C392)</f>
        <v>0.0925</v>
      </c>
      <c r="D390" s="189"/>
      <c r="E390" s="189"/>
      <c r="F390" s="189">
        <f t="shared" ref="F390:G390" si="114">SUM(F391,F392,F393)</f>
        <v>528.8555379</v>
      </c>
      <c r="G390" s="189">
        <f t="shared" si="114"/>
        <v>652.2871542</v>
      </c>
    </row>
    <row r="391">
      <c r="B391" s="39" t="s">
        <v>312</v>
      </c>
      <c r="C391" s="92">
        <v>0.076</v>
      </c>
      <c r="D391" s="189">
        <f t="shared" ref="D391:E391" si="115">SUM(D387,F387,F388)</f>
        <v>5045.5677</v>
      </c>
      <c r="E391" s="189">
        <f t="shared" si="115"/>
        <v>6223.172039</v>
      </c>
      <c r="F391" s="189">
        <f t="shared" ref="F391:G391" si="116">(D391*$C391)/(1-$C$389)</f>
        <v>434.5191447</v>
      </c>
      <c r="G391" s="189">
        <f t="shared" si="116"/>
        <v>535.9332294</v>
      </c>
    </row>
    <row r="392">
      <c r="B392" s="39" t="s">
        <v>313</v>
      </c>
      <c r="C392" s="92">
        <v>0.0165</v>
      </c>
      <c r="D392" s="189">
        <f t="shared" ref="D392:E392" si="117">SUM(D387,F387,F388)</f>
        <v>5045.5677</v>
      </c>
      <c r="E392" s="189">
        <f t="shared" si="117"/>
        <v>6223.172039</v>
      </c>
      <c r="F392" s="189">
        <f t="shared" ref="F392:G392" si="118">(D392*$C392)/(1-$C$389)</f>
        <v>94.33639325</v>
      </c>
      <c r="G392" s="189">
        <f t="shared" si="118"/>
        <v>116.3539248</v>
      </c>
    </row>
    <row r="393">
      <c r="A393" s="175" t="s">
        <v>314</v>
      </c>
      <c r="B393" s="13"/>
      <c r="C393" s="92">
        <v>0.0</v>
      </c>
      <c r="D393" s="189">
        <f t="shared" ref="D393:E393" si="119">SUM(D387,F387,F388)</f>
        <v>5045.5677</v>
      </c>
      <c r="E393" s="189">
        <f t="shared" si="119"/>
        <v>6223.172039</v>
      </c>
      <c r="F393" s="189">
        <f t="shared" ref="F393:G393" si="120">(D393*$C393)/(1-$C$389)</f>
        <v>0</v>
      </c>
      <c r="G393" s="189">
        <f t="shared" si="120"/>
        <v>0</v>
      </c>
    </row>
    <row r="394">
      <c r="A394" s="175" t="s">
        <v>315</v>
      </c>
      <c r="B394" s="13"/>
      <c r="C394" s="192">
        <f>C395</f>
        <v>0.025</v>
      </c>
      <c r="D394" s="193" t="s">
        <v>310</v>
      </c>
      <c r="E394" s="193" t="s">
        <v>310</v>
      </c>
      <c r="F394" s="189">
        <f t="shared" ref="F394:G394" si="121">F395</f>
        <v>142.9339292</v>
      </c>
      <c r="G394" s="194">
        <f t="shared" si="121"/>
        <v>176.2938255</v>
      </c>
    </row>
    <row r="395">
      <c r="B395" s="39" t="s">
        <v>316</v>
      </c>
      <c r="C395" s="92">
        <v>0.025</v>
      </c>
      <c r="D395" s="189">
        <f t="shared" ref="D395:E395" si="122">SUM(D387,F387,F388)</f>
        <v>5045.5677</v>
      </c>
      <c r="E395" s="189">
        <f t="shared" si="122"/>
        <v>6223.172039</v>
      </c>
      <c r="F395" s="189">
        <f t="shared" ref="F395:G395" si="123">(D395*$C395)/(1-$C$389)</f>
        <v>142.9339292</v>
      </c>
      <c r="G395" s="189">
        <f t="shared" si="123"/>
        <v>176.2938255</v>
      </c>
    </row>
    <row r="396" ht="6.0" customHeight="1">
      <c r="A396" s="45"/>
      <c r="B396" s="45"/>
      <c r="C396" s="46"/>
      <c r="D396" s="45"/>
      <c r="E396" s="45"/>
      <c r="F396" s="45"/>
      <c r="G396" s="57"/>
    </row>
    <row r="397">
      <c r="A397" s="72" t="s">
        <v>317</v>
      </c>
      <c r="B397" s="12"/>
      <c r="C397" s="12"/>
      <c r="D397" s="12"/>
      <c r="E397" s="12"/>
      <c r="F397" s="13"/>
      <c r="G397" s="195"/>
    </row>
    <row r="398" ht="24.0" customHeight="1">
      <c r="A398" s="11" t="s">
        <v>41</v>
      </c>
      <c r="B398" s="13"/>
      <c r="C398" s="129" t="s">
        <v>318</v>
      </c>
      <c r="D398" s="115" t="s">
        <v>319</v>
      </c>
      <c r="E398" s="115" t="s">
        <v>320</v>
      </c>
      <c r="F398" s="115" t="s">
        <v>321</v>
      </c>
      <c r="G398" s="78"/>
    </row>
    <row r="399">
      <c r="A399" s="18" t="s">
        <v>48</v>
      </c>
      <c r="B399" s="13"/>
      <c r="C399" s="58">
        <f>F387</f>
        <v>137.6142734</v>
      </c>
      <c r="D399" s="58">
        <f>F388</f>
        <v>320.8109812</v>
      </c>
      <c r="E399" s="58">
        <f>F389</f>
        <v>671.7894671</v>
      </c>
      <c r="F399" s="60">
        <f t="shared" ref="F399:F400" si="124">SUM(C399:E399)</f>
        <v>1130.214722</v>
      </c>
      <c r="G399" s="45"/>
    </row>
    <row r="400">
      <c r="A400" s="18" t="s">
        <v>49</v>
      </c>
      <c r="B400" s="13"/>
      <c r="C400" s="58">
        <f>G387</f>
        <v>169.7325948</v>
      </c>
      <c r="D400" s="58">
        <f>G388</f>
        <v>395.6862828</v>
      </c>
      <c r="E400" s="58">
        <f>G389</f>
        <v>828.5809797</v>
      </c>
      <c r="F400" s="60">
        <f t="shared" si="124"/>
        <v>1393.999857</v>
      </c>
      <c r="G400" s="45"/>
    </row>
    <row r="401" ht="6.0" customHeight="1">
      <c r="A401" s="171"/>
      <c r="B401" s="171"/>
      <c r="C401" s="171"/>
      <c r="D401" s="171"/>
      <c r="E401" s="171"/>
      <c r="F401" s="171"/>
      <c r="G401" s="75"/>
    </row>
    <row r="402" ht="6.0" customHeight="1">
      <c r="A402" s="45"/>
      <c r="B402" s="45"/>
      <c r="C402" s="46"/>
      <c r="D402" s="45"/>
      <c r="E402" s="45"/>
      <c r="F402" s="45"/>
      <c r="G402" s="45"/>
    </row>
    <row r="403">
      <c r="A403" s="72" t="s">
        <v>322</v>
      </c>
      <c r="B403" s="12"/>
      <c r="C403" s="12"/>
      <c r="D403" s="13"/>
      <c r="E403" s="78"/>
      <c r="F403" s="45"/>
      <c r="G403" s="45"/>
    </row>
    <row r="404">
      <c r="A404" s="196" t="s">
        <v>323</v>
      </c>
      <c r="B404" s="13"/>
      <c r="C404" s="197" t="s">
        <v>324</v>
      </c>
      <c r="D404" s="197" t="s">
        <v>325</v>
      </c>
      <c r="E404" s="78"/>
      <c r="F404" s="45"/>
      <c r="G404" s="45"/>
    </row>
    <row r="405">
      <c r="A405" s="18" t="s">
        <v>326</v>
      </c>
      <c r="B405" s="13"/>
      <c r="C405" s="189">
        <f>E88</f>
        <v>2167.1925</v>
      </c>
      <c r="D405" s="189">
        <f>E89</f>
        <v>2727.895484</v>
      </c>
      <c r="E405" s="45"/>
      <c r="F405" s="45"/>
      <c r="G405" s="45"/>
    </row>
    <row r="406">
      <c r="A406" s="18" t="s">
        <v>327</v>
      </c>
      <c r="B406" s="13"/>
      <c r="C406" s="189">
        <f>F204</f>
        <v>1715.49379</v>
      </c>
      <c r="D406" s="189">
        <f>F205</f>
        <v>2095.974596</v>
      </c>
      <c r="E406" s="45"/>
      <c r="F406" s="45"/>
      <c r="G406" s="45"/>
    </row>
    <row r="407">
      <c r="A407" s="18" t="s">
        <v>328</v>
      </c>
      <c r="B407" s="13"/>
      <c r="C407" s="189">
        <f>F276</f>
        <v>191.6180151</v>
      </c>
      <c r="D407" s="189">
        <f>F277</f>
        <v>237.939054</v>
      </c>
      <c r="E407" s="45"/>
      <c r="F407" s="45"/>
      <c r="G407" s="45"/>
    </row>
    <row r="408">
      <c r="A408" s="18" t="s">
        <v>329</v>
      </c>
      <c r="B408" s="13"/>
      <c r="C408" s="189">
        <f>F309</f>
        <v>235.1467753</v>
      </c>
      <c r="D408" s="189">
        <f>F310</f>
        <v>292.1402051</v>
      </c>
      <c r="E408" s="45"/>
      <c r="F408" s="45"/>
      <c r="G408" s="45"/>
    </row>
    <row r="409">
      <c r="A409" s="18" t="s">
        <v>330</v>
      </c>
      <c r="B409" s="13"/>
      <c r="C409" s="189">
        <f>F359</f>
        <v>150.3415509</v>
      </c>
      <c r="D409" s="189">
        <f>F359</f>
        <v>150.3415509</v>
      </c>
      <c r="E409" s="198"/>
      <c r="F409" s="198"/>
      <c r="G409" s="198"/>
    </row>
    <row r="410">
      <c r="A410" s="18" t="s">
        <v>331</v>
      </c>
      <c r="B410" s="13"/>
      <c r="C410" s="189">
        <f>D378</f>
        <v>127.3498139</v>
      </c>
      <c r="D410" s="189">
        <f>D379</f>
        <v>153.4622704</v>
      </c>
      <c r="E410" s="198"/>
      <c r="F410" s="198"/>
      <c r="G410" s="198"/>
    </row>
    <row r="411">
      <c r="A411" s="18" t="s">
        <v>332</v>
      </c>
      <c r="B411" s="13"/>
      <c r="C411" s="189">
        <f>F399</f>
        <v>1130.214722</v>
      </c>
      <c r="D411" s="189">
        <f>F400</f>
        <v>1393.999857</v>
      </c>
      <c r="E411" s="198"/>
      <c r="F411" s="198"/>
      <c r="G411" s="198"/>
    </row>
    <row r="412">
      <c r="A412" s="199" t="s">
        <v>333</v>
      </c>
      <c r="B412" s="13"/>
      <c r="C412" s="200">
        <f t="shared" ref="C412:D412" si="125">SUM(C405:C411)</f>
        <v>5717.357167</v>
      </c>
      <c r="D412" s="200">
        <f t="shared" si="125"/>
        <v>7051.753018</v>
      </c>
      <c r="E412" s="198"/>
      <c r="F412" s="198"/>
      <c r="G412" s="198"/>
    </row>
    <row r="413" ht="6.0" customHeight="1">
      <c r="A413" s="4"/>
      <c r="B413" s="4"/>
      <c r="C413" s="4"/>
      <c r="D413" s="4"/>
      <c r="E413" s="201"/>
      <c r="F413" s="201"/>
      <c r="G413" s="201"/>
    </row>
    <row r="414">
      <c r="A414" s="202" t="s">
        <v>334</v>
      </c>
      <c r="B414" s="12"/>
      <c r="C414" s="13"/>
      <c r="E414" s="203"/>
      <c r="F414" s="203"/>
      <c r="G414" s="203"/>
    </row>
    <row r="415">
      <c r="A415" s="204" t="s">
        <v>41</v>
      </c>
      <c r="B415" s="179" t="s">
        <v>335</v>
      </c>
      <c r="C415" s="183" t="s">
        <v>336</v>
      </c>
      <c r="E415" s="203"/>
      <c r="F415" s="203"/>
      <c r="G415" s="203"/>
    </row>
    <row r="416">
      <c r="A416" s="205" t="s">
        <v>337</v>
      </c>
      <c r="B416" s="206">
        <f>F17</f>
        <v>2</v>
      </c>
      <c r="C416" s="206">
        <f>F18</f>
        <v>2</v>
      </c>
      <c r="E416" s="203"/>
      <c r="F416" s="203"/>
      <c r="G416" s="203"/>
    </row>
    <row r="417">
      <c r="A417" s="207" t="s">
        <v>338</v>
      </c>
      <c r="B417" s="58">
        <f t="shared" ref="B417:C417" si="126">ROUND(C412,2)</f>
        <v>5717.36</v>
      </c>
      <c r="C417" s="58">
        <f t="shared" si="126"/>
        <v>7051.75</v>
      </c>
      <c r="E417" s="203"/>
      <c r="F417" s="203"/>
      <c r="G417" s="203"/>
    </row>
    <row r="418">
      <c r="A418" s="208" t="s">
        <v>339</v>
      </c>
      <c r="B418" s="209">
        <f t="shared" ref="B418:C418" si="127">ROUND((B417*B416),2)</f>
        <v>11434.72</v>
      </c>
      <c r="C418" s="209">
        <f t="shared" si="127"/>
        <v>14103.5</v>
      </c>
      <c r="E418" s="203"/>
      <c r="F418" s="210"/>
      <c r="G418" s="203"/>
    </row>
    <row r="419">
      <c r="A419" s="211" t="s">
        <v>340</v>
      </c>
      <c r="B419" s="212">
        <f t="shared" ref="B419:C419" si="128">ROUND((B418*12),2)</f>
        <v>137216.64</v>
      </c>
      <c r="C419" s="212">
        <f t="shared" si="128"/>
        <v>169242</v>
      </c>
      <c r="E419" s="203"/>
      <c r="F419" s="203"/>
      <c r="G419" s="203"/>
    </row>
    <row r="420" ht="6.0" customHeight="1">
      <c r="A420" s="4"/>
      <c r="B420" s="4"/>
      <c r="C420" s="4"/>
      <c r="D420" s="4"/>
      <c r="E420" s="201"/>
      <c r="F420" s="201"/>
      <c r="G420" s="201"/>
    </row>
    <row r="421">
      <c r="A421" s="213" t="s">
        <v>341</v>
      </c>
      <c r="B421" s="12"/>
      <c r="C421" s="12"/>
      <c r="D421" s="12"/>
      <c r="E421" s="12"/>
      <c r="F421" s="12"/>
      <c r="G421" s="13"/>
    </row>
    <row r="422">
      <c r="A422" s="214" t="s">
        <v>342</v>
      </c>
      <c r="B422" s="214" t="s">
        <v>343</v>
      </c>
      <c r="C422" s="214" t="s">
        <v>344</v>
      </c>
      <c r="D422" s="215" t="s">
        <v>345</v>
      </c>
      <c r="E422" s="215" t="s">
        <v>346</v>
      </c>
      <c r="F422" s="215" t="s">
        <v>347</v>
      </c>
      <c r="G422" s="215" t="s">
        <v>348</v>
      </c>
    </row>
    <row r="423">
      <c r="A423" s="216" t="s">
        <v>349</v>
      </c>
      <c r="B423" s="25">
        <v>1.0</v>
      </c>
      <c r="C423" s="217" t="s">
        <v>350</v>
      </c>
      <c r="D423" s="218" t="str">
        <f t="shared" ref="D423:E423" si="129">D17</f>
        <v>Posto</v>
      </c>
      <c r="E423" s="219">
        <f t="shared" si="129"/>
        <v>1</v>
      </c>
      <c r="F423" s="220">
        <f>B419</f>
        <v>137216.64</v>
      </c>
      <c r="G423" s="220">
        <f t="shared" ref="G423:G424" si="131">E423*F423</f>
        <v>137216.64</v>
      </c>
    </row>
    <row r="424">
      <c r="A424" s="133"/>
      <c r="B424" s="25">
        <v>2.0</v>
      </c>
      <c r="C424" s="221" t="s">
        <v>351</v>
      </c>
      <c r="D424" s="218" t="str">
        <f t="shared" ref="D424:E424" si="130">D18</f>
        <v>Posto</v>
      </c>
      <c r="E424" s="219">
        <f t="shared" si="130"/>
        <v>2</v>
      </c>
      <c r="F424" s="220">
        <f>C419</f>
        <v>169242</v>
      </c>
      <c r="G424" s="220">
        <f t="shared" si="131"/>
        <v>338484</v>
      </c>
    </row>
    <row r="425">
      <c r="A425" s="222" t="s">
        <v>352</v>
      </c>
      <c r="B425" s="12"/>
      <c r="C425" s="12"/>
      <c r="D425" s="12"/>
      <c r="E425" s="12"/>
      <c r="F425" s="13"/>
      <c r="G425" s="223">
        <f>ROUND((SUM(G423:G424)),2)</f>
        <v>475700.64</v>
      </c>
    </row>
    <row r="426">
      <c r="A426" s="222" t="s">
        <v>353</v>
      </c>
      <c r="B426" s="12"/>
      <c r="C426" s="12"/>
      <c r="D426" s="12"/>
      <c r="E426" s="12"/>
      <c r="F426" s="13"/>
      <c r="G426" s="223">
        <f>G425/12</f>
        <v>39641.72</v>
      </c>
    </row>
    <row r="427" ht="6.0" customHeight="1">
      <c r="A427" s="4"/>
      <c r="B427" s="4"/>
      <c r="C427" s="4"/>
      <c r="D427" s="4"/>
      <c r="E427" s="201"/>
      <c r="F427" s="201"/>
      <c r="G427" s="201"/>
    </row>
  </sheetData>
  <mergeCells count="309">
    <mergeCell ref="A353:F353"/>
    <mergeCell ref="A354:F354"/>
    <mergeCell ref="A356:F356"/>
    <mergeCell ref="A357:F357"/>
    <mergeCell ref="A358:B358"/>
    <mergeCell ref="A359:B359"/>
    <mergeCell ref="A361:G361"/>
    <mergeCell ref="A362:G362"/>
    <mergeCell ref="A364:E364"/>
    <mergeCell ref="A365:E365"/>
    <mergeCell ref="A366:B366"/>
    <mergeCell ref="A367:B367"/>
    <mergeCell ref="A369:G369"/>
    <mergeCell ref="A370:G370"/>
    <mergeCell ref="A398:B398"/>
    <mergeCell ref="A399:B399"/>
    <mergeCell ref="A400:B400"/>
    <mergeCell ref="A403:D403"/>
    <mergeCell ref="A404:B404"/>
    <mergeCell ref="A405:B405"/>
    <mergeCell ref="A406:B406"/>
    <mergeCell ref="A421:G421"/>
    <mergeCell ref="A423:A424"/>
    <mergeCell ref="A425:F425"/>
    <mergeCell ref="A426:F426"/>
    <mergeCell ref="A407:B407"/>
    <mergeCell ref="A408:B408"/>
    <mergeCell ref="A409:B409"/>
    <mergeCell ref="A410:B410"/>
    <mergeCell ref="A411:B411"/>
    <mergeCell ref="A412:B412"/>
    <mergeCell ref="A414:C414"/>
    <mergeCell ref="A308:B308"/>
    <mergeCell ref="A309:B309"/>
    <mergeCell ref="A310:B310"/>
    <mergeCell ref="A312:G312"/>
    <mergeCell ref="A313:G313"/>
    <mergeCell ref="A315:G315"/>
    <mergeCell ref="A316:G316"/>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F330"/>
    <mergeCell ref="A331:F331"/>
    <mergeCell ref="A333:G333"/>
    <mergeCell ref="A334:G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87:B387"/>
    <mergeCell ref="A388:B388"/>
    <mergeCell ref="A389:B389"/>
    <mergeCell ref="A390:B390"/>
    <mergeCell ref="A393:B393"/>
    <mergeCell ref="A394:B394"/>
    <mergeCell ref="A397:F397"/>
    <mergeCell ref="A67:G67"/>
    <mergeCell ref="A69:G69"/>
    <mergeCell ref="A70:G70"/>
    <mergeCell ref="A71:B71"/>
    <mergeCell ref="A72:B72"/>
    <mergeCell ref="A73:B73"/>
    <mergeCell ref="A75:G75"/>
    <mergeCell ref="A76:G76"/>
    <mergeCell ref="A77:B77"/>
    <mergeCell ref="A78:B78"/>
    <mergeCell ref="A79:B79"/>
    <mergeCell ref="A81:E81"/>
    <mergeCell ref="A82:B82"/>
    <mergeCell ref="A83:B83"/>
    <mergeCell ref="A1:G1"/>
    <mergeCell ref="A3:G3"/>
    <mergeCell ref="A4:G4"/>
    <mergeCell ref="A5:G5"/>
    <mergeCell ref="A6:G6"/>
    <mergeCell ref="A7:G7"/>
    <mergeCell ref="A8:G8"/>
    <mergeCell ref="A9:G9"/>
    <mergeCell ref="A11:G11"/>
    <mergeCell ref="A13:G13"/>
    <mergeCell ref="A15:G15"/>
    <mergeCell ref="A16:C16"/>
    <mergeCell ref="A17:C17"/>
    <mergeCell ref="A18:C18"/>
    <mergeCell ref="A19:F19"/>
    <mergeCell ref="A20:F20"/>
    <mergeCell ref="A21:F21"/>
    <mergeCell ref="A23:G23"/>
    <mergeCell ref="A25:G25"/>
    <mergeCell ref="A28:G28"/>
    <mergeCell ref="A30:G30"/>
    <mergeCell ref="A31:G31"/>
    <mergeCell ref="A33:G33"/>
    <mergeCell ref="A34:G34"/>
    <mergeCell ref="A38:G38"/>
    <mergeCell ref="A39:G39"/>
    <mergeCell ref="A44:G44"/>
    <mergeCell ref="A45:G45"/>
    <mergeCell ref="A46:B46"/>
    <mergeCell ref="A47:B47"/>
    <mergeCell ref="A48:B48"/>
    <mergeCell ref="A50:E50"/>
    <mergeCell ref="A51:E51"/>
    <mergeCell ref="A52:B52"/>
    <mergeCell ref="A53:B53"/>
    <mergeCell ref="A54:B54"/>
    <mergeCell ref="A56:G56"/>
    <mergeCell ref="A57:G57"/>
    <mergeCell ref="A58:B58"/>
    <mergeCell ref="A59:B59"/>
    <mergeCell ref="A60:B60"/>
    <mergeCell ref="A62:G62"/>
    <mergeCell ref="A84:B84"/>
    <mergeCell ref="A86:E86"/>
    <mergeCell ref="A87:B87"/>
    <mergeCell ref="A88:B88"/>
    <mergeCell ref="A89:B89"/>
    <mergeCell ref="A91:G91"/>
    <mergeCell ref="A93:G93"/>
    <mergeCell ref="A95:E95"/>
    <mergeCell ref="A96:E96"/>
    <mergeCell ref="A97:B97"/>
    <mergeCell ref="A98:B98"/>
    <mergeCell ref="A99:B99"/>
    <mergeCell ref="A101:E101"/>
    <mergeCell ref="A102:E102"/>
    <mergeCell ref="A103:B103"/>
    <mergeCell ref="A104:B104"/>
    <mergeCell ref="A105:B105"/>
    <mergeCell ref="A107:F107"/>
    <mergeCell ref="A108:F108"/>
    <mergeCell ref="A109:B109"/>
    <mergeCell ref="A110:B110"/>
    <mergeCell ref="A111:B111"/>
    <mergeCell ref="A113:F113"/>
    <mergeCell ref="A114:B114"/>
    <mergeCell ref="A115:B115"/>
    <mergeCell ref="A116:B116"/>
    <mergeCell ref="A118:G118"/>
    <mergeCell ref="A119:G119"/>
    <mergeCell ref="A121:B121"/>
    <mergeCell ref="C123:G123"/>
    <mergeCell ref="C125:G125"/>
    <mergeCell ref="A133:E133"/>
    <mergeCell ref="A134:E134"/>
    <mergeCell ref="A135:B135"/>
    <mergeCell ref="A136:B136"/>
    <mergeCell ref="A137:B137"/>
    <mergeCell ref="A139:E139"/>
    <mergeCell ref="A140:E140"/>
    <mergeCell ref="A141:B141"/>
    <mergeCell ref="A142:B142"/>
    <mergeCell ref="A143:B143"/>
    <mergeCell ref="A145:E145"/>
    <mergeCell ref="A146:B146"/>
    <mergeCell ref="A147:B147"/>
    <mergeCell ref="A148:B148"/>
    <mergeCell ref="A150:G150"/>
    <mergeCell ref="A151:G151"/>
    <mergeCell ref="A153:F153"/>
    <mergeCell ref="A155:F155"/>
    <mergeCell ref="A156:F156"/>
    <mergeCell ref="A157:B157"/>
    <mergeCell ref="A158:B158"/>
    <mergeCell ref="A159:B159"/>
    <mergeCell ref="A161:E161"/>
    <mergeCell ref="A162:E162"/>
    <mergeCell ref="A163:B163"/>
    <mergeCell ref="A164:B164"/>
    <mergeCell ref="A165:B165"/>
    <mergeCell ref="A167:E167"/>
    <mergeCell ref="A168:B168"/>
    <mergeCell ref="A169:B169"/>
    <mergeCell ref="A170:B170"/>
    <mergeCell ref="A172:E172"/>
    <mergeCell ref="A174:E174"/>
    <mergeCell ref="A175:E175"/>
    <mergeCell ref="A176:B176"/>
    <mergeCell ref="A177:B177"/>
    <mergeCell ref="A178:B178"/>
    <mergeCell ref="A180:E180"/>
    <mergeCell ref="A181:E181"/>
    <mergeCell ref="A182:B182"/>
    <mergeCell ref="A183:B183"/>
    <mergeCell ref="A184:B184"/>
    <mergeCell ref="A186:E186"/>
    <mergeCell ref="A187:B187"/>
    <mergeCell ref="A188:B188"/>
    <mergeCell ref="A189:B189"/>
    <mergeCell ref="A191:G191"/>
    <mergeCell ref="A192:G192"/>
    <mergeCell ref="A193:B193"/>
    <mergeCell ref="A194:B194"/>
    <mergeCell ref="A195:B195"/>
    <mergeCell ref="A197:F197"/>
    <mergeCell ref="A198:B198"/>
    <mergeCell ref="A199:B199"/>
    <mergeCell ref="A200:B200"/>
    <mergeCell ref="A202:F202"/>
    <mergeCell ref="A203:B203"/>
    <mergeCell ref="A204:B204"/>
    <mergeCell ref="A205:B205"/>
    <mergeCell ref="A207:G207"/>
    <mergeCell ref="A208:G208"/>
    <mergeCell ref="A209:C209"/>
    <mergeCell ref="A210:B210"/>
    <mergeCell ref="A211:B211"/>
    <mergeCell ref="A212:B212"/>
    <mergeCell ref="A213:B213"/>
    <mergeCell ref="A214:B214"/>
    <mergeCell ref="A215:B215"/>
    <mergeCell ref="A216:B216"/>
    <mergeCell ref="A218:G218"/>
    <mergeCell ref="A219:G219"/>
    <mergeCell ref="A221:E221"/>
    <mergeCell ref="A222:E222"/>
    <mergeCell ref="A223:B223"/>
    <mergeCell ref="D284:D285"/>
    <mergeCell ref="E284:E285"/>
    <mergeCell ref="A276:B276"/>
    <mergeCell ref="A277:B277"/>
    <mergeCell ref="A279:G279"/>
    <mergeCell ref="A280:G280"/>
    <mergeCell ref="A282:E282"/>
    <mergeCell ref="A283:E283"/>
    <mergeCell ref="A284:A285"/>
    <mergeCell ref="A224:B224"/>
    <mergeCell ref="A225:B225"/>
    <mergeCell ref="A227:E227"/>
    <mergeCell ref="A228:E228"/>
    <mergeCell ref="A229:B229"/>
    <mergeCell ref="A230:B230"/>
    <mergeCell ref="A231:B231"/>
    <mergeCell ref="A233:E233"/>
    <mergeCell ref="A234:E234"/>
    <mergeCell ref="A235:B235"/>
    <mergeCell ref="A236:B236"/>
    <mergeCell ref="A237:B237"/>
    <mergeCell ref="A239:G239"/>
    <mergeCell ref="A240:G240"/>
    <mergeCell ref="A242:E242"/>
    <mergeCell ref="A243:E243"/>
    <mergeCell ref="A244:B244"/>
    <mergeCell ref="A245:B245"/>
    <mergeCell ref="A246:B246"/>
    <mergeCell ref="A248:E248"/>
    <mergeCell ref="A249:E249"/>
    <mergeCell ref="A250:B250"/>
    <mergeCell ref="A251:B251"/>
    <mergeCell ref="A252:B252"/>
    <mergeCell ref="A254:E254"/>
    <mergeCell ref="A255:E255"/>
    <mergeCell ref="A256:B256"/>
    <mergeCell ref="A257:B257"/>
    <mergeCell ref="A258:B258"/>
    <mergeCell ref="A260:G260"/>
    <mergeCell ref="A261:G261"/>
    <mergeCell ref="A263:F263"/>
    <mergeCell ref="A264:B264"/>
    <mergeCell ref="A265:B265"/>
    <mergeCell ref="A266:B266"/>
    <mergeCell ref="A268:E268"/>
    <mergeCell ref="A269:E269"/>
    <mergeCell ref="A270:B270"/>
    <mergeCell ref="A271:B271"/>
    <mergeCell ref="A272:B272"/>
    <mergeCell ref="A274:F274"/>
    <mergeCell ref="A275:B275"/>
    <mergeCell ref="B284:B285"/>
    <mergeCell ref="C284:C285"/>
    <mergeCell ref="A298:D298"/>
    <mergeCell ref="A300:D300"/>
    <mergeCell ref="A301:D301"/>
    <mergeCell ref="A306:F306"/>
    <mergeCell ref="A307:F307"/>
    <mergeCell ref="D385:E385"/>
    <mergeCell ref="F385:G385"/>
    <mergeCell ref="A375:D375"/>
    <mergeCell ref="A376:D376"/>
    <mergeCell ref="A381:G381"/>
    <mergeCell ref="A383:G383"/>
    <mergeCell ref="A384:G384"/>
    <mergeCell ref="A385:B386"/>
    <mergeCell ref="C385:C386"/>
  </mergeCells>
  <hyperlinks>
    <hyperlink r:id="rId1" ref="A4"/>
    <hyperlink r:id="rId2" ref="A5"/>
    <hyperlink r:id="rId3" ref="A6"/>
    <hyperlink r:id="rId4" ref="A7"/>
    <hyperlink r:id="rId5" ref="A8"/>
    <hyperlink r:id="rId6" ref="A9"/>
  </hyperlinks>
  <printOptions/>
  <pageMargins bottom="0.75" footer="0.0" header="0.0" left="0.25" right="0.25" top="0.75"/>
  <pageSetup fitToHeight="0" paperSize="9" orientation="portrait"/>
  <drawing r:id="rId7"/>
</worksheet>
</file>