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ilha de Custo EDITÁVEL - Di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87">
      <text>
        <t xml:space="preserve">Considera 1 unidade para o posto e 33% da unidade adicional, entregue à recepção do órgão, pois é compartilhado entre os 3 postos contratados, 1 diurno e 2 noturnos.</t>
      </text>
    </comment>
    <comment authorId="0" ref="F388">
      <text>
        <t xml:space="preserve">Considera 33% do valor do equipamento, pois é compartilhado entre os 3 postos contratados, 1 diurno e 2 noturnos.</t>
      </text>
    </comment>
    <comment authorId="0" ref="F389">
      <text>
        <t xml:space="preserve">Considera-se 33% do valor do equipamento, pois é compartilhado entre os 3 postos contratados, 1 diurno e 2 noturnos.</t>
      </text>
    </comment>
  </commentList>
</comments>
</file>

<file path=xl/sharedStrings.xml><?xml version="1.0" encoding="utf-8"?>
<sst xmlns="http://schemas.openxmlformats.org/spreadsheetml/2006/main" count="567" uniqueCount="288">
  <si>
    <t>PLANILHA DE CUSTOS E FORMAÇÃO DE PREÇOS</t>
  </si>
  <si>
    <t>Nº do processo:</t>
  </si>
  <si>
    <t>23361.000217/2018-53</t>
  </si>
  <si>
    <t>Licitação nº:</t>
  </si>
  <si>
    <t>Pregão Eletrônico nº 57/2018 - UASG 158326</t>
  </si>
  <si>
    <t>DISCRIMINAÇÃO DOS SERVIÇOS (DADOS REFERENTES À CONTRATAÇÃO)</t>
  </si>
  <si>
    <t>A</t>
  </si>
  <si>
    <t>Data e hora de apresentação da proposta (dia/mês/ano)</t>
  </si>
  <si>
    <t>17/09/2018 - 08h30min</t>
  </si>
  <si>
    <t>B</t>
  </si>
  <si>
    <t>Município/UF</t>
  </si>
  <si>
    <t>Porto Alegre/RS</t>
  </si>
  <si>
    <t>C</t>
  </si>
  <si>
    <t>Acordo, Convenção ou Dissídio coletivo adotado</t>
  </si>
  <si>
    <t>CCT RS 000817/2018</t>
  </si>
  <si>
    <t>D</t>
  </si>
  <si>
    <t>Ano de Celebração do Acordo/ Convenção/Dissídio coletivo</t>
  </si>
  <si>
    <t>E</t>
  </si>
  <si>
    <t>Vigência do Acordo, Convenção ou Dissídio coletivo</t>
  </si>
  <si>
    <t>01/02/2018 a 31/01/2020</t>
  </si>
  <si>
    <t>F</t>
  </si>
  <si>
    <t>Número de meses de execução contratual</t>
  </si>
  <si>
    <t>IDENTIFICAÇÃO DO SERVIÇO</t>
  </si>
  <si>
    <t>VIGILÂNCIA 12 x 36 DIURNA - Lucro Real e Presumido</t>
  </si>
  <si>
    <t xml:space="preserve"> Com Periculosidade NO FIM – Com Conta Vinculada – Com Rendição</t>
  </si>
  <si>
    <t xml:space="preserve">Tipo de serviço:
                  Vigilância e Segurança Armada                                                             </t>
  </si>
  <si>
    <t>Unidade
 de 
Medida</t>
  </si>
  <si>
    <t xml:space="preserve">Quantidade total a contratar (Em função da unidade de medida) </t>
  </si>
  <si>
    <t>12  x 36 horas diurnas - de segunda-feira a domingo</t>
  </si>
  <si>
    <t>posto</t>
  </si>
  <si>
    <t>TOTAL DE POSTOS</t>
  </si>
  <si>
    <t>1. MÓDULOS
Mão de obra vinculada à execução contratual</t>
  </si>
  <si>
    <t>Nota: Deverá ser elaborado um quadro para cada tipo de serviço.</t>
  </si>
  <si>
    <t>Dados complementares para composição dos custos referente à mão de obra</t>
  </si>
  <si>
    <t>Tipo de serviço (mesmo serviço com características distintas)</t>
  </si>
  <si>
    <t xml:space="preserve">Vigilância Patrimonial Armada </t>
  </si>
  <si>
    <t>Classificação Brasileira de Ocupações (CBO)</t>
  </si>
  <si>
    <t>5173-30</t>
  </si>
  <si>
    <t>Salário Normativo da Categoria Profissional</t>
  </si>
  <si>
    <t xml:space="preserve">Categoria Profissional (vinculada à execução contratual) </t>
  </si>
  <si>
    <t>vigilante</t>
  </si>
  <si>
    <t xml:space="preserve">Data-Base da Categoria (dia/mês/ano) </t>
  </si>
  <si>
    <t>1º de fevereiro de 2018</t>
  </si>
  <si>
    <r>
      <t xml:space="preserve">Valor do salárioxhora sem periculosidade - 
</t>
    </r>
    <r>
      <rPr>
        <rFont val="Arial"/>
        <b/>
        <color rgb="FF0000FF"/>
      </rPr>
      <t>VSH (s/peri) = (Valor do salário normativo / 220 h)</t>
    </r>
  </si>
  <si>
    <r>
      <t xml:space="preserve">Valor da hora extra sem periculosidade com 50% 
</t>
    </r>
    <r>
      <rPr>
        <rFont val="Arial"/>
        <b/>
        <color rgb="FF0000FF"/>
      </rPr>
      <t>HE (s/peri) = valor da hora + 50%</t>
    </r>
  </si>
  <si>
    <r>
      <t xml:space="preserve">Valor da hora do adicional noturno sem periculosidade
</t>
    </r>
    <r>
      <rPr>
        <rFont val="Arial"/>
        <b/>
        <color rgb="FF0000FF"/>
      </rPr>
      <t>AN (s/peri) =</t>
    </r>
    <r>
      <rPr>
        <rFont val="Arial"/>
        <b/>
        <color rgb="FFFF0000"/>
      </rPr>
      <t xml:space="preserve"> </t>
    </r>
    <r>
      <rPr>
        <rFont val="Arial"/>
        <b/>
        <color rgb="FF0000FF"/>
      </rPr>
      <t>valor da hora x 20%</t>
    </r>
  </si>
  <si>
    <t>Adicional de troca de uniforme</t>
  </si>
  <si>
    <t>Quantidade de vigilantes por posto de serviço</t>
  </si>
  <si>
    <t>Módulo 1: Composição da Remuneração (por Posto)</t>
  </si>
  <si>
    <t>Nota 1:  Para o empregado que labora jornada de 12x36h, em caso de não concessão ou concessão parcial do intervalo intrajornada (cláusula 69ª CCT), o valor pago deve ser inserido na remuneração utilizando a alínea “D”, excluindo-se a cotação do Custo por Reposição do Profissional em Intervalo Intrajornada, no Módulo 4, linha 4.2.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2: O Módulo 1 refere-se ao valor mensal devido aos 2 (dois) empregados locados no posto para prestação do serviço no período de 12 meses.</t>
  </si>
  <si>
    <t>Composição da Remuneração (por Posto)</t>
  </si>
  <si>
    <t>Percentual (%)</t>
  </si>
  <si>
    <t xml:space="preserve">Valor 
(R$) </t>
  </si>
  <si>
    <r>
      <t xml:space="preserve">Salário-Base            </t>
    </r>
    <r>
      <rPr>
        <rFont val="Arial"/>
        <b/>
        <color rgb="FFFF0000"/>
      </rPr>
      <t xml:space="preserve"> (valor para 2 vigilantes = 1 posto) </t>
    </r>
  </si>
  <si>
    <r>
      <t>Adicional de Periculosidade</t>
    </r>
    <r>
      <rPr>
        <color rgb="FFFF0000"/>
      </rPr>
      <t xml:space="preserve"> (Lei nº 12.740/2012)    (30% das rubricas pertinentes)  </t>
    </r>
    <r>
      <rPr/>
      <t xml:space="preserve">cláusula 30ª da CCT 2018/2020 </t>
    </r>
  </si>
  <si>
    <r>
      <t xml:space="preserve">Outros </t>
    </r>
    <r>
      <rPr/>
      <t xml:space="preserve">(especificar)  </t>
    </r>
    <r>
      <t xml:space="preserve">                    </t>
    </r>
  </si>
  <si>
    <t>-</t>
  </si>
  <si>
    <r>
      <t xml:space="preserve">Remuneração 1 </t>
    </r>
    <r>
      <rPr/>
      <t>(parcela da remuneração sobre a qual incidem INSS + FGTS + Férias + 13º, etc.)</t>
    </r>
    <r>
      <t xml:space="preserve"> = </t>
    </r>
  </si>
  <si>
    <r>
      <t xml:space="preserve">Intervalo Intrajornada </t>
    </r>
    <r>
      <rPr>
        <color rgb="FFFF0000"/>
      </rPr>
      <t xml:space="preserve">(Adicional de Intervalo)  Cálculo do valor: HE (s/peri) x 15dias x 2vig x </t>
    </r>
    <r>
      <rPr>
        <color rgb="FF0000FF"/>
      </rPr>
      <t>0,5h</t>
    </r>
    <r>
      <rPr>
        <color rgb="FFFF0000"/>
      </rPr>
      <t xml:space="preserve">) - </t>
    </r>
    <r>
      <t>cláusula 69ª da CCT 2018/2020</t>
    </r>
  </si>
  <si>
    <r>
      <t xml:space="preserve">Adicional de Troca de Uniforme -  </t>
    </r>
    <r>
      <rPr>
        <color rgb="FFFF0000"/>
      </rPr>
      <t xml:space="preserve">Cálculo do valor: 1/6 do salário x hora por dia = (VSH/6=1,10)x2x15 = R$ 1,10x2x15 </t>
    </r>
    <r>
      <rPr/>
      <t xml:space="preserve"> cláusula 32ª da CCT 2018/2020 </t>
    </r>
  </si>
  <si>
    <r>
      <t xml:space="preserve">Total da Remuneração de verbas de natureza indenizatória, nas quais não incidem INSS, FGTS, Férias, 13º, etc. - </t>
    </r>
    <r>
      <rPr>
        <rFont val="Arial"/>
        <b/>
        <color rgb="FF0000FF"/>
      </rPr>
      <t>Valor entra nos seguintes cálculos: Item 2, "A" - Quadro-Resumo do Custo por Posto de Trabalho, Custos Indiretos, Lucro e Tributos.</t>
    </r>
  </si>
  <si>
    <r>
      <t xml:space="preserve">Remuneração 2 </t>
    </r>
    <r>
      <rPr/>
      <t>(total da remuneração paga aos 2 empregados locados no posto)</t>
    </r>
    <r>
      <t xml:space="preserve"> =</t>
    </r>
  </si>
  <si>
    <t>Módulo 2 : Encargos e Benefícios Anuais, Mensais e Diários (por Posto)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</si>
  <si>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</si>
  <si>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2.1 – 13º (décimo terceiro) Salário e Adicional de Férias</t>
  </si>
  <si>
    <t>2.1</t>
  </si>
  <si>
    <t>13º (décimo terceiro) Salário e Adicional de Férias</t>
  </si>
  <si>
    <t>Valor (R$)</t>
  </si>
  <si>
    <r>
      <t>13º (décimo terceiro) Salário</t>
    </r>
    <r>
      <rPr>
        <color rgb="FFFF0000"/>
      </rPr>
      <t xml:space="preserve"> </t>
    </r>
    <r>
      <rPr>
        <color rgb="FFFF0000"/>
      </rPr>
      <t xml:space="preserve">Cálculo do valor = Rem1 / 12 </t>
    </r>
  </si>
  <si>
    <r>
      <t xml:space="preserve">Adicional de Férias  </t>
    </r>
    <r>
      <rPr>
        <color rgb="FFFF0000"/>
      </rPr>
      <t>Cálculo do valor = [(Rem1 / 3)/12]</t>
    </r>
  </si>
  <si>
    <t>Total</t>
  </si>
  <si>
    <r>
      <t xml:space="preserve">Submódulo 2.2 - Encargos Previdenciários (GPS), Fundo de Garantia por Tempo de Serviço (FGTS) e outras contribuições  </t>
    </r>
    <r>
      <rPr>
        <rFont val="Arial"/>
        <b/>
        <color rgb="FF0000FF"/>
      </rPr>
      <t>(Base de Cálculo = Módulo 1 (Rem1) + Submódulo 2.1)</t>
    </r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</si>
  <si>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 Módulo 3, o Módulo 4 e o Módulo 6.</t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</si>
  <si>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</si>
  <si>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</si>
  <si>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</si>
  <si>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</si>
  <si>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</si>
  <si>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t xml:space="preserve">RAT x FAP
</t>
    </r>
    <r>
      <rPr>
        <rFont val="Arial"/>
        <b/>
        <color rgb="FFFF0000"/>
      </rPr>
      <t>Cálculo do valor: % do RAT x FAP (Fator Acidentário de Prevenção de cada empresa)</t>
    </r>
    <r>
      <rPr>
        <rFont val="Arial"/>
        <b/>
      </rPr>
      <t xml:space="preserve"> 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</si>
  <si>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</si>
  <si>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</si>
  <si>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</si>
  <si>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</si>
  <si>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 xml:space="preserve">SEBRAE                                                                                                              </t>
  </si>
  <si>
    <t>G</t>
  </si>
  <si>
    <t xml:space="preserve">INCRA                                                                                                                  </t>
  </si>
  <si>
    <t>H</t>
  </si>
  <si>
    <t xml:space="preserve">FGTS                                                                                                                 </t>
  </si>
  <si>
    <t>Submódulo 2.3 – Benefícios Mensais e Diários</t>
  </si>
  <si>
    <t>Nota 1: O valor informado deverá ser o custo real do insumo (descontado o valor pago pelos empregados) para os 2 empregados locados, alternadamente, no posto de serviço.
Nota 2: Observar a previsão dos benefícios contidos na CCT adotada, vigente na base territorial de execução dos serviços.</t>
  </si>
  <si>
    <t>2.3</t>
  </si>
  <si>
    <t>Benefícios Mensais e Diários</t>
  </si>
  <si>
    <r>
      <t xml:space="preserve">Transporte      </t>
    </r>
    <r>
      <rPr>
        <color rgb="FFFF0000"/>
      </rPr>
      <t>Cálculo do valor = [(2xVTx30) – (6%xSBx2)]</t>
    </r>
  </si>
  <si>
    <r>
      <t xml:space="preserve">     </t>
    </r>
    <r>
      <rPr>
        <rFont val="Arial"/>
        <b/>
        <color rgb="FFFF0000"/>
      </rPr>
      <t>A.1)  Valor da passagem do transporte coletivo no município de
                prestação dos serviços</t>
    </r>
  </si>
  <si>
    <r>
      <t xml:space="preserve">     </t>
    </r>
    <r>
      <rPr>
        <rFont val="Arial"/>
        <b/>
        <color rgb="FFFF0000"/>
      </rPr>
      <t>A.2) Quantidade de passagens por dia por empregado</t>
    </r>
  </si>
  <si>
    <t xml:space="preserve">     A.3) Quantidade de dias do mês de recebimento de passagens</t>
  </si>
  <si>
    <r>
      <t xml:space="preserve">     A.4) Participação do empregado em percentual do salário-base </t>
    </r>
    <r>
      <rPr>
        <color rgb="FF000000"/>
      </rPr>
      <t>(cláusula 35ª da CCT 2018-2020)</t>
    </r>
  </si>
  <si>
    <r>
      <t xml:space="preserve">Auxílio-Refeição/Alimentação  </t>
    </r>
    <r>
      <rPr>
        <rFont val="Arial"/>
        <b/>
        <color rgb="FFFF0000"/>
      </rPr>
      <t>Cálculo do valor = [(30xVA)x(1-0,20)]</t>
    </r>
  </si>
  <si>
    <r>
      <rPr>
        <color rgb="FFFF0000"/>
      </rPr>
      <t xml:space="preserve">      B.1) Valor do Auxílio-Alimentação</t>
    </r>
    <r>
      <t xml:space="preserve">  </t>
    </r>
    <r>
      <rPr/>
      <t>(cláusula 34ª da CCT 2018/2020)</t>
    </r>
  </si>
  <si>
    <r>
      <t xml:space="preserve">     </t>
    </r>
    <r>
      <rPr>
        <rFont val="Arial"/>
        <b/>
        <color rgb="FFFF0000"/>
      </rPr>
      <t>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</si>
  <si>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</si>
  <si>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</si>
  <si>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t xml:space="preserve">Seguro de Vida </t>
    </r>
    <r>
      <rPr/>
      <t>(cláusula 39ª da CCT 2018/2020)</t>
    </r>
    <r>
      <t xml:space="preserve"> </t>
    </r>
    <r>
      <rPr>
        <color rgb="FFFF0000"/>
      </rPr>
      <t>Cálculo do valor: 26 x Rem x 0,023%</t>
    </r>
  </si>
  <si>
    <r>
      <t xml:space="preserve">Auxílio-Funeral   </t>
    </r>
    <r>
      <rPr/>
      <t xml:space="preserve">(cláusula 38ª da CCT 2018/2020) </t>
    </r>
    <r>
      <rPr>
        <color rgb="FFFF0000"/>
      </rPr>
      <t xml:space="preserve"> </t>
    </r>
    <r>
      <rPr>
        <color rgb="FFFF0000"/>
      </rPr>
      <t>Cálculo do valor: (SB x 0,52066%)/12</t>
    </r>
  </si>
  <si>
    <r>
      <t>Outros</t>
    </r>
    <r>
      <rPr/>
      <t xml:space="preserve"> (especificar)</t>
    </r>
  </si>
  <si>
    <t>Quadro-Resumo do Módulo 2 – Encargos e Benefícios Anuais, Mensais e Diários</t>
  </si>
  <si>
    <t>Encargos e Benefícios Anuais, Mensais e Diários</t>
  </si>
  <si>
    <r>
      <t xml:space="preserve">13º (décimo terceiro) Salário </t>
    </r>
    <r>
      <rPr/>
      <t>e Adicional de Férias</t>
    </r>
  </si>
  <si>
    <t>Módulo 3 - Provisão para Rescisão</t>
  </si>
  <si>
    <t>Nota: Conforme o entendimento do TCU no Acórdão no 1.186/2017 - Plenário, a Administração "deve estabelecer na minuta do contrato que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12.506/2011" (Enunciado do Boletim de Jurisprudência no 176/2017).</t>
  </si>
  <si>
    <t>Provisão para Rescisão</t>
  </si>
  <si>
    <r>
      <t xml:space="preserve">Aviso Prévio Indenizado     </t>
    </r>
    <r>
      <rPr>
        <rFont val="Arial"/>
        <b/>
        <color rgb="FFFF0000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</si>
  <si>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</si>
  <si>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Multa do FGTS e contribuições sociais sobre o  Aviso Prévio Indenizado 
</t>
    </r>
    <r>
      <rPr>
        <color rgb="FFFF0000"/>
      </rPr>
      <t>Cálculo do valor = [50%x8%x(Rem1+13º+Férias+1/3xFérias)]x5% de rotatividade</t>
    </r>
  </si>
  <si>
    <r>
      <t xml:space="preserve">Aviso Prévio Trabalhado      </t>
    </r>
    <r>
      <rPr>
        <color rgb="FFFF0000"/>
      </rPr>
      <t xml:space="preserve"> (negociar extinção/redução na 1ª prorrogação)  Cálculo do valor= [(Rem1/30)x7]/</t>
    </r>
    <r>
      <rPr>
        <color rgb="FF0000FF"/>
      </rPr>
      <t>12</t>
    </r>
    <r>
      <rPr>
        <color rgb="FFFF0000"/>
      </rPr>
      <t xml:space="preserve"> meses do contratox100% dos empregados - ao final do contrato  </t>
    </r>
  </si>
  <si>
    <t>Incidência dos encargos  do Submódulo 2.2 sobre o Aviso Prévio Trabalhado</t>
  </si>
  <si>
    <r>
      <t xml:space="preserve">Multa do FGTS e contribuições sociais sobre o Aviso Prévio Trabalhado
</t>
    </r>
    <r>
      <rPr>
        <color rgb="FFFF0000"/>
      </rPr>
      <t>Cálculo do valor = [50%x8%x(Rem1+13º+Férias+1/3xFérias)]x100% dos empregados</t>
    </r>
  </si>
  <si>
    <t>Módulo 4 - Custo de Reposição do Profissional Ausente (por Posto)</t>
  </si>
  <si>
    <t>Nota 1: Os itens que contemplam o módulo 4 se referem ao custo dos dias trabalhados pelos repositores/substitutos que por ventura venham a cobrir os empregados nos casos de Ausências Legais (Submódulo 4.1) e/ou na Intrajornada (Submódulo 4.2) a depender da prestação do serviço, por posto.
Nota 2: Haverá a incidência do Submódulo 2.2 sobre esse módulo.</t>
  </si>
  <si>
    <r>
      <t>Base de cálculo para o Custo de Reposição do Profissional Ausente (substituto): BCCPA = Rem1 + 13º + Férias + 1/3Férias -</t>
    </r>
    <r>
      <rPr>
        <color rgb="FF2323DC"/>
      </rPr>
      <t xml:space="preserve"> (exceto a linha “A” que tem % fixo pela conta vinculada e o Afastamento Maternidade1)</t>
    </r>
    <r>
      <rPr>
        <color rgb="FFFF0000"/>
      </rPr>
      <t xml:space="preserve"> - </t>
    </r>
    <r>
      <rPr>
        <color rgb="FF000000"/>
      </rPr>
      <t>Conforme item 89 do Relatório do Acórdão TCU nº 1.753/2008 do Plenário</t>
    </r>
  </si>
  <si>
    <t>Submódulo 4.1 – Ausências Legais</t>
  </si>
  <si>
    <t>Nota: As alíneas “A” a “F” referem-se somente ao custo que será pago ao repositor pelos dias trabalhados quando da necessidade de substituir a mão de obra alocada na prestação do serviço.</t>
  </si>
  <si>
    <t>4.1</t>
  </si>
  <si>
    <t>Ausências Legais</t>
  </si>
  <si>
    <r>
      <t>Férias</t>
    </r>
    <r>
      <rPr>
        <color rgb="FF009900"/>
      </rPr>
      <t xml:space="preserve">  </t>
    </r>
    <r>
      <rPr>
        <color rgb="FFFF0000"/>
      </rPr>
      <t>Cálculo do valor = BCCPA/12</t>
    </r>
  </si>
  <si>
    <r>
      <t xml:space="preserve">Ausências Legais                               </t>
    </r>
    <r>
      <rPr>
        <rFont val="Arial"/>
        <b/>
        <color rgb="FFFF0000"/>
      </rPr>
      <t>Cálculo do valor = [(</t>
    </r>
    <r>
      <rPr>
        <rFont val="Arial"/>
        <b/>
        <color rgb="FF0000FF"/>
      </rPr>
      <t>BCCPA</t>
    </r>
    <r>
      <rPr>
        <rFont val="Arial"/>
        <b/>
        <color rgb="FFFF0000"/>
      </rPr>
      <t xml:space="preserve">/30)x2,96dias]/12 </t>
    </r>
  </si>
  <si>
    <r>
      <t xml:space="preserve">Licença-Paternidade                     </t>
    </r>
    <r>
      <rPr>
        <rFont val="Arial"/>
        <b/>
        <color rgb="FFFF0000"/>
      </rPr>
      <t>Cálculo do valor = {[(</t>
    </r>
    <r>
      <rPr>
        <rFont val="Arial"/>
        <b/>
        <color rgb="FF0000FF"/>
      </rPr>
      <t>BCCPA</t>
    </r>
    <r>
      <rPr>
        <rFont val="Arial"/>
        <b/>
        <color rgb="FFFF0000"/>
      </rPr>
      <t xml:space="preserve">/30)x5dias]/12}x1,5% </t>
    </r>
  </si>
  <si>
    <r>
      <t xml:space="preserve">Ausência por acidente de trabalho   </t>
    </r>
    <r>
      <rPr>
        <color rgb="FFFF0000"/>
      </rPr>
      <t xml:space="preserve">Cálculo do valor = {[(BCCPA/30)x15dias]/12}x0,78% </t>
    </r>
  </si>
  <si>
    <r>
      <t xml:space="preserve">Afastamento Maternidade      </t>
    </r>
    <r>
      <rPr>
        <rFont val="Arial"/>
        <b/>
        <color rgb="FFFF0000"/>
      </rPr>
      <t>Cálculo do valor = {[(</t>
    </r>
    <r>
      <rPr>
        <rFont val="Arial"/>
        <b/>
        <color rgb="FF0000FF"/>
      </rPr>
      <t>Rem1</t>
    </r>
    <r>
      <rPr>
        <rFont val="Arial"/>
        <b/>
        <color rgb="FFFF0000"/>
      </rPr>
      <t>+1/3x</t>
    </r>
    <r>
      <rPr>
        <rFont val="Arial"/>
        <b/>
        <color rgb="FF0000FF"/>
      </rPr>
      <t>Rem1</t>
    </r>
    <r>
      <rPr>
        <rFont val="Arial"/>
        <b/>
        <color rgb="FFFF0000"/>
      </rPr>
      <t>)/12]x(4/12)}x2%</t>
    </r>
  </si>
  <si>
    <r>
      <t xml:space="preserve">(Outros) </t>
    </r>
    <r>
      <rPr>
        <rFont val="Arial"/>
        <b/>
        <color rgb="FF0000FF"/>
      </rPr>
      <t xml:space="preserve">Ausência por doença (incluído)   </t>
    </r>
    <r>
      <rPr>
        <rFont val="Arial"/>
        <b/>
      </rPr>
      <t xml:space="preserve">      </t>
    </r>
    <r>
      <rPr>
        <rFont val="Arial"/>
        <b/>
        <color rgb="FFFF0000"/>
      </rPr>
      <t>Cálculo do valor = [(</t>
    </r>
    <r>
      <rPr>
        <rFont val="Arial"/>
        <b/>
        <color rgb="FF0000FF"/>
      </rPr>
      <t>BCCPA</t>
    </r>
    <r>
      <rPr>
        <rFont val="Arial"/>
        <b/>
        <color rgb="FFFF0000"/>
      </rPr>
      <t xml:space="preserve">/30)x3dias]/12       </t>
    </r>
  </si>
  <si>
    <t>Subtotal 4.1</t>
  </si>
  <si>
    <t>Incidência dos encargos do Submódulo 2.2 sobre o total do Submódulo 4.1</t>
  </si>
  <si>
    <t>Submódulo 4.2 – Intrajornada</t>
  </si>
  <si>
    <t>Nota: Cotado para custear a necessidade de reposição de um empregado durante sua ausência nos intervalos para repouso ou alimentação. Pode ser substituído pela cotação do adicional Intervalar/Intervalo Intrajornada Indenizado, no módulo 1, "C", conforme  art. 69ª da CCT 2018.</t>
  </si>
  <si>
    <t xml:space="preserve">4.2 </t>
  </si>
  <si>
    <t>Intrajornada</t>
  </si>
  <si>
    <r>
      <t>Intervalo para repouso ou alimentação -</t>
    </r>
    <r>
      <rPr>
        <color rgb="FFFF0000"/>
      </rPr>
      <t xml:space="preserve"> Cálculo do valor: Salário-Base: [VSH (c/peri) x  1h/dia x 30 dias x 1,2 RSR] </t>
    </r>
  </si>
  <si>
    <r>
      <t xml:space="preserve">A.1 13 (décimo terceiro) Salário e Adicional de Férias do Substituto </t>
    </r>
    <r>
      <rPr>
        <color rgb="FFFF0000"/>
      </rPr>
      <t>– Cálculo do valor: Rem/12 + Rem/12 + (Rem/3)/12</t>
    </r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</si>
  <si>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</si>
  <si>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</si>
  <si>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</si>
  <si>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</si>
  <si>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</si>
  <si>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 xml:space="preserve">Nota: Valores mensais por Posto. </t>
  </si>
  <si>
    <t>Insumos Diversos</t>
  </si>
  <si>
    <r>
      <t xml:space="preserve">Uniformes  </t>
    </r>
    <r>
      <rPr>
        <color rgb="FF0000FF"/>
      </rPr>
      <t xml:space="preserve">Cotados 2 conjuntos de uniformes (para os 2 vigilantes titulares do posto) </t>
    </r>
    <r>
      <rPr/>
      <t xml:space="preserve"> </t>
    </r>
    <r>
      <rPr>
        <color rgb="FFFF0000"/>
      </rPr>
      <t>Cálculo do valor: (total do cjt de uniforme x 2 vigilantes) / 12 meses</t>
    </r>
  </si>
  <si>
    <r>
      <t xml:space="preserve">Materiais / Equipamentos </t>
    </r>
    <r>
      <rPr>
        <color rgb="FF0000FF"/>
      </rPr>
      <t>Cotados por Posto de trabalho (compartilhados entre os 2 vigilantes do posto)</t>
    </r>
    <r>
      <rPr>
        <color rgb="FFFF0000"/>
      </rPr>
      <t xml:space="preserve"> Cálculo do valor: total do cjt de equipamentos / 12 meses</t>
    </r>
  </si>
  <si>
    <t xml:space="preserve">Total </t>
  </si>
  <si>
    <t>Módulo 6 - Custos Indiretos, Lucro e Tributos</t>
  </si>
  <si>
    <t>Nota 1: Custos Indiretos, Lucro e Tributos por empregado.
Nota 2: O valor referente a tributos é obtido aplicando-se o percentual sobre o valor do faturamento.</t>
  </si>
  <si>
    <t xml:space="preserve">Custos Indiretos, Lucro e Tributos </t>
  </si>
  <si>
    <t>BASE DE CÁLCULO DOS CUSTOS INDIRETOS  =  (Total do Módulo 1–Composição da  Remuneração2 + Total do Módulo 2– Encargos e Benefícios Anuais, Mensais e Diários + Total do Módulo 3–Provisão da Rescisão + Total do Módulo 4–Custo de Reposição do Profissional Ausente + Total do Módulo 5–Insumos Diversos)</t>
  </si>
  <si>
    <t>Custos Indiretos</t>
  </si>
  <si>
    <t>BASE DE CÁLCULO DO LUCRO = (Total do Módulo 1–Composição da  Remuneração2 + Total do Módulo 2– Encargos e Benefícios Anuais, Mensais e Diários + Total do Módulo 3–Provisão da Rescisão + Total do Módulo 4–Custo de Reposição do Profissional Ausente + Total do Módulo 5–Insumos Diversos + Custos Indiretos)</t>
  </si>
  <si>
    <t>Lucro</t>
  </si>
  <si>
    <t>BASE DE CÁLCULO DOS TRIBUTOS = (Total do Módulo 1–Composição da  Remuneração2 + Total do Módulo 2– Encargos e Benefícios Anuais, Mensais e Diários + Total do Módulo 3–Provisão da Rescisão + Total do Módulo 4–Custo de Reposição do Profissional Ausente + Total do Módulo 5–Insumos Diversos + Custos Indiretos + Lucro)</t>
  </si>
  <si>
    <t>Tributos</t>
  </si>
  <si>
    <t>C.1    Tributos federais (especificar)</t>
  </si>
  <si>
    <r>
      <t xml:space="preserve">  </t>
    </r>
    <r>
      <rPr>
        <rFont val="Arial"/>
        <b/>
      </rPr>
      <t xml:space="preserve">a) Cofins </t>
    </r>
    <r>
      <rPr>
        <rFont val="Arial"/>
        <color rgb="FFFF0000"/>
      </rPr>
      <t>(depende do regime de tributação - utilizada a hipótese de Lucro Real ou Presumido)</t>
    </r>
  </si>
  <si>
    <r>
      <t xml:space="preserve">  </t>
    </r>
    <r>
      <rPr>
        <rFont val="Arial"/>
        <b/>
      </rPr>
      <t xml:space="preserve">b) PIS       </t>
    </r>
    <r>
      <rPr>
        <rFont val="Arial"/>
        <color rgb="FFFF0000"/>
      </rPr>
      <t>(depende do regime de tributação - utilizada a hipótese de Lucro Real ou Presumido)</t>
    </r>
  </si>
  <si>
    <r>
      <t xml:space="preserve"> c) IRPJ</t>
    </r>
    <r>
      <rPr>
        <rFont val="Arial"/>
        <b/>
        <color rgb="FF0000FF"/>
      </rPr>
      <t xml:space="preserve"> </t>
    </r>
    <r>
      <rPr>
        <rFont val="Arial"/>
        <b/>
        <color rgb="FF0000CC"/>
      </rPr>
      <t>- Em face dos Acórdãos TCU nºs 950/2007-P e 205/2018-P, o licitante não pode cotar expressamente este tributo.</t>
    </r>
  </si>
  <si>
    <r>
      <t xml:space="preserve"> d) CSLL </t>
    </r>
    <r>
      <rPr>
        <rFont val="Arial"/>
        <b/>
        <color rgb="FF0000CC"/>
      </rPr>
      <t>-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</si>
  <si>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</si>
  <si>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</si>
  <si>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a) ISS             </t>
    </r>
    <r>
      <rPr>
        <rFont val="Arial"/>
        <b/>
        <color rgb="FFFF0000"/>
      </rPr>
      <t>(Decreto Municipal POA nº 15.416/2006 - art. 96, § 1º, inc. II)</t>
    </r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</si>
  <si>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</si>
  <si>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</si>
  <si>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</si>
  <si>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</si>
  <si>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</si>
  <si>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2. QUADRO-RESUMO DO CUSTO POR POSTO DE TRABALHO</t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</si>
  <si>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</si>
  <si>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</si>
  <si>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</si>
  <si>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</si>
  <si>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</si>
  <si>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– Insumos Diversos </t>
  </si>
  <si>
    <t>Subtotal (A + B + C + D + E)</t>
  </si>
  <si>
    <t>Valor Total por Posto</t>
  </si>
  <si>
    <t>VIGILÂNCIA 12 x 36 NOTURNA - Lucro Real e Presumido</t>
  </si>
  <si>
    <t>12 x 36 horas noturnas - de segunda-feira a domingo</t>
  </si>
  <si>
    <r>
      <t xml:space="preserve">Valor do salárioxhora sem periculosidade - 
</t>
    </r>
    <r>
      <rPr>
        <rFont val="Arial"/>
        <b/>
        <color rgb="FF0000FF"/>
      </rPr>
      <t>VSH (s/peri) = (Valor do salário normativo / 220 h)</t>
    </r>
  </si>
  <si>
    <r>
      <t xml:space="preserve">Valor da hora extra sem periculosidade com 50% 
</t>
    </r>
    <r>
      <rPr>
        <rFont val="Arial"/>
        <b/>
        <color rgb="FF0000FF"/>
      </rPr>
      <t>HE (s/peri) = valor da hora + 50%</t>
    </r>
  </si>
  <si>
    <r>
      <t xml:space="preserve">Valor da hora do adicional noturno sem periculosidade
</t>
    </r>
    <r>
      <rPr>
        <rFont val="Arial"/>
        <b/>
        <color rgb="FF0000FF"/>
      </rPr>
      <t>AN (s/peri) =</t>
    </r>
    <r>
      <rPr>
        <rFont val="Arial"/>
        <b/>
        <color rgb="FFFF0000"/>
      </rPr>
      <t xml:space="preserve"> </t>
    </r>
    <r>
      <rPr>
        <rFont val="Arial"/>
        <b/>
        <color rgb="FF0000FF"/>
      </rPr>
      <t>valor da hora x 20%</t>
    </r>
  </si>
  <si>
    <r>
      <t xml:space="preserve">Salário-Base            </t>
    </r>
    <r>
      <rPr>
        <rFont val="Arial"/>
        <b/>
        <color rgb="FFFF0000"/>
      </rPr>
      <t xml:space="preserve"> (valor para 2 vigilantes = 1 posto) </t>
    </r>
  </si>
  <si>
    <r>
      <t xml:space="preserve">Adicional Noturno  sobre: 1) 7h de 60min p/dia + 2) 1,0 h reduzida noturna p/dia para o RS  </t>
    </r>
    <r>
      <rPr>
        <rFont val="Arial"/>
        <b/>
        <color rgb="FFFF0000"/>
      </rPr>
      <t xml:space="preserve">Cálculo do valor: AN (s/peri) x </t>
    </r>
    <r>
      <rPr>
        <rFont val="Arial"/>
        <b/>
        <color rgb="FF2300DC"/>
      </rPr>
      <t>8h(7h x 1,1428571)</t>
    </r>
    <r>
      <rPr>
        <rFont val="Arial"/>
        <b/>
        <color rgb="FFFF0000"/>
      </rPr>
      <t xml:space="preserve">x15dx2vig. </t>
    </r>
    <r>
      <rPr>
        <rFont val="Arial"/>
        <b/>
        <color rgb="FF0000FF"/>
      </rPr>
      <t>Das 22h às 5h</t>
    </r>
  </si>
  <si>
    <r>
      <t>Adicional de Hora Noturna Reduzida</t>
    </r>
    <r>
      <rPr>
        <rFont val="Arial"/>
        <b/>
        <color rgb="FFFF0000"/>
      </rPr>
      <t xml:space="preserve"> (Hora Reduzida Noturna como Extra) </t>
    </r>
    <r>
      <rPr>
        <rFont val="Arial"/>
        <b/>
        <color rgb="FF0000FF"/>
      </rPr>
      <t xml:space="preserve">(HRN que excedeu de 190,67h) </t>
    </r>
    <r>
      <rPr>
        <rFont val="Arial"/>
        <b/>
        <color rgb="FFFF0000"/>
      </rPr>
      <t xml:space="preserve">Cálculo do valor: HE (s/peri) x </t>
    </r>
    <r>
      <rPr>
        <rFont val="Arial"/>
        <b/>
        <color rgb="FF0000FF"/>
      </rPr>
      <t>4,33 h</t>
    </r>
    <r>
      <rPr>
        <rFont val="Arial"/>
        <b/>
        <color rgb="FFFF0000"/>
      </rPr>
      <t xml:space="preserve"> x 2 vig.)  ---   [195h (=180h + </t>
    </r>
    <r>
      <rPr>
        <rFont val="Arial"/>
        <b/>
        <color rgb="FF0000FF"/>
      </rPr>
      <t>15h</t>
    </r>
    <r>
      <rPr>
        <rFont val="Arial"/>
        <b/>
        <color rgb="FFFF0000"/>
      </rPr>
      <t xml:space="preserve">) - 190,67 = </t>
    </r>
    <r>
      <rPr>
        <rFont val="Arial"/>
        <b/>
        <color rgb="FF0000FF"/>
      </rPr>
      <t>4,33h</t>
    </r>
    <r>
      <rPr>
        <rFont val="Arial"/>
        <b/>
        <color rgb="FFFF0000"/>
      </rPr>
      <t xml:space="preserve"> como horas extras, sendo  </t>
    </r>
    <r>
      <rPr>
        <rFont val="Arial"/>
        <b/>
        <color rgb="FF0000FF"/>
      </rPr>
      <t>15</t>
    </r>
    <r>
      <rPr>
        <rFont val="Arial"/>
        <b/>
        <color rgb="FFFF0000"/>
      </rPr>
      <t xml:space="preserve"> = (7hx1,1428571 – 9h) </t>
    </r>
    <r>
      <rPr>
        <rFont val="Arial"/>
        <b/>
        <color rgb="FF0000FF"/>
      </rPr>
      <t>Das 22h às 5h</t>
    </r>
  </si>
  <si>
    <r>
      <rPr>
        <b/>
      </rPr>
      <t xml:space="preserve">RSR (Repouso Semanal Remunerado) </t>
    </r>
    <r>
      <rPr>
        <color rgb="FFFF0000"/>
      </rPr>
      <t xml:space="preserve">Cálculo do valor: 20% sobre os adicionais pertinentes  </t>
    </r>
    <r>
      <rPr>
        <b/>
      </rPr>
      <t>- cláusula 70ª da CCT 2018/2020</t>
    </r>
  </si>
  <si>
    <r>
      <t>Adicional de Periculosidade</t>
    </r>
    <r>
      <rPr>
        <color rgb="FFFF0000"/>
      </rPr>
      <t xml:space="preserve"> (Lei nº 12.740/2012)    (30% das rubricas pertinentes)  </t>
    </r>
    <r>
      <rPr/>
      <t xml:space="preserve">cláusula 30ª da CCT 2018/2020 </t>
    </r>
  </si>
  <si>
    <t xml:space="preserve">Outros (especificar)                      </t>
  </si>
  <si>
    <r>
      <t xml:space="preserve">Remuneração 1 </t>
    </r>
    <r>
      <rPr/>
      <t>(parcela da remuneração sobre a qual incidem INSS + FGTS + Férias + 13º, etc.)</t>
    </r>
    <r>
      <t xml:space="preserve"> = </t>
    </r>
  </si>
  <si>
    <r>
      <t xml:space="preserve">Intervalo Intrajornada (Adicional de Intervalo)  </t>
    </r>
    <r>
      <rPr>
        <color rgb="FFFF0000"/>
      </rPr>
      <t xml:space="preserve">Cálculo do valor: HE (s/peri) x 15d x2vigx0,5h) </t>
    </r>
    <r>
      <t>- cláusula 69ª da CCT 2018/2020</t>
    </r>
  </si>
  <si>
    <r>
      <t xml:space="preserve">Adicional de Troca de Uniforme -  </t>
    </r>
    <r>
      <rPr>
        <color rgb="FFFF0000"/>
      </rPr>
      <t xml:space="preserve">Cálculo do valor: 1/6 do salário x hora por dia = (VSH/6=1,10)x2x15 = R$ 1,10x2x15 </t>
    </r>
    <r>
      <rPr/>
      <t xml:space="preserve"> cláusula 32ª da CCT 2018/2020 </t>
    </r>
  </si>
  <si>
    <r>
      <t xml:space="preserve">Total da Remuneração de verbas de natureza indenizatória, nas quais não incidem INSS, FGTS, Férias, 13º, etc. - </t>
    </r>
    <r>
      <rPr>
        <rFont val="Arial"/>
        <b/>
        <color rgb="FF0000FF"/>
      </rPr>
      <t>Valor entra nos seguintes cálculos: Item 2, "A" - Quadro-Resumo do Custo por Posto de Trabalho, Custos Indiretos, Lucro e Tributos.</t>
    </r>
  </si>
  <si>
    <r>
      <t xml:space="preserve">Remuneração 2 </t>
    </r>
    <r>
      <rPr/>
      <t>(total da remuneração paga aos 2 empregados locados no posto)</t>
    </r>
    <r>
      <t xml:space="preserve"> =</t>
    </r>
  </si>
  <si>
    <r>
      <t>13º (décimo terceiro) Salário</t>
    </r>
    <r>
      <rPr>
        <rFont val="Arial"/>
        <b/>
        <color rgb="FF000000"/>
      </rPr>
      <t xml:space="preserve"> </t>
    </r>
    <r>
      <rPr>
        <rFont val="Arial"/>
        <b/>
        <color rgb="FFFF0000"/>
      </rPr>
      <t>Obrigatória a cotação de 8,33% sobre o valor do Módulo 1 – Composição da Remuneração1, conforme Anexo XII da IN 5/17</t>
    </r>
  </si>
  <si>
    <r>
      <rPr>
        <color rgb="FF000000"/>
      </rPr>
      <t>Adicional de Férias</t>
    </r>
    <r>
      <rPr>
        <color rgb="FF009900"/>
      </rPr>
      <t xml:space="preserve"> </t>
    </r>
    <r>
      <rPr/>
      <t>Obrigatória a cotação de 3,025% sobre o valor do Módulo 1 – Composição da Remuneração1, conforme Anexo XII da IN 5/17 (Férias + Adicional = 9,075% + 3,025% = 12,10%)</t>
    </r>
  </si>
  <si>
    <r>
      <t xml:space="preserve">Submódulo 2.2 - Encargos Previdenciários (GPS), Fundo de Garantia por Tempo de Serviço (FGTS) e outras contribuições  </t>
    </r>
    <r>
      <rPr>
        <rFont val="Arial"/>
        <b/>
        <color rgb="FF0000FF"/>
      </rPr>
      <t>(Base de Cálculo = Módulo 1 (Rem1) + Submódulo 2.1)</t>
    </r>
  </si>
  <si>
    <r>
      <t xml:space="preserve">RAT x FAP 
</t>
    </r>
    <r>
      <rPr>
        <rFont val="Arial"/>
        <b/>
        <color rgb="FFFF0000"/>
      </rPr>
      <t>Cálculo do valor: % do RAT x FAP (Fator Acidentário de Prevenção de cada empresa)</t>
    </r>
  </si>
  <si>
    <r>
      <t xml:space="preserve">Benefícios Mensais e Diários - </t>
    </r>
    <r>
      <rPr>
        <color rgb="FFFF0000"/>
      </rPr>
      <t>para 2 vigilantes (1 posto)</t>
    </r>
  </si>
  <si>
    <r>
      <t xml:space="preserve">Transporte      </t>
    </r>
    <r>
      <rPr>
        <color rgb="FFFF0000"/>
      </rPr>
      <t>Cálculo do valor = [(2xVTx30) – (6%xSBx2)]</t>
    </r>
  </si>
  <si>
    <r>
      <t xml:space="preserve">     </t>
    </r>
    <r>
      <rPr>
        <rFont val="Arial"/>
        <b/>
        <color rgb="FFFF0000"/>
      </rPr>
      <t>A.1)  Valor da passagem do transporte coletivo no município de
                prestação dos serviços</t>
    </r>
  </si>
  <si>
    <r>
      <t xml:space="preserve">     </t>
    </r>
    <r>
      <rPr>
        <rFont val="Arial"/>
        <b/>
        <color rgb="FFFF0000"/>
      </rPr>
      <t>A.2) Quantidade de passagens por dia por empregado</t>
    </r>
  </si>
  <si>
    <r>
      <t xml:space="preserve">     A.4) Participação do empregado em percentual do salário-base </t>
    </r>
    <r>
      <rPr>
        <color rgb="FF000000"/>
      </rPr>
      <t>(cláusula 35ª da CCT 2018-2020)</t>
    </r>
  </si>
  <si>
    <r>
      <t xml:space="preserve">Auxílio-Refeição/Alimentação  </t>
    </r>
    <r>
      <rPr>
        <rFont val="Arial"/>
        <b/>
        <color rgb="FFFF0000"/>
      </rPr>
      <t>Cálculo do valor = [(30xVA)x(1-0,20)]</t>
    </r>
  </si>
  <si>
    <r>
      <rPr>
        <color rgb="FFFF0000"/>
      </rPr>
      <t xml:space="preserve">      </t>
    </r>
    <r>
      <rPr>
        <color rgb="FFFF0000"/>
      </rPr>
      <t>B.1) Valor do Auxílio-Alimentação</t>
    </r>
    <r>
      <rPr/>
      <t xml:space="preserve">  </t>
    </r>
    <r>
      <rPr/>
      <t>(cláusula 34ª da CCT 2018/2020)</t>
    </r>
  </si>
  <si>
    <r>
      <t xml:space="preserve">     </t>
    </r>
    <r>
      <rPr>
        <rFont val="Arial"/>
        <b/>
        <color rgb="FFFF0000"/>
      </rPr>
      <t>B.2) Quantidade de dias do mês de recebimento de auxílio-alimentação</t>
    </r>
  </si>
  <si>
    <r>
      <t xml:space="preserve">Seguro de Vida </t>
    </r>
    <r>
      <rPr/>
      <t>(cláusula 39ª da CCT 2018/2020)</t>
    </r>
    <r>
      <t xml:space="preserve"> </t>
    </r>
    <r>
      <rPr>
        <color rgb="FFFF0000"/>
      </rPr>
      <t>Cálculo do valor: 26 x Rem x 0,023%</t>
    </r>
  </si>
  <si>
    <r>
      <t xml:space="preserve">Auxílio-Funeral   </t>
    </r>
    <r>
      <rPr/>
      <t xml:space="preserve">(cláusula 38ª da CCT 2018/2020) </t>
    </r>
    <r>
      <rPr>
        <color rgb="FFFF0000"/>
      </rPr>
      <t xml:space="preserve"> </t>
    </r>
    <r>
      <rPr>
        <color rgb="FFFF0000"/>
      </rPr>
      <t>Cálculo do valor: (SB x 0,52066%)/12</t>
    </r>
  </si>
  <si>
    <t>Outros (especificar)</t>
  </si>
  <si>
    <t>Quadro-Resumo do Módulo 2 – Encargos e Benefícios Anuais, Mensais e Diários (por Posto)</t>
  </si>
  <si>
    <r>
      <t xml:space="preserve">13º (décimo terceiro) Salário </t>
    </r>
    <r>
      <rPr/>
      <t>e Adicional de Férias</t>
    </r>
  </si>
  <si>
    <t>Módulo 3 - Provisão para Rescisão (por Posto)</t>
  </si>
  <si>
    <r>
      <t xml:space="preserve">Aviso Prévio Indenizado     </t>
    </r>
    <r>
      <rPr>
        <rFont val="Arial"/>
        <b/>
        <color rgb="FFFF0000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</si>
  <si>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Multa do FGTS e contribuições sociais sobre o  Aviso Prévio Indenizado 
</t>
    </r>
    <r>
      <rPr>
        <color rgb="FFFF0000"/>
      </rPr>
      <t>Cálculo do valor = [50%x8%x(Rem1+13º+Férias+1/3xFérias)]x5% de rotatividade</t>
    </r>
  </si>
  <si>
    <r>
      <t xml:space="preserve">Aviso Prévio Trabalhado       </t>
    </r>
    <r>
      <rPr>
        <color rgb="FFFF0000"/>
      </rPr>
      <t>(negociar extinção/redução na 1ª prorrogação)  Cálculo do valor= [(Rem1/30)x7]/</t>
    </r>
    <r>
      <rPr>
        <color rgb="FF0000FF"/>
      </rPr>
      <t xml:space="preserve">12 </t>
    </r>
    <r>
      <rPr>
        <color rgb="FFFF0000"/>
      </rPr>
      <t xml:space="preserve">meses do contratox100% dos empregados - ao final do contrato </t>
    </r>
    <r>
      <t xml:space="preserve"> </t>
    </r>
  </si>
  <si>
    <r>
      <t xml:space="preserve">Multa do FGTS e contribuições sociais sobre o Aviso Prévio Trabalhado
</t>
    </r>
    <r>
      <rPr>
        <color rgb="FFFF0000"/>
      </rPr>
      <t>Cálculo do valor = [50%x8%x(Rem1+13º+Férias+1/3xFérias)]x100% dos empregados</t>
    </r>
  </si>
  <si>
    <t>TOTAL</t>
  </si>
  <si>
    <r>
      <t>Base de cálculo para o Custo de Reposição do Profissional Ausente (substituto): BCCPA = Rem1 + 13º + Férias + 1/3Férias -</t>
    </r>
    <r>
      <rPr>
        <color rgb="FF2323DC"/>
      </rPr>
      <t xml:space="preserve"> (exceto a linha “A” que tem % fixo pela conta vinculada e o Afastamento Maternidade1)</t>
    </r>
    <r>
      <rPr>
        <color rgb="FFFF0000"/>
      </rPr>
      <t xml:space="preserve"> - </t>
    </r>
    <r>
      <rPr>
        <color rgb="FF000000"/>
      </rPr>
      <t>Conforme item 89 do Relatório do Acórdão TCU nº 1.753/2008 do Plenário</t>
    </r>
  </si>
  <si>
    <r>
      <t>Férias</t>
    </r>
    <r>
      <rPr>
        <rFont val="Arial"/>
        <b/>
        <color rgb="FF009900"/>
      </rPr>
      <t xml:space="preserve"> </t>
    </r>
    <r>
      <rPr>
        <rFont val="Arial"/>
        <b/>
        <color rgb="FFFF0000"/>
      </rPr>
      <t>Obrigatória a cotação de 9,0755% sobre o valor do Módulo 1 – Composição da Remuneração, conforme Anexo XII da IN 5/17 (Férias + Adicional = 9,075% + 3,025% = 12,10%)</t>
    </r>
  </si>
  <si>
    <r>
      <t xml:space="preserve">Ausências Legais                               </t>
    </r>
    <r>
      <rPr>
        <rFont val="Arial"/>
        <b/>
        <color rgb="FFFF0000"/>
      </rPr>
      <t>Cálculo do valor = [(</t>
    </r>
    <r>
      <rPr>
        <rFont val="Arial"/>
        <b/>
        <color rgb="FF0000FF"/>
      </rPr>
      <t>BCCPA</t>
    </r>
    <r>
      <rPr>
        <rFont val="Arial"/>
        <b/>
        <color rgb="FFFF0000"/>
      </rPr>
      <t xml:space="preserve">/30)x2,96dias]/12 </t>
    </r>
  </si>
  <si>
    <r>
      <t xml:space="preserve">Licença-Paternidade                     </t>
    </r>
    <r>
      <rPr>
        <rFont val="Arial"/>
        <b/>
        <color rgb="FFFF0000"/>
      </rPr>
      <t>Cálculo do valor = {[(</t>
    </r>
    <r>
      <rPr>
        <rFont val="Arial"/>
        <b/>
        <color rgb="FF0000FF"/>
      </rPr>
      <t>BCCPA</t>
    </r>
    <r>
      <rPr>
        <rFont val="Arial"/>
        <b/>
        <color rgb="FFFF0000"/>
      </rPr>
      <t xml:space="preserve">/30)x5dias]/12}x1,5% </t>
    </r>
  </si>
  <si>
    <r>
      <t xml:space="preserve">Ausência por acidente de trabalho   </t>
    </r>
    <r>
      <rPr>
        <color rgb="FFFF0000"/>
      </rPr>
      <t xml:space="preserve">Cálculo do valor = {[(BCCPA/30)x15dias]/12}x0,78% </t>
    </r>
  </si>
  <si>
    <r>
      <t xml:space="preserve">Afastamento Maternidade      </t>
    </r>
    <r>
      <rPr>
        <rFont val="Arial"/>
        <b/>
        <color rgb="FFFF0000"/>
      </rPr>
      <t>Cálculo do valor = {[(</t>
    </r>
    <r>
      <rPr>
        <rFont val="Arial"/>
        <b/>
        <color rgb="FF0000FF"/>
      </rPr>
      <t>Rem1</t>
    </r>
    <r>
      <rPr>
        <rFont val="Arial"/>
        <b/>
        <color rgb="FFFF0000"/>
      </rPr>
      <t>+1/3x</t>
    </r>
    <r>
      <rPr>
        <rFont val="Arial"/>
        <b/>
        <color rgb="FF0000FF"/>
      </rPr>
      <t>Rem1</t>
    </r>
    <r>
      <rPr>
        <rFont val="Arial"/>
        <b/>
        <color rgb="FFFF0000"/>
      </rPr>
      <t>)/12]x(4/12)}x2%</t>
    </r>
  </si>
  <si>
    <r>
      <t xml:space="preserve">(Outros) </t>
    </r>
    <r>
      <rPr>
        <rFont val="Arial"/>
        <b/>
        <color rgb="FF0000FF"/>
      </rPr>
      <t xml:space="preserve">Ausência por doença (incluído)   </t>
    </r>
    <r>
      <rPr>
        <rFont val="Arial"/>
        <b/>
      </rPr>
      <t xml:space="preserve">      </t>
    </r>
    <r>
      <rPr>
        <rFont val="Arial"/>
        <b/>
        <color rgb="FFFF0000"/>
      </rPr>
      <t>Cálculo do valor = [(</t>
    </r>
    <r>
      <rPr>
        <rFont val="Arial"/>
        <b/>
        <color rgb="FF0000FF"/>
      </rPr>
      <t>BCCPA</t>
    </r>
    <r>
      <rPr>
        <rFont val="Arial"/>
        <b/>
        <color rgb="FFFF0000"/>
      </rPr>
      <t xml:space="preserve">/30)x3dias]/12       </t>
    </r>
  </si>
  <si>
    <t>Incidência dos encargos do Submódulo 2.2 sobre o subtotal do Submódulo 4.1</t>
  </si>
  <si>
    <r>
      <t>Intervalo para repouso ou alimentação</t>
    </r>
    <r>
      <rPr>
        <color rgb="FF0000FF"/>
      </rPr>
      <t xml:space="preserve"> </t>
    </r>
    <r>
      <rPr>
        <color rgb="FFFF0000"/>
      </rPr>
      <t xml:space="preserve">- Cálculo do valor: </t>
    </r>
    <r>
      <rPr>
        <color rgb="FF0000FF"/>
      </rPr>
      <t>Salário-Base:</t>
    </r>
    <r>
      <rPr>
        <color rgb="FFFF0000"/>
      </rPr>
      <t xml:space="preserve"> [VSH (c/peri) x  1h/dia x 30 dias x 1,2 RSR] </t>
    </r>
  </si>
  <si>
    <r>
      <t xml:space="preserve">A.1 13 (décimo terceiro) Salário e Adicional de Férias do substituto </t>
    </r>
    <r>
      <rPr>
        <color rgb="FFFF0000"/>
      </rPr>
      <t>– Cálculo do valor: Rem/12 + Rem/12 + (Rem/3)/12</t>
    </r>
  </si>
  <si>
    <t>Subtotal</t>
  </si>
  <si>
    <t>Incidência dos encargos do Submódulo 2.2 sobre o subtotal do Submódulo 4.2</t>
  </si>
  <si>
    <t>Nota: Valores mensais por posto.</t>
  </si>
  <si>
    <r>
      <t xml:space="preserve">Uniformes  </t>
    </r>
    <r>
      <rPr>
        <color rgb="FF0000FF"/>
      </rPr>
      <t xml:space="preserve">Cotados 2 conjuntos de uniformes (para os 2 vigilantes titulares do posto) </t>
    </r>
    <r>
      <rPr/>
      <t xml:space="preserve"> </t>
    </r>
    <r>
      <rPr>
        <color rgb="FFFF0000"/>
      </rPr>
      <t>Cálculo do valor: (total do cjt de uniforme x 2 vigilantes) / 12 meses</t>
    </r>
  </si>
  <si>
    <r>
      <t xml:space="preserve">Materiais / Equipamentos </t>
    </r>
    <r>
      <rPr>
        <color rgb="FF0000FF"/>
      </rPr>
      <t>Cotados por Posto de trabalho (compartilhados entre os 2 vigilantes do posto)</t>
    </r>
    <r>
      <rPr>
        <color rgb="FFFF0000"/>
      </rPr>
      <t xml:space="preserve"> Cálculo do valor: total do cjt de equipamentos / 12 meses</t>
    </r>
  </si>
  <si>
    <r>
      <t xml:space="preserve">  </t>
    </r>
    <r>
      <rPr>
        <b/>
      </rPr>
      <t xml:space="preserve">a) Cofins </t>
    </r>
    <r>
      <rPr>
        <b/>
        <color rgb="FFFF0000"/>
      </rPr>
      <t>(depende do regime de tributação - utilizada a hipótese de Lucro Real ou Presumido)</t>
    </r>
  </si>
  <si>
    <r>
      <rPr>
        <b/>
      </rPr>
      <t xml:space="preserve">  b) PIS </t>
    </r>
    <r>
      <rPr>
        <b/>
        <color rgb="FFFF0000"/>
      </rPr>
      <t>(depende do regime de tributação - utilizada a hipótese de Lucro Real ou Presumido)</t>
    </r>
  </si>
  <si>
    <r>
      <t xml:space="preserve"> c) IRPJ</t>
    </r>
    <r>
      <rPr>
        <rFont val="Arial"/>
        <b/>
        <color rgb="FF0000FF"/>
      </rPr>
      <t xml:space="preserve"> </t>
    </r>
    <r>
      <rPr>
        <rFont val="Arial"/>
        <b/>
        <color rgb="FF0000CC"/>
      </rPr>
      <t>-</t>
    </r>
    <r>
      <rPr>
        <rFont val="Arial"/>
        <b/>
        <color rgb="FF0000CC"/>
      </rPr>
      <t xml:space="preserve">  Em face dos Acórdãos TCU nºs 950/2007-P e 205/2018-P, o licitante não pode cotar expressamente este tributo.</t>
    </r>
  </si>
  <si>
    <r>
      <t xml:space="preserve"> d) CSLL </t>
    </r>
    <r>
      <rPr>
        <rFont val="Arial"/>
        <b/>
        <color rgb="FF0000CC"/>
      </rPr>
      <t xml:space="preserve">- </t>
    </r>
    <r>
      <rPr>
        <rFont val="Arial"/>
        <b/>
        <color rgb="FF0000CC"/>
      </rPr>
      <t xml:space="preserve"> Em face dos Acórdãos TCU nºs 950/2007-P e 205/2018-P, o licitante não pode cotar expressamente este tributo.</t>
    </r>
  </si>
  <si>
    <r>
      <t xml:space="preserve">  a) ISS             </t>
    </r>
    <r>
      <rPr>
        <rFont val="Arial"/>
        <b/>
        <color rgb="FFFF0000"/>
      </rPr>
      <t>(Decreto Municipal POA nº 15.416/2006 - art. 96, § 1º, inc. II)</t>
    </r>
  </si>
  <si>
    <t>O complemento abaixo é uma planilha auxiliar que consolida as várias planilhas com os diferentes tipos de postos contratados.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</si>
  <si>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</si>
  <si>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</si>
  <si>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</si>
  <si>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</si>
  <si>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</si>
  <si>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 xml:space="preserve">12 (doze) horas diurnas, de segunda-feira a domingo, envolvendo 2 (dois) vigilantes em turnos de  12 (doze) por 36 (trinta e seis) horas </t>
  </si>
  <si>
    <t xml:space="preserve">12 (doze) horas noturnas, de segunda-feira a domingo, envolvendo 2 (dois) vigilantes em turnos de  12 (doze) por 36 (trinta e seis) horas </t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</si>
  <si>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</si>
  <si>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</si>
  <si>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</si>
  <si>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</si>
  <si>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t xml:space="preserve">Valor global da proposta </t>
    </r>
    <r>
      <rPr>
        <rFont val="Arial"/>
        <b/>
      </rPr>
      <t>(valor mensal do serviço x nº de meses do contrato)</t>
    </r>
  </si>
  <si>
    <t>QUANTIDADE DE PESSOAL ALOCADO NA EXECUÇÃO CONTRATUAL (item 6.2.e do Anexo VII da IN nº 5/2017 e itens 9 e 10 do Termo de Referência)</t>
  </si>
  <si>
    <t>Tipo de Mão de Obra</t>
  </si>
  <si>
    <t>Quantidade de Pessoal</t>
  </si>
  <si>
    <t>Vigilante (CBO 5173-30)</t>
  </si>
  <si>
    <t>MATERIAIS, MÁQUINAS E EQUIPAMENTOS ALOCADOS NA EXECUÇÃO CONTRATUAL (item 6.2.f do Anexo VII da IN nº 5/2017 e Termo de Referência.)</t>
  </si>
  <si>
    <t>Especificação dos Materiais/Máquinas/Equipamentos</t>
  </si>
  <si>
    <t>Vida Útil</t>
  </si>
  <si>
    <t>Qtd</t>
  </si>
  <si>
    <t>Preço Un.</t>
  </si>
  <si>
    <t>Custo Anual - p/ Item</t>
  </si>
  <si>
    <t>Total Global Anual</t>
  </si>
  <si>
    <r>
      <t xml:space="preserve">Conjunto Uniforme </t>
    </r>
    <r>
      <rPr/>
      <t>(quantidade suficiente para 1 empregado, a ser renovado anualmente ou conforme necessidade)</t>
    </r>
  </si>
  <si>
    <t>Calça Social</t>
  </si>
  <si>
    <t>Camisa social manga longa</t>
  </si>
  <si>
    <t>Camisa social de manga curta</t>
  </si>
  <si>
    <t>Sapato profissional</t>
  </si>
  <si>
    <t>Meias</t>
  </si>
  <si>
    <t>Blusão/Suéter/Pullover</t>
  </si>
  <si>
    <t>Casaco/Jaqueta</t>
  </si>
  <si>
    <t>Cinto tático</t>
  </si>
  <si>
    <t>Boné</t>
  </si>
  <si>
    <t xml:space="preserve">Plaqueta (crachá funcional) </t>
  </si>
  <si>
    <t>Distintivo</t>
  </si>
  <si>
    <t>Apito com cordão</t>
  </si>
  <si>
    <r>
      <rPr>
        <b/>
      </rPr>
      <t>Conjunto de Equipamentos</t>
    </r>
    <r>
      <t xml:space="preserve"> (por posto de trabalho, renovado anualmente)</t>
    </r>
  </si>
  <si>
    <t>Cassetete</t>
  </si>
  <si>
    <t>Porta Cassetete</t>
  </si>
  <si>
    <t>Algema</t>
  </si>
  <si>
    <t>Revolver calibre 38</t>
  </si>
  <si>
    <t>Munição calibre 38</t>
  </si>
  <si>
    <t>Coldre</t>
  </si>
  <si>
    <t>Colete a prova de balas</t>
  </si>
  <si>
    <t>Capa chuva</t>
  </si>
  <si>
    <t>Lanterna tática</t>
  </si>
  <si>
    <t>Rádio</t>
  </si>
  <si>
    <t>Livro de ocorrência</t>
  </si>
  <si>
    <t>Bastão Controlador de Ronda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</si>
</sst>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&quot;/&quot;mm&quot;/&quot;yy"/>
    <numFmt numFmtId="165" formatCode="&quot;R$ &quot;#,##0.00"/>
    <numFmt numFmtId="166" formatCode="0.0%"/>
    <numFmt numFmtId="167" formatCode="0.0000"/>
    <numFmt numFmtId="168" formatCode="0.000%"/>
    <numFmt numFmtId="169" formatCode="_(* #,##0.00_);_(* \(#,##0.00\);_(* \-??_);_(@_)"/>
  </numFmts>
  <fonts count="24">
    <font>
      <sz val="11.0"/>
      <color rgb="FF000000"/>
      <name val="Calibri"/>
    </font>
    <font>
      <b/>
      <sz val="10.0"/>
      <name val="Arial"/>
    </font>
    <font/>
    <font>
      <sz val="10.0"/>
      <name val="Arial"/>
    </font>
    <font>
      <b/>
      <sz val="10.0"/>
      <color rgb="FF000000"/>
      <name val="Arial"/>
    </font>
    <font>
      <b/>
      <sz val="10.0"/>
      <color rgb="FFFF0000"/>
      <name val="Arial"/>
    </font>
    <font>
      <sz val="10.0"/>
      <color rgb="FF000000"/>
      <name val="Arial"/>
    </font>
    <font>
      <b/>
      <sz val="11.0"/>
      <color rgb="FF000000"/>
      <name val="Arial"/>
    </font>
    <font>
      <sz val="9.0"/>
      <color rgb="FF000000"/>
      <name val="Arial"/>
    </font>
    <font>
      <b/>
      <sz val="10.0"/>
      <color rgb="FF0000FF"/>
      <name val="Arial"/>
    </font>
    <font>
      <sz val="10.0"/>
    </font>
    <font>
      <b/>
      <sz val="10.0"/>
      <color rgb="FF009933"/>
      <name val="Arial"/>
    </font>
    <font>
      <b/>
      <sz val="10.0"/>
      <color rgb="FFFF3300"/>
      <name val="Arial"/>
    </font>
    <font>
      <sz val="10.0"/>
      <color rgb="FF009933"/>
      <name val="Arial"/>
    </font>
    <font>
      <b/>
      <sz val="11.0"/>
      <color rgb="FF000000"/>
      <name val="Inconsolata"/>
    </font>
    <font>
      <sz val="9.0"/>
      <name val="Arial"/>
    </font>
    <font>
      <b/>
      <sz val="9.0"/>
      <color rgb="FFFF0000"/>
      <name val="Arial"/>
    </font>
    <font>
      <b/>
      <sz val="10.0"/>
      <color rgb="FF006B6B"/>
      <name val="Arial"/>
    </font>
    <font>
      <b/>
      <sz val="10.0"/>
      <color rgb="FF009900"/>
      <name val="Arial"/>
    </font>
    <font>
      <sz val="10.0"/>
      <color rgb="FF009900"/>
      <name val="Arial"/>
    </font>
    <font>
      <b/>
      <sz val="10.0"/>
      <color rgb="FF000000"/>
      <name val="Inconsolata"/>
    </font>
    <font>
      <b/>
      <sz val="9.0"/>
      <color rgb="FF0000FF"/>
      <name val="Arial"/>
    </font>
    <font>
      <sz val="10.0"/>
      <color rgb="FF000000"/>
      <name val="Times New Roman"/>
    </font>
    <font>
      <sz val="10.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</fills>
  <borders count="7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0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3" fontId="4" numFmtId="0" xfId="0" applyAlignment="1" applyBorder="1" applyFill="1" applyFont="1">
      <alignment horizontal="center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1" numFmtId="0" xfId="0" applyAlignment="1" applyBorder="1" applyFont="1">
      <alignment horizontal="lef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0" fillId="0" fontId="4" numFmtId="0" xfId="0" applyAlignment="1" applyBorder="1" applyFont="1">
      <alignment horizontal="center" readingOrder="0" shrinkToFit="0" vertical="center" wrapText="1"/>
    </xf>
    <xf borderId="7" fillId="4" fontId="1" numFmtId="0" xfId="0" applyAlignment="1" applyBorder="1" applyFill="1" applyFont="1">
      <alignment horizontal="left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 readingOrder="0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center" readingOrder="0" shrinkToFit="0" vertical="center" wrapText="1"/>
    </xf>
    <xf borderId="10" fillId="0" fontId="6" numFmtId="164" xfId="0" applyAlignment="1" applyBorder="1" applyFont="1" applyNumberFormat="1">
      <alignment horizontal="center" readingOrder="0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7" fillId="4" fontId="1" numFmtId="0" xfId="0" applyAlignment="1" applyBorder="1" applyFont="1">
      <alignment horizontal="center" shrinkToFit="0" vertical="center" wrapText="1"/>
    </xf>
    <xf borderId="4" fillId="5" fontId="7" numFmtId="0" xfId="0" applyAlignment="1" applyBorder="1" applyFill="1" applyFont="1">
      <alignment horizontal="center" shrinkToFit="0" vertical="center" wrapText="1"/>
    </xf>
    <xf borderId="13" fillId="3" fontId="5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5" fillId="0" fontId="2" numFmtId="0" xfId="0" applyBorder="1" applyFont="1"/>
    <xf borderId="7" fillId="4" fontId="1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10" fillId="4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0" fillId="0" fontId="1" numFmtId="1" xfId="0" applyAlignment="1" applyBorder="1" applyFont="1" applyNumberFormat="1">
      <alignment horizontal="center" readingOrder="0" shrinkToFit="0" vertical="center" wrapText="1"/>
    </xf>
    <xf borderId="7" fillId="4" fontId="5" numFmtId="0" xfId="0" applyAlignment="1" applyBorder="1" applyFont="1">
      <alignment horizontal="right" shrinkToFit="0" vertical="center" wrapText="1"/>
    </xf>
    <xf borderId="10" fillId="4" fontId="5" numFmtId="1" xfId="0" applyAlignment="1" applyBorder="1" applyFont="1" applyNumberFormat="1">
      <alignment horizontal="center" shrinkToFit="0" vertical="center" wrapText="1"/>
    </xf>
    <xf borderId="7" fillId="2" fontId="1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7" fillId="0" fontId="1" numFmtId="0" xfId="0" applyAlignment="1" applyBorder="1" applyFont="1">
      <alignment horizontal="left" readingOrder="0" shrinkToFit="0" vertical="bottom" wrapText="1"/>
    </xf>
    <xf borderId="7" fillId="2" fontId="1" numFmtId="0" xfId="0" applyAlignment="1" applyBorder="1" applyFont="1">
      <alignment horizontal="left" shrinkToFit="0" vertical="bottom" wrapText="1"/>
    </xf>
    <xf borderId="7" fillId="0" fontId="8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0" fillId="0" fontId="5" numFmtId="165" xfId="0" applyAlignment="1" applyBorder="1" applyFont="1" applyNumberFormat="1">
      <alignment horizontal="center" readingOrder="0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left" shrinkToFit="0" vertical="center" wrapText="1"/>
    </xf>
    <xf borderId="10" fillId="0" fontId="4" numFmtId="165" xfId="0" applyAlignment="1" applyBorder="1" applyFont="1" applyNumberFormat="1">
      <alignment horizontal="right" shrinkToFit="0" vertical="center" wrapText="1"/>
    </xf>
    <xf borderId="10" fillId="0" fontId="9" numFmtId="165" xfId="0" applyAlignment="1" applyBorder="1" applyFont="1" applyNumberFormat="1">
      <alignment horizontal="right" shrinkToFit="0" vertical="center" wrapText="0"/>
    </xf>
    <xf borderId="10" fillId="0" fontId="5" numFmtId="14" xfId="0" applyAlignment="1" applyBorder="1" applyFont="1" applyNumberFormat="1">
      <alignment horizontal="right" shrinkToFit="0" vertical="center" wrapText="1"/>
    </xf>
    <xf borderId="10" fillId="0" fontId="9" numFmtId="14" xfId="0" applyAlignment="1" applyBorder="1" applyFont="1" applyNumberFormat="1">
      <alignment horizontal="right" shrinkToFit="0" vertical="center" wrapText="1"/>
    </xf>
    <xf borderId="12" fillId="0" fontId="1" numFmtId="0" xfId="0" applyAlignment="1" applyBorder="1" applyFont="1">
      <alignment horizontal="center" shrinkToFit="0" vertical="bottom" wrapText="0"/>
    </xf>
    <xf borderId="10" fillId="0" fontId="5" numFmtId="0" xfId="0" applyAlignment="1" applyBorder="1" applyFont="1">
      <alignment horizontal="left" shrinkToFit="0" vertical="center" wrapText="1"/>
    </xf>
    <xf borderId="10" fillId="0" fontId="9" numFmtId="4" xfId="0" applyAlignment="1" applyBorder="1" applyFont="1" applyNumberFormat="1">
      <alignment horizontal="right" shrinkToFit="0" vertical="center" wrapText="1"/>
    </xf>
    <xf borderId="0" fillId="0" fontId="10" numFmtId="0" xfId="0" applyFont="1"/>
    <xf borderId="10" fillId="0" fontId="9" numFmtId="4" xfId="0" applyAlignment="1" applyBorder="1" applyFont="1" applyNumberFormat="1">
      <alignment horizontal="right" shrinkToFit="0" vertical="center" wrapText="0"/>
    </xf>
    <xf borderId="10" fillId="0" fontId="5" numFmtId="0" xfId="0" applyAlignment="1" applyBorder="1" applyFont="1">
      <alignment horizontal="left" shrinkToFit="0" vertical="center" wrapText="0"/>
    </xf>
    <xf borderId="10" fillId="0" fontId="5" numFmtId="4" xfId="0" applyAlignment="1" applyBorder="1" applyFont="1" applyNumberFormat="1">
      <alignment horizontal="right" shrinkToFit="0" vertical="center" wrapText="1"/>
    </xf>
    <xf borderId="7" fillId="0" fontId="1" numFmtId="0" xfId="0" applyAlignment="1" applyBorder="1" applyFont="1">
      <alignment shrinkToFit="0" vertical="center" wrapText="1"/>
    </xf>
    <xf borderId="17" fillId="4" fontId="1" numFmtId="0" xfId="0" applyAlignment="1" applyBorder="1" applyFont="1">
      <alignment horizontal="center" shrinkToFit="0" vertical="center" wrapText="1"/>
    </xf>
    <xf borderId="18" fillId="4" fontId="1" numFmtId="0" xfId="0" applyAlignment="1" applyBorder="1" applyFont="1">
      <alignment horizontal="center" shrinkToFit="0" vertical="center" wrapText="1"/>
    </xf>
    <xf borderId="19" fillId="4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bottom" wrapText="0"/>
    </xf>
    <xf borderId="20" fillId="0" fontId="1" numFmtId="4" xfId="0" applyAlignment="1" applyBorder="1" applyFont="1" applyNumberFormat="1">
      <alignment shrinkToFit="0" vertical="center" wrapText="0"/>
    </xf>
    <xf borderId="21" fillId="0" fontId="1" numFmtId="10" xfId="0" applyAlignment="1" applyBorder="1" applyFont="1" applyNumberFormat="1">
      <alignment horizontal="center" shrinkToFit="0" vertical="center" wrapText="0"/>
    </xf>
    <xf borderId="20" fillId="6" fontId="1" numFmtId="4" xfId="0" applyAlignment="1" applyBorder="1" applyFill="1" applyFont="1" applyNumberFormat="1">
      <alignment horizontal="center" shrinkToFit="0" vertical="center" wrapText="0"/>
    </xf>
    <xf borderId="7" fillId="4" fontId="1" numFmtId="0" xfId="0" applyAlignment="1" applyBorder="1" applyFont="1">
      <alignment horizontal="right" readingOrder="0" shrinkToFit="0" vertical="center" wrapText="1"/>
    </xf>
    <xf borderId="20" fillId="4" fontId="1" numFmtId="4" xfId="0" applyAlignment="1" applyBorder="1" applyFont="1" applyNumberFormat="1">
      <alignment shrinkToFit="0" vertical="center" wrapText="0"/>
    </xf>
    <xf borderId="7" fillId="2" fontId="1" numFmtId="0" xfId="0" applyAlignment="1" applyBorder="1" applyFont="1">
      <alignment horizontal="right" shrinkToFit="0" vertical="center" wrapText="1"/>
    </xf>
    <xf borderId="20" fillId="6" fontId="1" numFmtId="4" xfId="0" applyAlignment="1" applyBorder="1" applyFont="1" applyNumberFormat="1">
      <alignment readingOrder="0" shrinkToFit="0" vertical="center" wrapText="0"/>
    </xf>
    <xf borderId="7" fillId="3" fontId="1" numFmtId="0" xfId="0" applyAlignment="1" applyBorder="1" applyFont="1">
      <alignment horizontal="left" shrinkToFit="0" vertical="center" wrapText="1"/>
    </xf>
    <xf borderId="20" fillId="3" fontId="1" numFmtId="4" xfId="0" applyAlignment="1" applyBorder="1" applyFont="1" applyNumberFormat="1">
      <alignment shrinkToFit="0" vertical="center" wrapText="0"/>
    </xf>
    <xf borderId="20" fillId="4" fontId="1" numFmtId="4" xfId="0" applyAlignment="1" applyBorder="1" applyFont="1" applyNumberFormat="1">
      <alignment horizontal="right" shrinkToFit="0" vertical="center" wrapText="1"/>
    </xf>
    <xf borderId="7" fillId="0" fontId="4" numFmtId="0" xfId="0" applyAlignment="1" applyBorder="1" applyFont="1">
      <alignment horizontal="left" readingOrder="0" shrinkToFit="0" vertical="center" wrapText="0"/>
    </xf>
    <xf borderId="7" fillId="4" fontId="4" numFmtId="0" xfId="0" applyAlignment="1" applyBorder="1" applyFont="1">
      <alignment horizontal="left" readingOrder="0" shrinkToFit="0" vertical="center" wrapText="0"/>
    </xf>
    <xf borderId="12" fillId="0" fontId="4" numFmtId="0" xfId="0" applyAlignment="1" applyBorder="1" applyFont="1">
      <alignment horizontal="center" shrinkToFit="0" vertical="center" wrapText="0"/>
    </xf>
    <xf borderId="10" fillId="0" fontId="4" numFmtId="0" xfId="0" applyAlignment="1" applyBorder="1" applyFont="1">
      <alignment horizontal="center" readingOrder="0" shrinkToFit="0" vertical="center" wrapText="0"/>
    </xf>
    <xf borderId="20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left" readingOrder="0" shrinkToFit="0" vertical="center" wrapText="1"/>
    </xf>
    <xf borderId="20" fillId="0" fontId="4" numFmtId="2" xfId="0" applyAlignment="1" applyBorder="1" applyFont="1" applyNumberFormat="1">
      <alignment horizontal="right"/>
    </xf>
    <xf borderId="22" fillId="0" fontId="4" numFmtId="2" xfId="0" applyAlignment="1" applyBorder="1" applyFont="1" applyNumberFormat="1">
      <alignment horizontal="right"/>
    </xf>
    <xf borderId="7" fillId="4" fontId="4" numFmtId="0" xfId="0" applyAlignment="1" applyBorder="1" applyFont="1">
      <alignment horizontal="right" shrinkToFit="0" vertical="center" wrapText="0"/>
    </xf>
    <xf borderId="20" fillId="4" fontId="4" numFmtId="4" xfId="0" applyAlignment="1" applyBorder="1" applyFont="1" applyNumberFormat="1">
      <alignment horizontal="right" shrinkToFit="0" vertical="center" wrapText="0"/>
    </xf>
    <xf borderId="7" fillId="2" fontId="4" numFmtId="0" xfId="0" applyAlignment="1" applyBorder="1" applyFont="1">
      <alignment horizontal="right" shrinkToFit="0" vertical="center" wrapText="0"/>
    </xf>
    <xf borderId="7" fillId="3" fontId="4" numFmtId="0" xfId="0" applyAlignment="1" applyBorder="1" applyFont="1">
      <alignment horizontal="left" shrinkToFit="0" vertical="center" wrapText="1"/>
    </xf>
    <xf borderId="23" fillId="4" fontId="4" numFmtId="0" xfId="0" applyAlignment="1" applyBorder="1" applyFont="1">
      <alignment horizontal="center" shrinkToFit="0" vertical="center" wrapText="0"/>
    </xf>
    <xf borderId="10" fillId="4" fontId="4" numFmtId="0" xfId="0" applyAlignment="1" applyBorder="1" applyFont="1">
      <alignment horizontal="center" shrinkToFit="0" vertical="center" wrapText="1"/>
    </xf>
    <xf borderId="21" fillId="4" fontId="4" numFmtId="0" xfId="0" applyAlignment="1" applyBorder="1" applyFont="1">
      <alignment horizontal="center" shrinkToFit="0" vertical="center" wrapText="1"/>
    </xf>
    <xf borderId="20" fillId="4" fontId="4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0"/>
    </xf>
    <xf borderId="21" fillId="0" fontId="1" numFmtId="166" xfId="0" applyAlignment="1" applyBorder="1" applyFont="1" applyNumberFormat="1">
      <alignment horizontal="right" shrinkToFit="0" vertical="center" wrapText="0"/>
    </xf>
    <xf borderId="20" fillId="0" fontId="1" numFmtId="4" xfId="0" applyAlignment="1" applyBorder="1" applyFont="1" applyNumberFormat="1">
      <alignment horizontal="right" shrinkToFit="0" vertical="center" wrapText="0"/>
    </xf>
    <xf borderId="21" fillId="0" fontId="1" numFmtId="0" xfId="0" applyAlignment="1" applyBorder="1" applyFont="1">
      <alignment horizontal="right" shrinkToFit="0" vertical="center" wrapText="1"/>
    </xf>
    <xf borderId="21" fillId="6" fontId="1" numFmtId="9" xfId="0" applyAlignment="1" applyBorder="1" applyFont="1" applyNumberFormat="1">
      <alignment horizontal="left" shrinkToFit="0" vertical="center" wrapText="1"/>
    </xf>
    <xf borderId="21" fillId="6" fontId="1" numFmtId="167" xfId="0" applyAlignment="1" applyBorder="1" applyFont="1" applyNumberFormat="1">
      <alignment horizontal="left" shrinkToFit="0" vertical="center" wrapText="1"/>
    </xf>
    <xf borderId="7" fillId="4" fontId="1" numFmtId="0" xfId="0" applyAlignment="1" applyBorder="1" applyFont="1">
      <alignment horizontal="right" shrinkToFit="0" vertical="center" wrapText="0"/>
    </xf>
    <xf borderId="21" fillId="4" fontId="1" numFmtId="166" xfId="0" applyAlignment="1" applyBorder="1" applyFont="1" applyNumberFormat="1">
      <alignment horizontal="right" shrinkToFit="0" vertical="center" wrapText="0"/>
    </xf>
    <xf borderId="20" fillId="4" fontId="1" numFmtId="4" xfId="0" applyAlignment="1" applyBorder="1" applyFont="1" applyNumberFormat="1">
      <alignment horizontal="right" shrinkToFit="0" vertical="center" wrapText="0"/>
    </xf>
    <xf borderId="7" fillId="0" fontId="4" numFmtId="0" xfId="0" applyAlignment="1" applyBorder="1" applyFont="1">
      <alignment horizontal="left" shrinkToFit="0" vertical="center" wrapText="0"/>
    </xf>
    <xf borderId="12" fillId="4" fontId="1" numFmtId="0" xfId="0" applyAlignment="1" applyBorder="1" applyFont="1">
      <alignment horizontal="center" shrinkToFit="0" vertical="center" wrapText="0"/>
    </xf>
    <xf borderId="20" fillId="4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0"/>
    </xf>
    <xf borderId="21" fillId="0" fontId="5" numFmtId="165" xfId="0" applyAlignment="1" applyBorder="1" applyFont="1" applyNumberFormat="1">
      <alignment shrinkToFit="0" vertical="center" wrapText="0"/>
    </xf>
    <xf borderId="20" fillId="0" fontId="1" numFmtId="4" xfId="0" applyAlignment="1" applyBorder="1" applyFont="1" applyNumberFormat="1">
      <alignment horizontal="center" shrinkToFit="0" vertical="center" wrapText="0"/>
    </xf>
    <xf borderId="21" fillId="0" fontId="5" numFmtId="4" xfId="0" applyAlignment="1" applyBorder="1" applyFont="1" applyNumberFormat="1">
      <alignment shrinkToFit="0" vertical="center" wrapText="0"/>
    </xf>
    <xf borderId="21" fillId="0" fontId="5" numFmtId="3" xfId="0" applyAlignment="1" applyBorder="1" applyFont="1" applyNumberFormat="1">
      <alignment readingOrder="0" shrinkToFit="0" vertical="center" wrapText="0"/>
    </xf>
    <xf borderId="20" fillId="0" fontId="1" numFmtId="4" xfId="0" applyAlignment="1" applyBorder="1" applyFont="1" applyNumberFormat="1">
      <alignment horizontal="center" readingOrder="0" shrinkToFit="0" vertical="center" wrapText="0"/>
    </xf>
    <xf borderId="10" fillId="0" fontId="5" numFmtId="0" xfId="0" applyAlignment="1" applyBorder="1" applyFont="1">
      <alignment horizontal="left" readingOrder="0" shrinkToFit="0" vertical="center" wrapText="1"/>
    </xf>
    <xf borderId="10" fillId="0" fontId="5" numFmtId="10" xfId="0" applyAlignment="1" applyBorder="1" applyFont="1" applyNumberFormat="1">
      <alignment shrinkToFit="0" vertical="center" wrapText="0"/>
    </xf>
    <xf borderId="20" fillId="3" fontId="1" numFmtId="4" xfId="0" applyAlignment="1" applyBorder="1" applyFont="1" applyNumberFormat="1">
      <alignment horizontal="right" shrinkToFit="0" vertical="center" wrapText="0"/>
    </xf>
    <xf borderId="10" fillId="0" fontId="1" numFmtId="0" xfId="0" applyAlignment="1" applyBorder="1" applyFont="1">
      <alignment horizontal="left" readingOrder="0" shrinkToFit="0" vertical="center" wrapText="0"/>
    </xf>
    <xf borderId="20" fillId="6" fontId="1" numFmtId="4" xfId="0" applyAlignment="1" applyBorder="1" applyFont="1" applyNumberFormat="1">
      <alignment horizontal="right" shrinkToFit="0" vertical="center" wrapText="1"/>
    </xf>
    <xf borderId="10" fillId="4" fontId="1" numFmtId="0" xfId="0" applyAlignment="1" applyBorder="1" applyFont="1">
      <alignment horizontal="right" shrinkToFit="0" vertical="center" wrapText="0"/>
    </xf>
    <xf borderId="7" fillId="0" fontId="4" numFmtId="0" xfId="0" applyAlignment="1" applyBorder="1" applyFont="1">
      <alignment horizontal="left" shrinkToFit="0" vertical="center" wrapText="1"/>
    </xf>
    <xf borderId="12" fillId="4" fontId="4" numFmtId="0" xfId="0" applyAlignment="1" applyBorder="1" applyFont="1">
      <alignment horizontal="center" shrinkToFit="0" vertical="center" wrapText="1"/>
    </xf>
    <xf borderId="20" fillId="0" fontId="4" numFmtId="4" xfId="0" applyAlignment="1" applyBorder="1" applyFont="1" applyNumberFormat="1">
      <alignment horizontal="right" shrinkToFit="0" vertical="center" wrapText="1"/>
    </xf>
    <xf borderId="7" fillId="4" fontId="4" numFmtId="0" xfId="0" applyAlignment="1" applyBorder="1" applyFont="1">
      <alignment horizontal="right" shrinkToFit="0" vertical="center" wrapText="1"/>
    </xf>
    <xf borderId="20" fillId="4" fontId="4" numFmtId="4" xfId="0" applyAlignment="1" applyBorder="1" applyFont="1" applyNumberFormat="1">
      <alignment horizontal="right" shrinkToFit="0" vertical="center" wrapText="1"/>
    </xf>
    <xf borderId="7" fillId="2" fontId="1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shrinkToFit="0" vertical="center" wrapText="0"/>
    </xf>
    <xf borderId="10" fillId="4" fontId="1" numFmtId="0" xfId="0" applyAlignment="1" applyBorder="1" applyFont="1">
      <alignment horizontal="center" shrinkToFit="0" vertical="center" wrapText="0"/>
    </xf>
    <xf borderId="20" fillId="4" fontId="1" numFmtId="0" xfId="0" applyAlignment="1" applyBorder="1" applyFont="1">
      <alignment horizontal="center" shrinkToFit="0" vertical="center" wrapText="0"/>
    </xf>
    <xf borderId="12" fillId="0" fontId="1" numFmtId="0" xfId="0" applyAlignment="1" applyBorder="1" applyFont="1">
      <alignment horizontal="center" vertical="center"/>
    </xf>
    <xf borderId="20" fillId="0" fontId="1" numFmtId="4" xfId="0" applyAlignment="1" applyBorder="1" applyFont="1" applyNumberFormat="1">
      <alignment horizontal="right" vertical="center"/>
    </xf>
    <xf borderId="24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left" shrinkToFit="0" vertical="center" wrapText="0"/>
    </xf>
    <xf borderId="20" fillId="0" fontId="1" numFmtId="4" xfId="0" applyAlignment="1" applyBorder="1" applyFont="1" applyNumberFormat="1">
      <alignment horizontal="right"/>
    </xf>
    <xf borderId="0" fillId="0" fontId="3" numFmtId="0" xfId="0" applyAlignment="1" applyFont="1">
      <alignment readingOrder="0" shrinkToFit="0" vertical="bottom" wrapText="0"/>
    </xf>
    <xf borderId="7" fillId="2" fontId="1" numFmtId="0" xfId="0" applyAlignment="1" applyBorder="1" applyFont="1">
      <alignment horizontal="right" shrinkToFit="0" vertical="center" wrapText="0"/>
    </xf>
    <xf borderId="7" fillId="0" fontId="1" numFmtId="0" xfId="0" applyAlignment="1" applyBorder="1" applyFont="1">
      <alignment horizontal="left" readingOrder="0" shrinkToFit="0" vertical="center" wrapText="1"/>
    </xf>
    <xf borderId="7" fillId="0" fontId="12" numFmtId="0" xfId="0" applyAlignment="1" applyBorder="1" applyFont="1">
      <alignment horizontal="left" readingOrder="0" shrinkToFit="0" vertical="center" wrapText="1"/>
    </xf>
    <xf borderId="20" fillId="0" fontId="1" numFmtId="4" xfId="0" applyAlignment="1" applyBorder="1" applyFont="1" applyNumberFormat="1">
      <alignment horizontal="right" shrinkToFit="0" vertical="center" wrapText="1"/>
    </xf>
    <xf borderId="7" fillId="2" fontId="13" numFmtId="0" xfId="0" applyAlignment="1" applyBorder="1" applyFont="1">
      <alignment horizontal="left" shrinkToFit="0" vertical="center" wrapText="1"/>
    </xf>
    <xf borderId="7" fillId="0" fontId="8" numFmtId="0" xfId="0" applyAlignment="1" applyBorder="1" applyFont="1">
      <alignment horizontal="left" shrinkToFit="0" vertical="center" wrapText="1"/>
    </xf>
    <xf borderId="12" fillId="4" fontId="1" numFmtId="0" xfId="0" applyAlignment="1" applyBorder="1" applyFont="1">
      <alignment horizontal="center" shrinkToFit="0" vertical="bottom" wrapText="0"/>
    </xf>
    <xf borderId="20" fillId="4" fontId="1" numFmtId="0" xfId="0" applyAlignment="1" applyBorder="1" applyFont="1">
      <alignment horizontal="center" shrinkToFit="0" vertical="bottom" wrapText="0"/>
    </xf>
    <xf borderId="21" fillId="0" fontId="1" numFmtId="168" xfId="0" applyAlignment="1" applyBorder="1" applyFont="1" applyNumberFormat="1">
      <alignment horizontal="center" shrinkToFit="0" vertical="center" wrapText="0"/>
    </xf>
    <xf borderId="20" fillId="0" fontId="1" numFmtId="4" xfId="0" applyAlignment="1" applyBorder="1" applyFont="1" applyNumberFormat="1">
      <alignment horizontal="right" readingOrder="0" shrinkToFit="0" wrapText="0"/>
    </xf>
    <xf borderId="20" fillId="0" fontId="1" numFmtId="4" xfId="0" applyAlignment="1" applyBorder="1" applyFont="1" applyNumberFormat="1">
      <alignment shrinkToFit="0" vertical="bottom" wrapText="0"/>
    </xf>
    <xf borderId="7" fillId="4" fontId="1" numFmtId="0" xfId="0" applyAlignment="1" applyBorder="1" applyFont="1">
      <alignment horizontal="right" readingOrder="0" shrinkToFit="0" vertical="center" wrapText="0"/>
    </xf>
    <xf borderId="20" fillId="4" fontId="1" numFmtId="4" xfId="0" applyAlignment="1" applyBorder="1" applyFont="1" applyNumberFormat="1">
      <alignment horizontal="right" shrinkToFit="0" vertical="bottom" wrapText="0"/>
    </xf>
    <xf borderId="20" fillId="0" fontId="1" numFmtId="4" xfId="0" applyAlignment="1" applyBorder="1" applyFont="1" applyNumberFormat="1">
      <alignment horizontal="right" shrinkToFit="0" vertical="bottom" wrapText="0"/>
    </xf>
    <xf borderId="12" fillId="4" fontId="4" numFmtId="0" xfId="0" applyAlignment="1" applyBorder="1" applyFont="1">
      <alignment horizontal="center" shrinkToFit="0" vertical="center" wrapText="0"/>
    </xf>
    <xf borderId="10" fillId="4" fontId="4" numFmtId="0" xfId="0" applyAlignment="1" applyBorder="1" applyFont="1">
      <alignment horizontal="center" shrinkToFit="0" vertical="center" wrapText="0"/>
    </xf>
    <xf borderId="20" fillId="4" fontId="4" numFmtId="4" xfId="0" applyAlignment="1" applyBorder="1" applyFont="1" applyNumberFormat="1">
      <alignment horizontal="center" shrinkToFit="0" vertical="center" wrapText="0"/>
    </xf>
    <xf borderId="20" fillId="6" fontId="4" numFmtId="4" xfId="0" applyAlignment="1" applyBorder="1" applyFont="1" applyNumberFormat="1">
      <alignment horizontal="right" vertical="center"/>
    </xf>
    <xf borderId="20" fillId="3" fontId="14" numFmtId="4" xfId="0" applyAlignment="1" applyBorder="1" applyFont="1" applyNumberFormat="1">
      <alignment vertical="center"/>
    </xf>
    <xf borderId="7" fillId="0" fontId="4" numFmtId="0" xfId="0" applyAlignment="1" applyBorder="1" applyFont="1">
      <alignment horizontal="right" shrinkToFit="0" vertical="center" wrapText="0"/>
    </xf>
    <xf borderId="20" fillId="0" fontId="4" numFmtId="4" xfId="0" applyAlignment="1" applyBorder="1" applyFont="1" applyNumberFormat="1">
      <alignment horizontal="right" shrinkToFit="0" vertical="center" wrapText="0"/>
    </xf>
    <xf borderId="12" fillId="0" fontId="4" numFmtId="0" xfId="0" applyAlignment="1" applyBorder="1" applyFont="1">
      <alignment horizontal="center" shrinkToFit="0" vertical="bottom" wrapText="0"/>
    </xf>
    <xf borderId="20" fillId="0" fontId="4" numFmtId="4" xfId="0" applyAlignment="1" applyBorder="1" applyFont="1" applyNumberFormat="1">
      <alignment horizontal="right" shrinkToFit="0" vertical="bottom" wrapText="0"/>
    </xf>
    <xf borderId="10" fillId="0" fontId="4" numFmtId="0" xfId="0" applyAlignment="1" applyBorder="1" applyFont="1">
      <alignment horizontal="left" shrinkToFit="0" vertical="center" wrapText="0"/>
    </xf>
    <xf borderId="7" fillId="0" fontId="15" numFmtId="0" xfId="0" applyAlignment="1" applyBorder="1" applyFont="1">
      <alignment horizontal="left" readingOrder="0" shrinkToFit="0" vertical="center" wrapText="0"/>
    </xf>
    <xf borderId="12" fillId="4" fontId="1" numFmtId="0" xfId="0" applyAlignment="1" applyBorder="1" applyFont="1">
      <alignment horizontal="center" readingOrder="0" shrinkToFit="0" vertical="center" wrapText="0"/>
    </xf>
    <xf borderId="7" fillId="0" fontId="15" numFmtId="0" xfId="0" applyAlignment="1" applyBorder="1" applyFont="1">
      <alignment horizontal="left" shrinkToFit="0" vertical="center" wrapText="1"/>
    </xf>
    <xf borderId="21" fillId="4" fontId="1" numFmtId="0" xfId="0" applyAlignment="1" applyBorder="1" applyFont="1">
      <alignment horizontal="center" shrinkToFit="0" vertical="center" wrapText="1"/>
    </xf>
    <xf borderId="20" fillId="4" fontId="1" numFmtId="4" xfId="0" applyAlignment="1" applyBorder="1" applyFont="1" applyNumberFormat="1">
      <alignment horizontal="center" shrinkToFit="0" vertical="center" wrapText="1"/>
    </xf>
    <xf borderId="7" fillId="0" fontId="5" numFmtId="0" xfId="0" applyAlignment="1" applyBorder="1" applyFont="1">
      <alignment horizontal="left" readingOrder="0" shrinkToFit="0" vertical="center" wrapText="1"/>
    </xf>
    <xf borderId="20" fillId="0" fontId="5" numFmtId="4" xfId="0" applyAlignment="1" applyBorder="1" applyFont="1" applyNumberFormat="1">
      <alignment horizontal="right" shrinkToFit="0" vertical="center" wrapText="0"/>
    </xf>
    <xf borderId="21" fillId="6" fontId="1" numFmtId="10" xfId="0" applyAlignment="1" applyBorder="1" applyFont="1" applyNumberFormat="1">
      <alignment horizontal="right" shrinkToFit="0" vertical="center" wrapText="0"/>
    </xf>
    <xf borderId="21" fillId="6" fontId="1" numFmtId="10" xfId="0" applyAlignment="1" applyBorder="1" applyFont="1" applyNumberFormat="1">
      <alignment horizontal="right" readingOrder="0" shrinkToFit="0" vertical="center" wrapText="0"/>
    </xf>
    <xf borderId="10" fillId="0" fontId="3" numFmtId="0" xfId="0" applyAlignment="1" applyBorder="1" applyFont="1">
      <alignment horizontal="left" shrinkToFit="0" vertical="center" wrapText="1"/>
    </xf>
    <xf borderId="21" fillId="6" fontId="1" numFmtId="10" xfId="0" applyAlignment="1" applyBorder="1" applyFont="1" applyNumberFormat="1">
      <alignment horizontal="right" shrinkToFit="0" vertical="center" wrapText="1"/>
    </xf>
    <xf borderId="21" fillId="0" fontId="1" numFmtId="10" xfId="0" applyAlignment="1" applyBorder="1" applyFont="1" applyNumberFormat="1">
      <alignment horizontal="center" shrinkToFit="0" vertical="center" wrapText="1"/>
    </xf>
    <xf borderId="21" fillId="0" fontId="1" numFmtId="10" xfId="0" applyAlignment="1" applyBorder="1" applyFont="1" applyNumberFormat="1">
      <alignment horizontal="center" shrinkToFit="0" vertical="bottom" wrapText="1"/>
    </xf>
    <xf borderId="20" fillId="0" fontId="1" numFmtId="4" xfId="0" applyAlignment="1" applyBorder="1" applyFont="1" applyNumberFormat="1">
      <alignment horizontal="center" shrinkToFit="0" vertical="bottom" wrapText="0"/>
    </xf>
    <xf borderId="7" fillId="0" fontId="16" numFmtId="0" xfId="0" applyAlignment="1" applyBorder="1" applyFont="1">
      <alignment horizontal="right" shrinkToFit="0" vertical="center" wrapText="1"/>
    </xf>
    <xf borderId="21" fillId="0" fontId="16" numFmtId="10" xfId="0" applyAlignment="1" applyBorder="1" applyFont="1" applyNumberFormat="1">
      <alignment horizontal="right" shrinkToFit="0" vertical="center" wrapText="0"/>
    </xf>
    <xf borderId="20" fillId="0" fontId="16" numFmtId="4" xfId="0" applyAlignment="1" applyBorder="1" applyFont="1" applyNumberFormat="1">
      <alignment horizontal="right" shrinkToFit="0" vertical="center" wrapText="0"/>
    </xf>
    <xf borderId="25" fillId="0" fontId="16" numFmtId="0" xfId="0" applyAlignment="1" applyBorder="1" applyFont="1">
      <alignment horizontal="center" shrinkToFit="0" vertical="center" wrapText="0"/>
    </xf>
    <xf borderId="26" fillId="0" fontId="2" numFmtId="0" xfId="0" applyBorder="1" applyFont="1"/>
    <xf borderId="26" fillId="0" fontId="16" numFmtId="0" xfId="0" applyAlignment="1" applyBorder="1" applyFont="1">
      <alignment horizontal="left" shrinkToFit="0" vertical="center" wrapText="0"/>
    </xf>
    <xf borderId="27" fillId="0" fontId="2" numFmtId="0" xfId="0" applyBorder="1" applyFont="1"/>
    <xf borderId="28" fillId="0" fontId="2" numFmtId="0" xfId="0" applyBorder="1" applyFont="1"/>
    <xf borderId="0" fillId="0" fontId="16" numFmtId="0" xfId="0" applyAlignment="1" applyFont="1">
      <alignment horizontal="center" shrinkToFit="0" vertical="center" wrapText="0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1" fillId="0" fontId="16" numFmtId="0" xfId="0" applyAlignment="1" applyBorder="1" applyFont="1">
      <alignment horizontal="left" shrinkToFit="0" vertical="center" wrapText="0"/>
    </xf>
    <xf borderId="32" fillId="0" fontId="2" numFmtId="0" xfId="0" applyBorder="1" applyFont="1"/>
    <xf borderId="12" fillId="0" fontId="1" numFmtId="49" xfId="0" applyAlignment="1" applyBorder="1" applyFont="1" applyNumberFormat="1">
      <alignment horizontal="center"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left" readingOrder="0" shrinkToFit="0" vertical="center" wrapText="1"/>
    </xf>
    <xf borderId="7" fillId="4" fontId="1" numFmtId="49" xfId="0" applyAlignment="1" applyBorder="1" applyFont="1" applyNumberFormat="1">
      <alignment horizontal="right" shrinkToFit="0" vertical="center" wrapText="1"/>
    </xf>
    <xf borderId="7" fillId="0" fontId="1" numFmtId="49" xfId="0" applyAlignment="1" applyBorder="1" applyFont="1" applyNumberFormat="1">
      <alignment horizontal="center" shrinkToFit="0" vertical="center" wrapText="1"/>
    </xf>
    <xf borderId="7" fillId="3" fontId="1" numFmtId="49" xfId="0" applyAlignment="1" applyBorder="1" applyFont="1" applyNumberFormat="1">
      <alignment horizontal="left" shrinkToFit="0" vertical="center" wrapText="1"/>
    </xf>
    <xf borderId="33" fillId="5" fontId="7" numFmtId="0" xfId="0" applyAlignment="1" applyBorder="1" applyFont="1">
      <alignment horizontal="center" readingOrder="0" shrinkToFit="0" vertical="center" wrapText="1"/>
    </xf>
    <xf borderId="34" fillId="0" fontId="2" numFmtId="0" xfId="0" applyBorder="1" applyFont="1"/>
    <xf borderId="35" fillId="0" fontId="2" numFmtId="0" xfId="0" applyBorder="1" applyFont="1"/>
    <xf borderId="10" fillId="3" fontId="1" numFmtId="0" xfId="0" applyAlignment="1" applyBorder="1" applyFont="1">
      <alignment horizontal="center" shrinkToFit="0" vertical="center" wrapText="1"/>
    </xf>
    <xf borderId="10" fillId="3" fontId="1" numFmtId="1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readingOrder="0" vertical="center"/>
    </xf>
    <xf borderId="10" fillId="0" fontId="3" numFmtId="0" xfId="0" applyAlignment="1" applyBorder="1" applyFont="1">
      <alignment horizontal="left" readingOrder="0" shrinkToFit="0" vertical="center" wrapText="1"/>
    </xf>
    <xf borderId="20" fillId="0" fontId="1" numFmtId="4" xfId="0" applyAlignment="1" applyBorder="1" applyFont="1" applyNumberFormat="1">
      <alignment horizontal="right" readingOrder="0" shrinkToFit="0" vertical="center" wrapText="0"/>
    </xf>
    <xf borderId="21" fillId="0" fontId="4" numFmtId="10" xfId="0" applyAlignment="1" applyBorder="1" applyFont="1" applyNumberFormat="1">
      <alignment horizontal="center" shrinkToFit="0" vertical="center" wrapText="0"/>
    </xf>
    <xf borderId="20" fillId="0" fontId="4" numFmtId="2" xfId="0" applyAlignment="1" applyBorder="1" applyFont="1" applyNumberFormat="1">
      <alignment horizontal="right" shrinkToFit="0" vertical="center" wrapText="1"/>
    </xf>
    <xf borderId="21" fillId="0" fontId="4" numFmtId="168" xfId="0" applyAlignment="1" applyBorder="1" applyFont="1" applyNumberFormat="1">
      <alignment horizontal="center" shrinkToFit="0" vertical="center" wrapText="0"/>
    </xf>
    <xf borderId="7" fillId="2" fontId="17" numFmtId="0" xfId="0" applyAlignment="1" applyBorder="1" applyFont="1">
      <alignment horizontal="right" shrinkToFit="0" vertical="center" wrapText="0"/>
    </xf>
    <xf borderId="21" fillId="0" fontId="1" numFmtId="9" xfId="0" applyAlignment="1" applyBorder="1" applyFont="1" applyNumberFormat="1">
      <alignment horizontal="left" shrinkToFit="0" vertical="center" wrapText="1"/>
    </xf>
    <xf borderId="21" fillId="0" fontId="1" numFmtId="167" xfId="0" applyAlignment="1" applyBorder="1" applyFont="1" applyNumberFormat="1">
      <alignment horizontal="left" shrinkToFit="0" vertical="center" wrapText="1"/>
    </xf>
    <xf borderId="23" fillId="2" fontId="1" numFmtId="0" xfId="0" applyAlignment="1" applyBorder="1" applyFont="1">
      <alignment horizontal="right" shrinkToFit="0" vertical="center" wrapText="0"/>
    </xf>
    <xf borderId="36" fillId="2" fontId="3" numFmtId="0" xfId="0" applyAlignment="1" applyBorder="1" applyFont="1">
      <alignment horizontal="right" shrinkToFit="0" vertical="center" wrapText="0"/>
    </xf>
    <xf borderId="36" fillId="2" fontId="1" numFmtId="10" xfId="0" applyAlignment="1" applyBorder="1" applyFont="1" applyNumberFormat="1">
      <alignment horizontal="right" shrinkToFit="0" vertical="center" wrapText="0"/>
    </xf>
    <xf borderId="37" fillId="2" fontId="1" numFmtId="4" xfId="0" applyAlignment="1" applyBorder="1" applyFont="1" applyNumberFormat="1">
      <alignment horizontal="right" shrinkToFit="0" vertical="center" wrapText="0"/>
    </xf>
    <xf borderId="10" fillId="4" fontId="1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left" readingOrder="0" shrinkToFit="0" vertical="center" wrapText="1"/>
    </xf>
    <xf borderId="7" fillId="2" fontId="18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left" readingOrder="0" shrinkToFit="0" vertical="center" wrapText="0"/>
    </xf>
    <xf borderId="12" fillId="0" fontId="1" numFmtId="0" xfId="0" applyAlignment="1" applyBorder="1" applyFont="1">
      <alignment horizontal="center"/>
    </xf>
    <xf borderId="24" fillId="0" fontId="1" numFmtId="0" xfId="0" applyAlignment="1" applyBorder="1" applyFont="1">
      <alignment horizontal="center"/>
    </xf>
    <xf borderId="7" fillId="2" fontId="19" numFmtId="0" xfId="0" applyAlignment="1" applyBorder="1" applyFont="1">
      <alignment horizontal="left" shrinkToFit="0" vertical="center" wrapText="1"/>
    </xf>
    <xf borderId="20" fillId="3" fontId="20" numFmtId="4" xfId="0" applyAlignment="1" applyBorder="1" applyFont="1" applyNumberFormat="1">
      <alignment vertical="center"/>
    </xf>
    <xf borderId="7" fillId="0" fontId="4" numFmtId="0" xfId="0" applyAlignment="1" applyBorder="1" applyFont="1">
      <alignment horizontal="right" readingOrder="0" shrinkToFit="0" vertical="center" wrapText="0"/>
    </xf>
    <xf borderId="7" fillId="2" fontId="18" numFmtId="0" xfId="0" applyAlignment="1" applyBorder="1" applyFont="1">
      <alignment horizontal="right" shrinkToFit="0" vertical="center" wrapText="0"/>
    </xf>
    <xf borderId="23" fillId="2" fontId="1" numFmtId="0" xfId="0" applyAlignment="1" applyBorder="1" applyFont="1">
      <alignment horizontal="center" shrinkToFit="0" vertical="center" wrapText="0"/>
    </xf>
    <xf borderId="36" fillId="2" fontId="3" numFmtId="0" xfId="0" applyAlignment="1" applyBorder="1" applyFont="1">
      <alignment horizontal="center" shrinkToFit="0" vertical="center" wrapText="0"/>
    </xf>
    <xf borderId="37" fillId="2" fontId="3" numFmtId="0" xfId="0" applyAlignment="1" applyBorder="1" applyFont="1">
      <alignment horizontal="center" shrinkToFit="0" vertical="center" wrapText="0"/>
    </xf>
    <xf borderId="10" fillId="0" fontId="3" numFmtId="0" xfId="0" applyAlignment="1" applyBorder="1" applyFont="1">
      <alignment horizontal="left" readingOrder="0" shrinkToFit="0" vertical="center" wrapText="1"/>
    </xf>
    <xf borderId="7" fillId="0" fontId="21" numFmtId="49" xfId="0" applyAlignment="1" applyBorder="1" applyFont="1" applyNumberFormat="1">
      <alignment horizontal="center" readingOrder="0" shrinkToFit="0" vertical="center" wrapText="1"/>
    </xf>
    <xf borderId="7" fillId="2" fontId="1" numFmtId="49" xfId="0" applyAlignment="1" applyBorder="1" applyFont="1" applyNumberFormat="1">
      <alignment horizontal="left" shrinkToFit="0" vertical="center" wrapText="1"/>
    </xf>
    <xf borderId="28" fillId="0" fontId="1" numFmtId="0" xfId="0" applyAlignment="1" applyBorder="1" applyFont="1">
      <alignment horizontal="left" shrinkToFit="0" vertical="center" wrapText="1"/>
    </xf>
    <xf borderId="10" fillId="0" fontId="1" numFmtId="4" xfId="0" applyAlignment="1" applyBorder="1" applyFont="1" applyNumberFormat="1">
      <alignment horizontal="center" readingOrder="0" shrinkToFit="0" vertical="center" wrapText="1"/>
    </xf>
    <xf borderId="21" fillId="0" fontId="1" numFmtId="3" xfId="0" applyAlignment="1" applyBorder="1" applyFont="1" applyNumberFormat="1">
      <alignment horizontal="center" readingOrder="0" shrinkToFit="0" vertical="center" wrapText="1"/>
    </xf>
    <xf borderId="10" fillId="0" fontId="1" numFmtId="4" xfId="0" applyAlignment="1" applyBorder="1" applyFont="1" applyNumberFormat="1">
      <alignment horizontal="center" shrinkToFit="0" vertical="center" wrapText="1"/>
    </xf>
    <xf borderId="7" fillId="3" fontId="1" numFmtId="0" xfId="0" applyAlignment="1" applyBorder="1" applyFont="1">
      <alignment horizontal="left" readingOrder="0" shrinkToFit="0" vertical="center" wrapText="1"/>
    </xf>
    <xf borderId="38" fillId="3" fontId="1" numFmtId="4" xfId="0" applyAlignment="1" applyBorder="1" applyFont="1" applyNumberFormat="1">
      <alignment horizontal="center" shrinkToFit="0" vertical="center" wrapText="1"/>
    </xf>
    <xf borderId="21" fillId="3" fontId="1" numFmtId="3" xfId="0" applyAlignment="1" applyBorder="1" applyFont="1" applyNumberFormat="1">
      <alignment horizontal="center" readingOrder="0" shrinkToFit="0" vertical="center" wrapText="1"/>
    </xf>
    <xf borderId="10" fillId="3" fontId="1" numFmtId="4" xfId="0" applyAlignment="1" applyBorder="1" applyFont="1" applyNumberFormat="1">
      <alignment horizontal="center" shrinkToFit="0" vertical="center" wrapText="1"/>
    </xf>
    <xf borderId="21" fillId="4" fontId="5" numFmtId="3" xfId="0" applyAlignment="1" applyBorder="1" applyFont="1" applyNumberFormat="1">
      <alignment horizontal="center" shrinkToFit="0" vertical="center" wrapText="1"/>
    </xf>
    <xf borderId="10" fillId="4" fontId="5" numFmtId="4" xfId="0" applyAlignment="1" applyBorder="1" applyFont="1" applyNumberFormat="1">
      <alignment horizontal="center" shrinkToFit="0" vertical="center" wrapText="0"/>
    </xf>
    <xf borderId="39" fillId="2" fontId="1" numFmtId="0" xfId="0" applyAlignment="1" applyBorder="1" applyFont="1">
      <alignment horizontal="right" shrinkToFit="0" vertical="center" wrapText="0"/>
    </xf>
    <xf borderId="40" fillId="0" fontId="2" numFmtId="0" xfId="0" applyBorder="1" applyFont="1"/>
    <xf borderId="41" fillId="0" fontId="2" numFmtId="0" xfId="0" applyBorder="1" applyFont="1"/>
    <xf borderId="30" fillId="0" fontId="15" numFmtId="0" xfId="0" applyAlignment="1" applyBorder="1" applyFont="1">
      <alignment horizontal="left" shrinkToFit="0" vertical="center" wrapText="1"/>
    </xf>
    <xf borderId="7" fillId="2" fontId="1" numFmtId="0" xfId="0" applyAlignment="1" applyBorder="1" applyFont="1">
      <alignment horizontal="left" shrinkToFit="0" vertical="bottom" wrapText="0"/>
    </xf>
    <xf borderId="10" fillId="0" fontId="5" numFmtId="165" xfId="0" applyAlignment="1" applyBorder="1" applyFont="1" applyNumberFormat="1">
      <alignment horizontal="center" shrinkToFit="0" vertical="center" wrapText="1"/>
    </xf>
    <xf borderId="42" fillId="2" fontId="1" numFmtId="0" xfId="0" applyAlignment="1" applyBorder="1" applyFont="1">
      <alignment horizontal="center" shrinkToFit="0" vertical="bottom" wrapText="0"/>
    </xf>
    <xf borderId="43" fillId="0" fontId="2" numFmtId="0" xfId="0" applyBorder="1" applyFont="1"/>
    <xf borderId="44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7" fillId="2" fontId="1" numFmtId="0" xfId="0" applyAlignment="1" applyBorder="1" applyFont="1">
      <alignment horizontal="left" shrinkToFit="0" vertical="center" wrapText="1"/>
    </xf>
    <xf borderId="10" fillId="0" fontId="5" numFmtId="165" xfId="0" applyAlignment="1" applyBorder="1" applyFont="1" applyNumberFormat="1">
      <alignment horizontal="center" shrinkToFit="0" vertical="center" wrapText="0"/>
    </xf>
    <xf borderId="7" fillId="0" fontId="1" numFmtId="0" xfId="0" applyAlignment="1" applyBorder="1" applyFont="1">
      <alignment horizontal="left" readingOrder="0" shrinkToFit="0" vertical="top" wrapText="1"/>
    </xf>
    <xf borderId="28" fillId="0" fontId="1" numFmtId="0" xfId="0" applyAlignment="1" applyBorder="1" applyFont="1">
      <alignment horizontal="center" shrinkToFit="0" vertical="center" wrapText="0"/>
    </xf>
    <xf borderId="45" fillId="0" fontId="2" numFmtId="0" xfId="0" applyBorder="1" applyFont="1"/>
    <xf borderId="46" fillId="0" fontId="1" numFmtId="0" xfId="0" applyAlignment="1" applyBorder="1" applyFont="1">
      <alignment horizontal="center" shrinkToFit="0" vertical="center" wrapText="1"/>
    </xf>
    <xf borderId="47" fillId="0" fontId="2" numFmtId="0" xfId="0" applyBorder="1" applyFont="1"/>
    <xf borderId="48" fillId="0" fontId="2" numFmtId="0" xfId="0" applyBorder="1" applyFont="1"/>
    <xf borderId="7" fillId="0" fontId="3" numFmtId="0" xfId="0" applyAlignment="1" applyBorder="1" applyFont="1">
      <alignment horizontal="left" readingOrder="0" shrinkToFit="0" vertical="bottom" wrapText="0"/>
    </xf>
    <xf borderId="10" fillId="0" fontId="3" numFmtId="0" xfId="0" applyAlignment="1" applyBorder="1" applyFont="1">
      <alignment horizontal="center" readingOrder="0" shrinkToFit="0" vertical="bottom" wrapText="0"/>
    </xf>
    <xf borderId="25" fillId="2" fontId="1" numFmtId="0" xfId="0" applyAlignment="1" applyBorder="1" applyFont="1">
      <alignment horizontal="center" shrinkToFit="0" vertical="bottom" wrapText="0"/>
    </xf>
    <xf borderId="49" fillId="0" fontId="1" numFmtId="0" xfId="0" applyAlignment="1" applyBorder="1" applyFont="1">
      <alignment horizontal="left" readingOrder="0" shrinkToFit="0" vertical="top" wrapText="1"/>
    </xf>
    <xf borderId="50" fillId="0" fontId="2" numFmtId="0" xfId="0" applyBorder="1" applyFont="1"/>
    <xf borderId="51" fillId="0" fontId="2" numFmtId="0" xfId="0" applyBorder="1" applyFont="1"/>
    <xf borderId="49" fillId="0" fontId="1" numFmtId="0" xfId="0" applyAlignment="1" applyBorder="1" applyFont="1">
      <alignment horizontal="center" shrinkToFit="0" vertical="center" wrapText="1"/>
    </xf>
    <xf borderId="52" fillId="0" fontId="2" numFmtId="0" xfId="0" applyBorder="1" applyFont="1"/>
    <xf borderId="52" fillId="0" fontId="1" numFmtId="0" xfId="0" applyAlignment="1" applyBorder="1" applyFont="1">
      <alignment horizontal="center" readingOrder="0" shrinkToFit="0" vertical="center" wrapText="1"/>
    </xf>
    <xf borderId="53" fillId="0" fontId="1" numFmtId="0" xfId="0" applyAlignment="1" applyBorder="1" applyFont="1">
      <alignment horizontal="center" readingOrder="0" shrinkToFit="0" vertical="center" wrapText="1"/>
    </xf>
    <xf borderId="54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55" fillId="0" fontId="2" numFmtId="0" xfId="0" applyBorder="1" applyFont="1"/>
    <xf borderId="56" fillId="0" fontId="22" numFmtId="0" xfId="0" applyAlignment="1" applyBorder="1" applyFont="1">
      <alignment horizontal="center" readingOrder="0" vertical="center"/>
    </xf>
    <xf borderId="57" fillId="0" fontId="2" numFmtId="0" xfId="0" applyBorder="1" applyFont="1"/>
    <xf borderId="58" fillId="0" fontId="22" numFmtId="0" xfId="0" applyAlignment="1" applyBorder="1" applyFont="1">
      <alignment horizontal="center" readingOrder="0" vertical="center"/>
    </xf>
    <xf borderId="58" fillId="0" fontId="22" numFmtId="3" xfId="0" applyAlignment="1" applyBorder="1" applyFont="1" applyNumberFormat="1">
      <alignment horizontal="center" readingOrder="0" vertical="center"/>
    </xf>
    <xf borderId="58" fillId="6" fontId="22" numFmtId="169" xfId="0" applyAlignment="1" applyBorder="1" applyFont="1" applyNumberFormat="1">
      <alignment horizontal="center" readingOrder="0" vertical="center"/>
    </xf>
    <xf borderId="58" fillId="6" fontId="23" numFmtId="4" xfId="0" applyAlignment="1" applyBorder="1" applyFont="1" applyNumberFormat="1">
      <alignment horizontal="right" vertical="center"/>
    </xf>
    <xf borderId="59" fillId="3" fontId="3" numFmtId="4" xfId="0" applyAlignment="1" applyBorder="1" applyFont="1" applyNumberFormat="1">
      <alignment horizontal="center" shrinkToFit="0" vertical="center" wrapText="0"/>
    </xf>
    <xf borderId="10" fillId="0" fontId="22" numFmtId="0" xfId="0" applyAlignment="1" applyBorder="1" applyFont="1">
      <alignment horizontal="center" readingOrder="0" vertical="center"/>
    </xf>
    <xf borderId="21" fillId="0" fontId="22" numFmtId="0" xfId="0" applyAlignment="1" applyBorder="1" applyFont="1">
      <alignment horizontal="center" readingOrder="0" vertical="center"/>
    </xf>
    <xf borderId="21" fillId="0" fontId="22" numFmtId="3" xfId="0" applyAlignment="1" applyBorder="1" applyFont="1" applyNumberFormat="1">
      <alignment horizontal="center" readingOrder="0" vertical="center"/>
    </xf>
    <xf borderId="21" fillId="6" fontId="22" numFmtId="169" xfId="0" applyAlignment="1" applyBorder="1" applyFont="1" applyNumberFormat="1">
      <alignment horizontal="center" readingOrder="0" vertical="center"/>
    </xf>
    <xf borderId="21" fillId="6" fontId="23" numFmtId="4" xfId="0" applyAlignment="1" applyBorder="1" applyFont="1" applyNumberFormat="1">
      <alignment horizontal="right" vertical="center"/>
    </xf>
    <xf borderId="60" fillId="0" fontId="2" numFmtId="0" xfId="0" applyBorder="1" applyFont="1"/>
    <xf borderId="21" fillId="0" fontId="22" numFmtId="3" xfId="0" applyAlignment="1" applyBorder="1" applyFont="1" applyNumberFormat="1">
      <alignment horizontal="center" vertical="center"/>
    </xf>
    <xf borderId="21" fillId="6" fontId="22" numFmtId="169" xfId="0" applyAlignment="1" applyBorder="1" applyFont="1" applyNumberFormat="1">
      <alignment horizontal="center" vertical="center"/>
    </xf>
    <xf borderId="61" fillId="0" fontId="2" numFmtId="0" xfId="0" applyBorder="1" applyFont="1"/>
    <xf borderId="62" fillId="0" fontId="2" numFmtId="0" xfId="0" applyBorder="1" applyFont="1"/>
    <xf borderId="63" fillId="0" fontId="22" numFmtId="0" xfId="0" applyAlignment="1" applyBorder="1" applyFont="1">
      <alignment horizontal="center" readingOrder="0" vertical="center"/>
    </xf>
    <xf borderId="64" fillId="0" fontId="2" numFmtId="0" xfId="0" applyBorder="1" applyFont="1"/>
    <xf borderId="65" fillId="0" fontId="22" numFmtId="1" xfId="0" applyAlignment="1" applyBorder="1" applyFont="1" applyNumberFormat="1">
      <alignment horizontal="center" readingOrder="0" vertical="center"/>
    </xf>
    <xf borderId="65" fillId="0" fontId="22" numFmtId="3" xfId="0" applyAlignment="1" applyBorder="1" applyFont="1" applyNumberFormat="1">
      <alignment horizontal="center" readingOrder="0" vertical="center"/>
    </xf>
    <xf borderId="65" fillId="6" fontId="22" numFmtId="169" xfId="0" applyAlignment="1" applyBorder="1" applyFont="1" applyNumberFormat="1">
      <alignment horizontal="center" readingOrder="0" vertical="center"/>
    </xf>
    <xf borderId="65" fillId="6" fontId="23" numFmtId="4" xfId="0" applyAlignment="1" applyBorder="1" applyFont="1" applyNumberFormat="1">
      <alignment horizontal="right" vertical="center"/>
    </xf>
    <xf borderId="66" fillId="0" fontId="2" numFmtId="0" xfId="0" applyBorder="1" applyFont="1"/>
    <xf borderId="1" fillId="0" fontId="3" numFmtId="0" xfId="0" applyAlignment="1" applyBorder="1" applyFont="1">
      <alignment horizontal="center" readingOrder="0" shrinkToFit="0" vertical="center" wrapText="1"/>
    </xf>
    <xf borderId="56" fillId="0" fontId="22" numFmtId="0" xfId="0" applyAlignment="1" applyBorder="1" applyFont="1">
      <alignment horizontal="center" vertical="center"/>
    </xf>
    <xf borderId="67" fillId="0" fontId="2" numFmtId="0" xfId="0" applyBorder="1" applyFont="1"/>
    <xf borderId="58" fillId="0" fontId="22" numFmtId="1" xfId="0" applyAlignment="1" applyBorder="1" applyFont="1" applyNumberFormat="1">
      <alignment horizontal="center" readingOrder="0" vertical="center"/>
    </xf>
    <xf borderId="58" fillId="6" fontId="22" numFmtId="4" xfId="0" applyAlignment="1" applyBorder="1" applyFont="1" applyNumberFormat="1">
      <alignment horizontal="right" vertical="center"/>
    </xf>
    <xf borderId="10" fillId="0" fontId="22" numFmtId="0" xfId="0" applyAlignment="1" applyBorder="1" applyFont="1">
      <alignment horizontal="center" vertical="center"/>
    </xf>
    <xf borderId="21" fillId="0" fontId="22" numFmtId="1" xfId="0" applyAlignment="1" applyBorder="1" applyFont="1" applyNumberFormat="1">
      <alignment horizontal="center" vertical="center"/>
    </xf>
    <xf borderId="21" fillId="6" fontId="22" numFmtId="4" xfId="0" applyAlignment="1" applyBorder="1" applyFont="1" applyNumberFormat="1">
      <alignment horizontal="right" vertical="center"/>
    </xf>
    <xf borderId="21" fillId="0" fontId="22" numFmtId="1" xfId="0" applyAlignment="1" applyBorder="1" applyFont="1" applyNumberFormat="1">
      <alignment horizontal="center" readingOrder="0" vertical="center"/>
    </xf>
    <xf borderId="21" fillId="6" fontId="22" numFmtId="4" xfId="0" applyAlignment="1" applyBorder="1" applyFont="1" applyNumberFormat="1">
      <alignment horizontal="right" readingOrder="0" vertical="center"/>
    </xf>
    <xf borderId="21" fillId="0" fontId="22" numFmtId="2" xfId="0" applyAlignment="1" applyBorder="1" applyFont="1" applyNumberFormat="1">
      <alignment horizontal="center" readingOrder="0" vertical="center"/>
    </xf>
    <xf borderId="10" fillId="0" fontId="23" numFmtId="0" xfId="0" applyAlignment="1" applyBorder="1" applyFont="1">
      <alignment horizontal="center" vertical="center"/>
    </xf>
    <xf borderId="63" fillId="0" fontId="23" numFmtId="0" xfId="0" applyAlignment="1" applyBorder="1" applyFont="1">
      <alignment horizontal="center" readingOrder="0" vertical="center"/>
    </xf>
    <xf borderId="68" fillId="0" fontId="2" numFmtId="0" xfId="0" applyBorder="1" applyFont="1"/>
    <xf borderId="65" fillId="0" fontId="22" numFmtId="1" xfId="0" applyAlignment="1" applyBorder="1" applyFont="1" applyNumberFormat="1">
      <alignment horizontal="center" vertical="center"/>
    </xf>
    <xf borderId="65" fillId="0" fontId="22" numFmtId="2" xfId="0" applyAlignment="1" applyBorder="1" applyFont="1" applyNumberFormat="1">
      <alignment horizontal="center" readingOrder="0" vertical="center"/>
    </xf>
    <xf borderId="65" fillId="6" fontId="22" numFmtId="4" xfId="0" applyAlignment="1" applyBorder="1" applyFont="1" applyNumberFormat="1">
      <alignment horizontal="right" readingOrder="0" vertical="center"/>
    </xf>
    <xf borderId="69" fillId="3" fontId="3" numFmtId="0" xfId="0" applyAlignment="1" applyBorder="1" applyFont="1">
      <alignment shrinkToFit="0" vertical="bottom" wrapText="0"/>
    </xf>
    <xf borderId="70" fillId="3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D9EAD3"/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1.14"/>
    <col customWidth="1" min="3" max="3" width="13.29"/>
    <col customWidth="1" min="4" max="4" width="10.14"/>
    <col customWidth="1" min="5" max="5" width="12.43"/>
    <col customWidth="1" min="6" max="6" width="11.29"/>
    <col customWidth="1" min="7" max="7" width="9.86"/>
    <col customWidth="1" min="8" max="8" width="11.29"/>
    <col customWidth="1" min="9" max="9" width="14.57"/>
    <col customWidth="1" min="10" max="10" width="10.71"/>
    <col customWidth="1" min="11" max="22" width="9.14"/>
  </cols>
  <sheetData>
    <row r="1" ht="8.2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2.5" customHeight="1">
      <c r="A2" s="5" t="s">
        <v>0</v>
      </c>
      <c r="B2" s="6"/>
      <c r="C2" s="6"/>
      <c r="D2" s="6"/>
      <c r="E2" s="6"/>
      <c r="F2" s="6"/>
      <c r="G2" s="6"/>
      <c r="H2" s="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 customHeight="1">
      <c r="A3" s="8" t="s">
        <v>1</v>
      </c>
      <c r="B3" s="9"/>
      <c r="C3" s="9"/>
      <c r="D3" s="9"/>
      <c r="E3" s="10"/>
      <c r="F3" s="11" t="s">
        <v>2</v>
      </c>
      <c r="G3" s="9"/>
      <c r="H3" s="9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15.75" customHeight="1">
      <c r="A4" s="8" t="s">
        <v>3</v>
      </c>
      <c r="B4" s="9"/>
      <c r="C4" s="9"/>
      <c r="D4" s="9"/>
      <c r="E4" s="10"/>
      <c r="F4" s="13" t="s">
        <v>4</v>
      </c>
      <c r="G4" s="9"/>
      <c r="H4" s="9"/>
      <c r="I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20.25" customHeight="1">
      <c r="A5" s="14" t="s">
        <v>5</v>
      </c>
      <c r="B5" s="9"/>
      <c r="C5" s="9"/>
      <c r="D5" s="9"/>
      <c r="E5" s="9"/>
      <c r="F5" s="9"/>
      <c r="G5" s="9"/>
      <c r="H5" s="9"/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5.75" customHeight="1">
      <c r="A6" s="15" t="s">
        <v>6</v>
      </c>
      <c r="B6" s="16" t="s">
        <v>7</v>
      </c>
      <c r="C6" s="9"/>
      <c r="D6" s="9"/>
      <c r="E6" s="9"/>
      <c r="F6" s="9"/>
      <c r="G6" s="10"/>
      <c r="H6" s="17" t="s">
        <v>8</v>
      </c>
      <c r="I6" s="1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5.75" customHeight="1">
      <c r="A7" s="15" t="s">
        <v>9</v>
      </c>
      <c r="B7" s="18" t="s">
        <v>10</v>
      </c>
      <c r="C7" s="9"/>
      <c r="D7" s="9"/>
      <c r="E7" s="9"/>
      <c r="F7" s="9"/>
      <c r="G7" s="10"/>
      <c r="H7" s="19" t="s">
        <v>11</v>
      </c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9.5" customHeight="1">
      <c r="A8" s="15" t="s">
        <v>12</v>
      </c>
      <c r="B8" s="16" t="s">
        <v>13</v>
      </c>
      <c r="C8" s="9"/>
      <c r="D8" s="9"/>
      <c r="E8" s="9"/>
      <c r="F8" s="9"/>
      <c r="G8" s="10"/>
      <c r="H8" s="20" t="s">
        <v>14</v>
      </c>
      <c r="I8" s="1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15.75" customHeight="1">
      <c r="A9" s="21" t="s">
        <v>15</v>
      </c>
      <c r="B9" s="16" t="s">
        <v>16</v>
      </c>
      <c r="C9" s="9"/>
      <c r="D9" s="9"/>
      <c r="E9" s="9"/>
      <c r="F9" s="9"/>
      <c r="G9" s="10"/>
      <c r="H9" s="19">
        <v>2018.0</v>
      </c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ht="15.75" customHeight="1">
      <c r="A10" s="21" t="s">
        <v>17</v>
      </c>
      <c r="B10" s="16" t="s">
        <v>18</v>
      </c>
      <c r="C10" s="9"/>
      <c r="D10" s="9"/>
      <c r="E10" s="9"/>
      <c r="F10" s="9"/>
      <c r="G10" s="10"/>
      <c r="H10" s="19" t="s">
        <v>19</v>
      </c>
      <c r="I10" s="1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ht="15.75" customHeight="1">
      <c r="A11" s="21" t="s">
        <v>20</v>
      </c>
      <c r="B11" s="18" t="s">
        <v>21</v>
      </c>
      <c r="C11" s="9"/>
      <c r="D11" s="9"/>
      <c r="E11" s="9"/>
      <c r="F11" s="9"/>
      <c r="G11" s="10"/>
      <c r="H11" s="19">
        <v>12.0</v>
      </c>
      <c r="I11" s="1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21.0" customHeight="1">
      <c r="A12" s="22" t="s">
        <v>22</v>
      </c>
      <c r="B12" s="9"/>
      <c r="C12" s="9"/>
      <c r="D12" s="9"/>
      <c r="E12" s="9"/>
      <c r="F12" s="9"/>
      <c r="G12" s="9"/>
      <c r="H12" s="9"/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ht="21.0" customHeight="1">
      <c r="A13" s="23" t="s">
        <v>23</v>
      </c>
      <c r="B13" s="6"/>
      <c r="C13" s="6"/>
      <c r="D13" s="6"/>
      <c r="E13" s="6"/>
      <c r="F13" s="6"/>
      <c r="G13" s="6"/>
      <c r="H13" s="6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21.0" customHeight="1">
      <c r="A14" s="24" t="s">
        <v>24</v>
      </c>
      <c r="B14" s="25"/>
      <c r="C14" s="25"/>
      <c r="D14" s="25"/>
      <c r="E14" s="25"/>
      <c r="F14" s="25"/>
      <c r="G14" s="25"/>
      <c r="H14" s="25"/>
      <c r="I14" s="2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50.25" customHeight="1">
      <c r="A15" s="27" t="s">
        <v>25</v>
      </c>
      <c r="B15" s="9"/>
      <c r="C15" s="9"/>
      <c r="D15" s="9"/>
      <c r="E15" s="28"/>
      <c r="F15" s="29" t="s">
        <v>26</v>
      </c>
      <c r="G15" s="10"/>
      <c r="H15" s="29" t="s">
        <v>27</v>
      </c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2.75" customHeight="1">
      <c r="A16" s="8" t="s">
        <v>28</v>
      </c>
      <c r="B16" s="9"/>
      <c r="C16" s="9"/>
      <c r="D16" s="9"/>
      <c r="E16" s="10"/>
      <c r="F16" s="30" t="s">
        <v>29</v>
      </c>
      <c r="G16" s="10"/>
      <c r="H16" s="31">
        <v>1.0</v>
      </c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2.75" customHeight="1">
      <c r="A17" s="32" t="s">
        <v>30</v>
      </c>
      <c r="B17" s="9"/>
      <c r="C17" s="9"/>
      <c r="D17" s="9"/>
      <c r="E17" s="9"/>
      <c r="F17" s="9"/>
      <c r="G17" s="10"/>
      <c r="H17" s="33">
        <f>SUM(H16)</f>
        <v>1</v>
      </c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6.75" customHeight="1">
      <c r="A18" s="34"/>
      <c r="B18" s="9"/>
      <c r="C18" s="9"/>
      <c r="D18" s="9"/>
      <c r="E18" s="9"/>
      <c r="F18" s="9"/>
      <c r="G18" s="9"/>
      <c r="H18" s="9"/>
      <c r="I18" s="12"/>
      <c r="J18" s="3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26.25" customHeight="1">
      <c r="A19" s="36" t="s">
        <v>31</v>
      </c>
      <c r="B19" s="9"/>
      <c r="C19" s="9"/>
      <c r="D19" s="9"/>
      <c r="E19" s="9"/>
      <c r="F19" s="9"/>
      <c r="G19" s="9"/>
      <c r="H19" s="9"/>
      <c r="I19" s="12"/>
      <c r="J19" s="3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6.0" customHeight="1">
      <c r="A20" s="37"/>
      <c r="B20" s="9"/>
      <c r="C20" s="9"/>
      <c r="D20" s="9"/>
      <c r="E20" s="9"/>
      <c r="F20" s="9"/>
      <c r="G20" s="9"/>
      <c r="H20" s="9"/>
      <c r="I20" s="12"/>
      <c r="J20" s="3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3.5" customHeight="1">
      <c r="A21" s="38" t="s">
        <v>32</v>
      </c>
      <c r="B21" s="9"/>
      <c r="C21" s="9"/>
      <c r="D21" s="9"/>
      <c r="E21" s="9"/>
      <c r="F21" s="9"/>
      <c r="G21" s="9"/>
      <c r="H21" s="9"/>
      <c r="I21" s="12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ht="21.75" customHeight="1">
      <c r="A22" s="14" t="s">
        <v>33</v>
      </c>
      <c r="B22" s="9"/>
      <c r="C22" s="9"/>
      <c r="D22" s="9"/>
      <c r="E22" s="9"/>
      <c r="F22" s="9"/>
      <c r="G22" s="9"/>
      <c r="H22" s="9"/>
      <c r="I22" s="12"/>
      <c r="J22" s="39"/>
      <c r="K22" s="39"/>
      <c r="P22" s="39"/>
    </row>
    <row r="23" ht="27.0" customHeight="1">
      <c r="A23" s="15">
        <v>1.0</v>
      </c>
      <c r="B23" s="18" t="s">
        <v>34</v>
      </c>
      <c r="C23" s="9"/>
      <c r="D23" s="9"/>
      <c r="E23" s="9"/>
      <c r="F23" s="9"/>
      <c r="G23" s="10"/>
      <c r="H23" s="40" t="s">
        <v>35</v>
      </c>
      <c r="I23" s="1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9.5" customHeight="1">
      <c r="A24" s="41">
        <v>2.0</v>
      </c>
      <c r="B24" s="42" t="s">
        <v>36</v>
      </c>
      <c r="C24" s="9"/>
      <c r="D24" s="9"/>
      <c r="E24" s="9"/>
      <c r="F24" s="9"/>
      <c r="G24" s="10"/>
      <c r="H24" s="43" t="s">
        <v>37</v>
      </c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5.75" customHeight="1">
      <c r="A25" s="15">
        <v>3.0</v>
      </c>
      <c r="B25" s="18" t="s">
        <v>38</v>
      </c>
      <c r="C25" s="9"/>
      <c r="D25" s="9"/>
      <c r="E25" s="9"/>
      <c r="F25" s="9"/>
      <c r="G25" s="10"/>
      <c r="H25" s="44">
        <v>1447.6</v>
      </c>
      <c r="I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5.75" customHeight="1">
      <c r="A26" s="15">
        <v>4.0</v>
      </c>
      <c r="B26" s="18" t="s">
        <v>39</v>
      </c>
      <c r="C26" s="9"/>
      <c r="D26" s="9"/>
      <c r="E26" s="9"/>
      <c r="F26" s="9"/>
      <c r="G26" s="10"/>
      <c r="H26" s="45" t="s">
        <v>40</v>
      </c>
      <c r="I26" s="1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5.75" customHeight="1">
      <c r="A27" s="15">
        <v>5.0</v>
      </c>
      <c r="B27" s="18" t="s">
        <v>41</v>
      </c>
      <c r="C27" s="9"/>
      <c r="D27" s="9"/>
      <c r="E27" s="9"/>
      <c r="F27" s="9"/>
      <c r="G27" s="10"/>
      <c r="H27" s="46" t="s">
        <v>42</v>
      </c>
      <c r="I27" s="1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27.0" customHeight="1">
      <c r="A28" s="47">
        <v>6.0</v>
      </c>
      <c r="B28" s="48" t="s">
        <v>43</v>
      </c>
      <c r="C28" s="9"/>
      <c r="D28" s="9"/>
      <c r="E28" s="9"/>
      <c r="F28" s="9"/>
      <c r="G28" s="10"/>
      <c r="H28" s="49">
        <f>ROUND((H25/220),2)</f>
        <v>6.58</v>
      </c>
      <c r="I28" s="12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ht="23.25" customHeight="1">
      <c r="A29" s="47">
        <v>7.0</v>
      </c>
      <c r="B29" s="48" t="s">
        <v>44</v>
      </c>
      <c r="C29" s="9"/>
      <c r="D29" s="9"/>
      <c r="E29" s="9"/>
      <c r="F29" s="9"/>
      <c r="G29" s="10"/>
      <c r="H29" s="51">
        <f>ROUND(H28*1.5,2)</f>
        <v>9.87</v>
      </c>
      <c r="I29" s="12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ht="26.25" customHeight="1">
      <c r="A30" s="47">
        <v>8.0</v>
      </c>
      <c r="B30" s="48" t="s">
        <v>45</v>
      </c>
      <c r="C30" s="9"/>
      <c r="D30" s="9"/>
      <c r="E30" s="9"/>
      <c r="F30" s="9"/>
      <c r="G30" s="10"/>
      <c r="H30" s="49">
        <f>ROUND(H28*0.2,2)</f>
        <v>1.32</v>
      </c>
      <c r="I30" s="12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ht="16.5" customHeight="1">
      <c r="A31" s="47">
        <v>9.0</v>
      </c>
      <c r="B31" s="48" t="s">
        <v>46</v>
      </c>
      <c r="C31" s="9"/>
      <c r="D31" s="9"/>
      <c r="E31" s="9"/>
      <c r="F31" s="9"/>
      <c r="G31" s="10"/>
      <c r="H31" s="49">
        <f>ROUND(H28/6,2)</f>
        <v>1.1</v>
      </c>
      <c r="I31" s="12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ht="15.75" customHeight="1">
      <c r="A32" s="47">
        <v>10.0</v>
      </c>
      <c r="B32" s="52" t="s">
        <v>47</v>
      </c>
      <c r="C32" s="9"/>
      <c r="D32" s="9"/>
      <c r="E32" s="9"/>
      <c r="F32" s="9"/>
      <c r="G32" s="10"/>
      <c r="H32" s="53">
        <v>2.0</v>
      </c>
      <c r="I32" s="12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ht="9.0" customHeight="1">
      <c r="A33" s="34"/>
      <c r="B33" s="9"/>
      <c r="C33" s="9"/>
      <c r="D33" s="9"/>
      <c r="E33" s="9"/>
      <c r="F33" s="9"/>
      <c r="G33" s="9"/>
      <c r="H33" s="9"/>
      <c r="I33" s="1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20.25" customHeight="1">
      <c r="A34" s="54" t="s">
        <v>48</v>
      </c>
      <c r="B34" s="9"/>
      <c r="C34" s="9"/>
      <c r="D34" s="9"/>
      <c r="E34" s="9"/>
      <c r="F34" s="9"/>
      <c r="G34" s="9"/>
      <c r="H34" s="9"/>
      <c r="I34" s="1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20.25" customHeight="1">
      <c r="A35" s="38" t="s">
        <v>49</v>
      </c>
      <c r="B35" s="9"/>
      <c r="C35" s="9"/>
      <c r="D35" s="9"/>
      <c r="E35" s="9"/>
      <c r="F35" s="9"/>
      <c r="G35" s="9"/>
      <c r="H35" s="9"/>
      <c r="I35" s="1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30.0" customHeight="1">
      <c r="A36" s="55">
        <v>1.0</v>
      </c>
      <c r="B36" s="29" t="s">
        <v>50</v>
      </c>
      <c r="C36" s="9"/>
      <c r="D36" s="9"/>
      <c r="E36" s="9"/>
      <c r="F36" s="9"/>
      <c r="G36" s="10"/>
      <c r="H36" s="56" t="s">
        <v>51</v>
      </c>
      <c r="I36" s="57" t="s">
        <v>52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ht="15.75" customHeight="1">
      <c r="A37" s="15" t="s">
        <v>6</v>
      </c>
      <c r="B37" s="18" t="s">
        <v>53</v>
      </c>
      <c r="C37" s="9"/>
      <c r="D37" s="9"/>
      <c r="E37" s="9"/>
      <c r="F37" s="9"/>
      <c r="G37" s="9"/>
      <c r="H37" s="10"/>
      <c r="I37" s="59">
        <f>H25*2</f>
        <v>2895.2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5.75" customHeight="1">
      <c r="A38" s="21" t="s">
        <v>9</v>
      </c>
      <c r="B38" s="16" t="s">
        <v>54</v>
      </c>
      <c r="C38" s="9"/>
      <c r="D38" s="9"/>
      <c r="E38" s="9"/>
      <c r="F38" s="9"/>
      <c r="G38" s="10"/>
      <c r="H38" s="60">
        <v>0.3</v>
      </c>
      <c r="I38" s="59">
        <f>ROUND(H38*SUM(I37),2)</f>
        <v>868.56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5.75" customHeight="1">
      <c r="A39" s="15" t="s">
        <v>12</v>
      </c>
      <c r="B39" s="16" t="s">
        <v>55</v>
      </c>
      <c r="C39" s="9"/>
      <c r="D39" s="9"/>
      <c r="E39" s="9"/>
      <c r="F39" s="9"/>
      <c r="G39" s="9"/>
      <c r="H39" s="10"/>
      <c r="I39" s="61" t="s">
        <v>56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5.75" customHeight="1">
      <c r="A40" s="62" t="s">
        <v>57</v>
      </c>
      <c r="B40" s="9"/>
      <c r="C40" s="9"/>
      <c r="D40" s="9"/>
      <c r="E40" s="9"/>
      <c r="F40" s="9"/>
      <c r="G40" s="9"/>
      <c r="H40" s="10"/>
      <c r="I40" s="63">
        <f>SUM(I37:I39)</f>
        <v>3763.76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9.0" customHeight="1">
      <c r="A41" s="64"/>
      <c r="B41" s="9"/>
      <c r="C41" s="9"/>
      <c r="D41" s="9"/>
      <c r="E41" s="9"/>
      <c r="F41" s="9"/>
      <c r="G41" s="9"/>
      <c r="H41" s="9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30.75" customHeight="1">
      <c r="A42" s="15" t="s">
        <v>15</v>
      </c>
      <c r="B42" s="16" t="s">
        <v>58</v>
      </c>
      <c r="C42" s="9"/>
      <c r="D42" s="9"/>
      <c r="E42" s="9"/>
      <c r="F42" s="9"/>
      <c r="G42" s="9"/>
      <c r="H42" s="10"/>
      <c r="I42" s="65">
        <v>0.0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25.5" customHeight="1">
      <c r="A43" s="15" t="s">
        <v>17</v>
      </c>
      <c r="B43" s="16" t="s">
        <v>59</v>
      </c>
      <c r="C43" s="9"/>
      <c r="D43" s="9"/>
      <c r="E43" s="9"/>
      <c r="F43" s="9"/>
      <c r="G43" s="9"/>
      <c r="H43" s="10"/>
      <c r="I43" s="59">
        <f>ROUND($H$31*H32*15,2)</f>
        <v>33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43.5" customHeight="1">
      <c r="A44" s="66" t="s">
        <v>60</v>
      </c>
      <c r="B44" s="9"/>
      <c r="C44" s="9"/>
      <c r="D44" s="9"/>
      <c r="E44" s="9"/>
      <c r="F44" s="9"/>
      <c r="G44" s="9"/>
      <c r="H44" s="10"/>
      <c r="I44" s="67">
        <f>I42+I43</f>
        <v>33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8.75" customHeight="1">
      <c r="A45" s="62" t="s">
        <v>61</v>
      </c>
      <c r="B45" s="9"/>
      <c r="C45" s="9"/>
      <c r="D45" s="9"/>
      <c r="E45" s="9"/>
      <c r="F45" s="9"/>
      <c r="G45" s="9"/>
      <c r="H45" s="10"/>
      <c r="I45" s="68">
        <f>I40+I44</f>
        <v>3796.76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9.0" customHeight="1">
      <c r="A46" s="64"/>
      <c r="B46" s="9"/>
      <c r="C46" s="9"/>
      <c r="D46" s="9"/>
      <c r="E46" s="9"/>
      <c r="F46" s="9"/>
      <c r="G46" s="9"/>
      <c r="H46" s="9"/>
      <c r="I46" s="1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27.0" customHeight="1">
      <c r="A47" s="69" t="s">
        <v>62</v>
      </c>
      <c r="B47" s="9"/>
      <c r="C47" s="9"/>
      <c r="D47" s="9"/>
      <c r="E47" s="9"/>
      <c r="F47" s="9"/>
      <c r="G47" s="9"/>
      <c r="H47" s="9"/>
      <c r="I47" s="1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27.0" customHeight="1">
      <c r="A48" s="38" t="s">
        <v>63</v>
      </c>
      <c r="B48" s="9"/>
      <c r="C48" s="9"/>
      <c r="D48" s="9"/>
      <c r="E48" s="9"/>
      <c r="F48" s="9"/>
      <c r="G48" s="9"/>
      <c r="H48" s="9"/>
      <c r="I48" s="1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27.0" customHeight="1">
      <c r="A49" s="70" t="s">
        <v>64</v>
      </c>
      <c r="B49" s="9"/>
      <c r="C49" s="9"/>
      <c r="D49" s="9"/>
      <c r="E49" s="9"/>
      <c r="F49" s="9"/>
      <c r="G49" s="9"/>
      <c r="H49" s="9"/>
      <c r="I49" s="1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22.5" customHeight="1">
      <c r="A50" s="71" t="s">
        <v>65</v>
      </c>
      <c r="B50" s="72" t="s">
        <v>66</v>
      </c>
      <c r="C50" s="9"/>
      <c r="D50" s="9"/>
      <c r="E50" s="9"/>
      <c r="F50" s="9"/>
      <c r="G50" s="9"/>
      <c r="H50" s="10"/>
      <c r="I50" s="73" t="s">
        <v>67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9.5" customHeight="1">
      <c r="A51" s="71" t="s">
        <v>6</v>
      </c>
      <c r="B51" s="74" t="s">
        <v>68</v>
      </c>
      <c r="C51" s="9"/>
      <c r="D51" s="9"/>
      <c r="E51" s="9"/>
      <c r="F51" s="9"/>
      <c r="G51" s="9"/>
      <c r="H51" s="10"/>
      <c r="I51" s="75">
        <f>ROUND($I$40/12,2)</f>
        <v>313.65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18.75" customHeight="1">
      <c r="A52" s="71" t="s">
        <v>9</v>
      </c>
      <c r="B52" s="74" t="s">
        <v>69</v>
      </c>
      <c r="C52" s="9"/>
      <c r="D52" s="9"/>
      <c r="E52" s="9"/>
      <c r="F52" s="9"/>
      <c r="G52" s="9"/>
      <c r="H52" s="10"/>
      <c r="I52" s="76">
        <f>ROUND(($I$40/3)/12,2)</f>
        <v>104.55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5.75" customHeight="1">
      <c r="A53" s="77" t="s">
        <v>70</v>
      </c>
      <c r="B53" s="9"/>
      <c r="C53" s="9"/>
      <c r="D53" s="9"/>
      <c r="E53" s="9"/>
      <c r="F53" s="9"/>
      <c r="G53" s="9"/>
      <c r="H53" s="10"/>
      <c r="I53" s="78">
        <f>SUM(I51:I52)</f>
        <v>418.2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7.5" customHeight="1">
      <c r="A54" s="79"/>
      <c r="B54" s="9"/>
      <c r="C54" s="9"/>
      <c r="D54" s="9"/>
      <c r="E54" s="9"/>
      <c r="F54" s="9"/>
      <c r="G54" s="9"/>
      <c r="H54" s="9"/>
      <c r="I54" s="1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32.25" customHeight="1">
      <c r="A55" s="80" t="s">
        <v>71</v>
      </c>
      <c r="B55" s="9"/>
      <c r="C55" s="9"/>
      <c r="D55" s="9"/>
      <c r="E55" s="9"/>
      <c r="F55" s="9"/>
      <c r="G55" s="9"/>
      <c r="H55" s="9"/>
      <c r="I55" s="1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32.25" customHeight="1">
      <c r="A56" s="38" t="s">
        <v>72</v>
      </c>
      <c r="B56" s="9"/>
      <c r="C56" s="9"/>
      <c r="D56" s="9"/>
      <c r="E56" s="9"/>
      <c r="F56" s="9"/>
      <c r="G56" s="9"/>
      <c r="H56" s="9"/>
      <c r="I56" s="1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27.0" customHeight="1">
      <c r="A57" s="81" t="s">
        <v>73</v>
      </c>
      <c r="B57" s="82" t="s">
        <v>74</v>
      </c>
      <c r="C57" s="9"/>
      <c r="D57" s="9"/>
      <c r="E57" s="9"/>
      <c r="F57" s="9"/>
      <c r="G57" s="10"/>
      <c r="H57" s="83" t="s">
        <v>51</v>
      </c>
      <c r="I57" s="84" t="s">
        <v>75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8.75" customHeight="1">
      <c r="A58" s="85" t="s">
        <v>6</v>
      </c>
      <c r="B58" s="18" t="s">
        <v>76</v>
      </c>
      <c r="C58" s="9"/>
      <c r="D58" s="9"/>
      <c r="E58" s="9"/>
      <c r="F58" s="9"/>
      <c r="G58" s="10"/>
      <c r="H58" s="86">
        <v>0.2</v>
      </c>
      <c r="I58" s="87">
        <f>ROUND((I40+I53)*H58,2)</f>
        <v>836.39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8.75" customHeight="1">
      <c r="A59" s="85" t="s">
        <v>9</v>
      </c>
      <c r="B59" s="18" t="s">
        <v>77</v>
      </c>
      <c r="C59" s="9"/>
      <c r="D59" s="9"/>
      <c r="E59" s="9"/>
      <c r="F59" s="9"/>
      <c r="G59" s="10"/>
      <c r="H59" s="86">
        <v>0.025</v>
      </c>
      <c r="I59" s="87">
        <f>ROUND((I40+I53)*H59,2)</f>
        <v>104.55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48.0" customHeight="1">
      <c r="A60" s="85" t="s">
        <v>12</v>
      </c>
      <c r="B60" s="18" t="s">
        <v>78</v>
      </c>
      <c r="C60" s="10"/>
      <c r="D60" s="88" t="s">
        <v>79</v>
      </c>
      <c r="E60" s="89">
        <v>0.03</v>
      </c>
      <c r="F60" s="88" t="s">
        <v>80</v>
      </c>
      <c r="G60" s="90">
        <v>1.0</v>
      </c>
      <c r="H60" s="86">
        <f>ROUND((E60*G60),6)</f>
        <v>0.03</v>
      </c>
      <c r="I60" s="87">
        <f>ROUND((I40+I53)*H60,2)</f>
        <v>125.46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5.75" customHeight="1">
      <c r="A61" s="85" t="s">
        <v>15</v>
      </c>
      <c r="B61" s="18" t="s">
        <v>81</v>
      </c>
      <c r="C61" s="9"/>
      <c r="D61" s="9"/>
      <c r="E61" s="9"/>
      <c r="F61" s="9"/>
      <c r="G61" s="10"/>
      <c r="H61" s="86">
        <v>0.015</v>
      </c>
      <c r="I61" s="87">
        <f>ROUND((I40+I53)*H61,2)</f>
        <v>62.73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5.75" customHeight="1">
      <c r="A62" s="85" t="s">
        <v>17</v>
      </c>
      <c r="B62" s="18" t="s">
        <v>82</v>
      </c>
      <c r="C62" s="9"/>
      <c r="D62" s="9"/>
      <c r="E62" s="9"/>
      <c r="F62" s="9"/>
      <c r="G62" s="10"/>
      <c r="H62" s="86">
        <v>0.01</v>
      </c>
      <c r="I62" s="87">
        <f>ROUND((I40+I53)*H62,2)</f>
        <v>41.82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5.75" customHeight="1">
      <c r="A63" s="85" t="s">
        <v>20</v>
      </c>
      <c r="B63" s="18" t="s">
        <v>83</v>
      </c>
      <c r="C63" s="9"/>
      <c r="D63" s="9"/>
      <c r="E63" s="9"/>
      <c r="F63" s="9"/>
      <c r="G63" s="10"/>
      <c r="H63" s="86">
        <v>0.006</v>
      </c>
      <c r="I63" s="87">
        <f>ROUND((I40+I53)*H63,2)</f>
        <v>25.09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5.75" customHeight="1">
      <c r="A64" s="85" t="s">
        <v>84</v>
      </c>
      <c r="B64" s="18" t="s">
        <v>85</v>
      </c>
      <c r="C64" s="9"/>
      <c r="D64" s="9"/>
      <c r="E64" s="9"/>
      <c r="F64" s="9"/>
      <c r="G64" s="10"/>
      <c r="H64" s="86">
        <v>0.002</v>
      </c>
      <c r="I64" s="87">
        <f>ROUND((I40+I53)*H64,2)</f>
        <v>8.36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5.75" customHeight="1">
      <c r="A65" s="85" t="s">
        <v>86</v>
      </c>
      <c r="B65" s="18" t="s">
        <v>87</v>
      </c>
      <c r="C65" s="9"/>
      <c r="D65" s="9"/>
      <c r="E65" s="9"/>
      <c r="F65" s="9"/>
      <c r="G65" s="10"/>
      <c r="H65" s="86">
        <v>0.08</v>
      </c>
      <c r="I65" s="87">
        <f>ROUND((I40+I53)*H65,2)</f>
        <v>334.56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5.75" customHeight="1">
      <c r="A66" s="91" t="s">
        <v>70</v>
      </c>
      <c r="B66" s="9"/>
      <c r="C66" s="9"/>
      <c r="D66" s="9"/>
      <c r="E66" s="9"/>
      <c r="F66" s="9"/>
      <c r="G66" s="10"/>
      <c r="H66" s="92">
        <f t="shared" ref="H66:I66" si="1">SUM(H58:H65)</f>
        <v>0.368</v>
      </c>
      <c r="I66" s="93">
        <f t="shared" si="1"/>
        <v>1538.96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9.75" customHeight="1">
      <c r="A67" s="34"/>
      <c r="B67" s="9"/>
      <c r="C67" s="9"/>
      <c r="D67" s="9"/>
      <c r="E67" s="9"/>
      <c r="F67" s="9"/>
      <c r="G67" s="9"/>
      <c r="H67" s="9"/>
      <c r="I67" s="1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20.25" customHeight="1">
      <c r="A68" s="94" t="s">
        <v>88</v>
      </c>
      <c r="B68" s="9"/>
      <c r="C68" s="9"/>
      <c r="D68" s="9"/>
      <c r="E68" s="9"/>
      <c r="F68" s="9"/>
      <c r="G68" s="9"/>
      <c r="H68" s="9"/>
      <c r="I68" s="1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20.25" customHeight="1">
      <c r="A69" s="38" t="s">
        <v>89</v>
      </c>
      <c r="B69" s="9"/>
      <c r="C69" s="9"/>
      <c r="D69" s="9"/>
      <c r="E69" s="9"/>
      <c r="F69" s="9"/>
      <c r="G69" s="9"/>
      <c r="H69" s="9"/>
      <c r="I69" s="1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27.0" customHeight="1">
      <c r="A70" s="95" t="s">
        <v>90</v>
      </c>
      <c r="B70" s="29" t="s">
        <v>91</v>
      </c>
      <c r="C70" s="9"/>
      <c r="D70" s="9"/>
      <c r="E70" s="9"/>
      <c r="F70" s="9"/>
      <c r="G70" s="9"/>
      <c r="H70" s="10"/>
      <c r="I70" s="96" t="s">
        <v>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23.25" customHeight="1">
      <c r="A71" s="97" t="s">
        <v>6</v>
      </c>
      <c r="B71" s="16" t="s">
        <v>92</v>
      </c>
      <c r="C71" s="9"/>
      <c r="D71" s="9"/>
      <c r="E71" s="9"/>
      <c r="F71" s="9"/>
      <c r="G71" s="9"/>
      <c r="H71" s="9"/>
      <c r="I71" s="87">
        <f>IF(ROUND((H72*H73*H74)-(I37*H75),2)&lt;0,0,ROUND((H72*H73*H74)-(I37*H75),2))</f>
        <v>84.29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27.0" customHeight="1">
      <c r="A72" s="97"/>
      <c r="B72" s="18" t="s">
        <v>93</v>
      </c>
      <c r="C72" s="9"/>
      <c r="D72" s="9"/>
      <c r="E72" s="9"/>
      <c r="F72" s="9"/>
      <c r="G72" s="9"/>
      <c r="H72" s="98">
        <v>4.3</v>
      </c>
      <c r="I72" s="99" t="s">
        <v>56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19.5" customHeight="1">
      <c r="A73" s="97"/>
      <c r="B73" s="18" t="s">
        <v>94</v>
      </c>
      <c r="C73" s="9"/>
      <c r="D73" s="9"/>
      <c r="E73" s="9"/>
      <c r="F73" s="9"/>
      <c r="G73" s="10"/>
      <c r="H73" s="100">
        <v>2.0</v>
      </c>
      <c r="I73" s="99" t="s">
        <v>56</v>
      </c>
      <c r="J73" s="5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19.5" customHeight="1">
      <c r="A74" s="97"/>
      <c r="B74" s="48" t="s">
        <v>95</v>
      </c>
      <c r="C74" s="9"/>
      <c r="D74" s="9"/>
      <c r="E74" s="9"/>
      <c r="F74" s="9"/>
      <c r="G74" s="10"/>
      <c r="H74" s="101">
        <v>30.0</v>
      </c>
      <c r="I74" s="102" t="s">
        <v>56</v>
      </c>
      <c r="J74" s="5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19.5" customHeight="1">
      <c r="A75" s="97"/>
      <c r="B75" s="103" t="s">
        <v>96</v>
      </c>
      <c r="C75" s="9"/>
      <c r="D75" s="9"/>
      <c r="E75" s="9"/>
      <c r="F75" s="9"/>
      <c r="G75" s="10"/>
      <c r="H75" s="104">
        <v>0.06</v>
      </c>
      <c r="I75" s="102" t="s">
        <v>56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4.25" customHeight="1">
      <c r="A76" s="97" t="s">
        <v>9</v>
      </c>
      <c r="B76" s="18" t="s">
        <v>97</v>
      </c>
      <c r="C76" s="9"/>
      <c r="D76" s="9"/>
      <c r="E76" s="9"/>
      <c r="F76" s="9"/>
      <c r="G76" s="9"/>
      <c r="H76" s="9"/>
      <c r="I76" s="105">
        <f>ROUND(H78*H77*(1-H79),2)+ROUND(21.726*6*(1-H79),2)*0</f>
        <v>461.52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15.75" customHeight="1">
      <c r="A77" s="97"/>
      <c r="B77" s="74" t="s">
        <v>98</v>
      </c>
      <c r="C77" s="9"/>
      <c r="D77" s="9"/>
      <c r="E77" s="9"/>
      <c r="F77" s="9"/>
      <c r="G77" s="9"/>
      <c r="H77" s="98">
        <v>19.23</v>
      </c>
      <c r="I77" s="99" t="s">
        <v>56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15.75" customHeight="1">
      <c r="A78" s="97"/>
      <c r="B78" s="18" t="s">
        <v>99</v>
      </c>
      <c r="C78" s="9"/>
      <c r="D78" s="9"/>
      <c r="E78" s="9"/>
      <c r="F78" s="9"/>
      <c r="G78" s="9"/>
      <c r="H78" s="101">
        <v>30.0</v>
      </c>
      <c r="I78" s="9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ht="15.75" customHeight="1">
      <c r="A79" s="97"/>
      <c r="B79" s="48" t="s">
        <v>100</v>
      </c>
      <c r="C79" s="9"/>
      <c r="D79" s="9"/>
      <c r="E79" s="9"/>
      <c r="F79" s="9"/>
      <c r="G79" s="10"/>
      <c r="H79" s="104">
        <v>0.2</v>
      </c>
      <c r="I79" s="9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5.75" customHeight="1">
      <c r="A80" s="97" t="s">
        <v>12</v>
      </c>
      <c r="B80" s="18" t="s">
        <v>101</v>
      </c>
      <c r="C80" s="9"/>
      <c r="D80" s="9"/>
      <c r="E80" s="9"/>
      <c r="F80" s="9"/>
      <c r="G80" s="9"/>
      <c r="H80" s="9"/>
      <c r="I80" s="87">
        <v>0.0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26.25" customHeight="1">
      <c r="A81" s="97" t="s">
        <v>15</v>
      </c>
      <c r="B81" s="16" t="s">
        <v>102</v>
      </c>
      <c r="C81" s="9"/>
      <c r="D81" s="9"/>
      <c r="E81" s="9"/>
      <c r="F81" s="9"/>
      <c r="G81" s="9"/>
      <c r="H81" s="9"/>
      <c r="I81" s="87">
        <f>ROUND(I40*26*0.00023,2)</f>
        <v>22.51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ht="18.75" customHeight="1">
      <c r="A82" s="97" t="s">
        <v>17</v>
      </c>
      <c r="B82" s="16" t="s">
        <v>103</v>
      </c>
      <c r="C82" s="9"/>
      <c r="D82" s="9"/>
      <c r="E82" s="9"/>
      <c r="F82" s="9"/>
      <c r="G82" s="9"/>
      <c r="H82" s="10"/>
      <c r="I82" s="87">
        <f>ROUND(($I$37*0.0052066)/12,2)</f>
        <v>1.26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15.75" customHeight="1">
      <c r="A83" s="97" t="s">
        <v>20</v>
      </c>
      <c r="B83" s="106" t="s">
        <v>104</v>
      </c>
      <c r="C83" s="9"/>
      <c r="D83" s="9"/>
      <c r="E83" s="9"/>
      <c r="F83" s="9"/>
      <c r="G83" s="9"/>
      <c r="H83" s="9"/>
      <c r="I83" s="107">
        <v>0.0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ht="18.0" customHeight="1">
      <c r="A84" s="95"/>
      <c r="B84" s="108" t="s">
        <v>70</v>
      </c>
      <c r="C84" s="9"/>
      <c r="D84" s="9"/>
      <c r="E84" s="9"/>
      <c r="F84" s="9"/>
      <c r="G84" s="9"/>
      <c r="H84" s="28"/>
      <c r="I84" s="93">
        <f>SUM(I71:I83)</f>
        <v>569.58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ht="9.0" customHeight="1">
      <c r="A85" s="34"/>
      <c r="B85" s="9"/>
      <c r="C85" s="9"/>
      <c r="D85" s="9"/>
      <c r="E85" s="9"/>
      <c r="F85" s="9"/>
      <c r="G85" s="9"/>
      <c r="H85" s="9"/>
      <c r="I85" s="1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17.25" customHeight="1">
      <c r="A86" s="109" t="s">
        <v>105</v>
      </c>
      <c r="B86" s="9"/>
      <c r="C86" s="9"/>
      <c r="D86" s="9"/>
      <c r="E86" s="9"/>
      <c r="F86" s="9"/>
      <c r="G86" s="9"/>
      <c r="H86" s="9"/>
      <c r="I86" s="1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15.75" customHeight="1">
      <c r="A87" s="110">
        <v>2.0</v>
      </c>
      <c r="B87" s="82" t="s">
        <v>106</v>
      </c>
      <c r="C87" s="9"/>
      <c r="D87" s="9"/>
      <c r="E87" s="9"/>
      <c r="F87" s="9"/>
      <c r="G87" s="9"/>
      <c r="H87" s="10"/>
      <c r="I87" s="84" t="s">
        <v>67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ht="14.25" customHeight="1">
      <c r="A88" s="41" t="s">
        <v>65</v>
      </c>
      <c r="B88" s="74" t="s">
        <v>107</v>
      </c>
      <c r="C88" s="9"/>
      <c r="D88" s="9"/>
      <c r="E88" s="9"/>
      <c r="F88" s="9"/>
      <c r="G88" s="9"/>
      <c r="H88" s="10"/>
      <c r="I88" s="111">
        <f>I53</f>
        <v>418.2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14.25" customHeight="1">
      <c r="A89" s="41" t="s">
        <v>73</v>
      </c>
      <c r="B89" s="42" t="s">
        <v>74</v>
      </c>
      <c r="C89" s="9"/>
      <c r="D89" s="9"/>
      <c r="E89" s="9"/>
      <c r="F89" s="9"/>
      <c r="G89" s="9"/>
      <c r="H89" s="10"/>
      <c r="I89" s="111">
        <f>I66</f>
        <v>1538.96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14.25" customHeight="1">
      <c r="A90" s="41" t="s">
        <v>90</v>
      </c>
      <c r="B90" s="42" t="s">
        <v>91</v>
      </c>
      <c r="C90" s="9"/>
      <c r="D90" s="9"/>
      <c r="E90" s="9"/>
      <c r="F90" s="9"/>
      <c r="G90" s="9"/>
      <c r="H90" s="10"/>
      <c r="I90" s="111">
        <f>I84</f>
        <v>569.58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14.25" customHeight="1">
      <c r="A91" s="112" t="s">
        <v>70</v>
      </c>
      <c r="B91" s="9"/>
      <c r="C91" s="9"/>
      <c r="D91" s="9"/>
      <c r="E91" s="9"/>
      <c r="F91" s="9"/>
      <c r="G91" s="9"/>
      <c r="H91" s="10"/>
      <c r="I91" s="113">
        <f>SUM(I88+I89+I90)</f>
        <v>2526.74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8.25" customHeight="1">
      <c r="A92" s="114"/>
      <c r="B92" s="9"/>
      <c r="C92" s="9"/>
      <c r="D92" s="9"/>
      <c r="E92" s="9"/>
      <c r="F92" s="9"/>
      <c r="G92" s="9"/>
      <c r="H92" s="9"/>
      <c r="I92" s="1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20.25" customHeight="1">
      <c r="A93" s="115" t="s">
        <v>108</v>
      </c>
      <c r="B93" s="9"/>
      <c r="C93" s="9"/>
      <c r="D93" s="9"/>
      <c r="E93" s="9"/>
      <c r="F93" s="9"/>
      <c r="G93" s="9"/>
      <c r="H93" s="9"/>
      <c r="I93" s="1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>
      <c r="A94" s="38" t="s">
        <v>109</v>
      </c>
      <c r="B94" s="9"/>
      <c r="C94" s="9"/>
      <c r="D94" s="9"/>
      <c r="E94" s="9"/>
      <c r="F94" s="9"/>
      <c r="G94" s="9"/>
      <c r="H94" s="9"/>
      <c r="I94" s="1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>
      <c r="A95" s="95">
        <v>3.0</v>
      </c>
      <c r="B95" s="116" t="s">
        <v>110</v>
      </c>
      <c r="C95" s="9"/>
      <c r="D95" s="9"/>
      <c r="E95" s="9"/>
      <c r="F95" s="9"/>
      <c r="G95" s="9"/>
      <c r="H95" s="10"/>
      <c r="I95" s="117" t="s">
        <v>67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ht="44.25" customHeight="1">
      <c r="A96" s="118" t="s">
        <v>6</v>
      </c>
      <c r="B96" s="18" t="s">
        <v>111</v>
      </c>
      <c r="C96" s="9"/>
      <c r="D96" s="9"/>
      <c r="E96" s="9"/>
      <c r="F96" s="9"/>
      <c r="G96" s="9"/>
      <c r="H96" s="10"/>
      <c r="I96" s="119">
        <f>ROUND(((I40/12)+(I51/12)+(I40/12/12)+(I52/12))*(30/30)*0.05,2)</f>
        <v>18.73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12.75" customHeight="1">
      <c r="A97" s="120" t="s">
        <v>9</v>
      </c>
      <c r="B97" s="121" t="s">
        <v>112</v>
      </c>
      <c r="C97" s="9"/>
      <c r="D97" s="9"/>
      <c r="E97" s="9"/>
      <c r="F97" s="9"/>
      <c r="G97" s="9"/>
      <c r="H97" s="10"/>
      <c r="I97" s="122">
        <f>ROUND(H65*I96,2)</f>
        <v>1.5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25.5" customHeight="1">
      <c r="A98" s="120" t="s">
        <v>12</v>
      </c>
      <c r="B98" s="16" t="s">
        <v>113</v>
      </c>
      <c r="C98" s="9"/>
      <c r="D98" s="9"/>
      <c r="E98" s="9"/>
      <c r="F98" s="9"/>
      <c r="G98" s="9"/>
      <c r="H98" s="9"/>
      <c r="I98" s="87">
        <f>ROUND((0.08*0.5*SUM(I40+I51+I52+I111)*0.05),2)</f>
        <v>9.11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ht="25.5" customHeight="1">
      <c r="A99" s="120" t="s">
        <v>15</v>
      </c>
      <c r="B99" s="16" t="s">
        <v>114</v>
      </c>
      <c r="C99" s="9"/>
      <c r="D99" s="9"/>
      <c r="E99" s="9"/>
      <c r="F99" s="9"/>
      <c r="G99" s="9"/>
      <c r="H99" s="10"/>
      <c r="I99" s="122">
        <f>ROUND(((7/30)/H11)*I40*1,2)</f>
        <v>73.18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27.75" customHeight="1">
      <c r="A100" s="120" t="s">
        <v>17</v>
      </c>
      <c r="B100" s="121" t="s">
        <v>115</v>
      </c>
      <c r="C100" s="9"/>
      <c r="D100" s="9"/>
      <c r="E100" s="9"/>
      <c r="F100" s="9"/>
      <c r="G100" s="9"/>
      <c r="H100" s="10"/>
      <c r="I100" s="122">
        <f>ROUND(H66*I99,2)</f>
        <v>26.93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23.25" customHeight="1">
      <c r="A101" s="120" t="s">
        <v>20</v>
      </c>
      <c r="B101" s="16" t="s">
        <v>116</v>
      </c>
      <c r="C101" s="9"/>
      <c r="D101" s="9"/>
      <c r="E101" s="9"/>
      <c r="F101" s="9"/>
      <c r="G101" s="9"/>
      <c r="H101" s="10"/>
      <c r="I101" s="87">
        <f>ROUND(0.08*0.5*SUM(I40+$I$51+$I$52+$I$111)*1,2)</f>
        <v>182.26</v>
      </c>
      <c r="J101" s="12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5.75" customHeight="1">
      <c r="A102" s="91" t="s">
        <v>70</v>
      </c>
      <c r="B102" s="9"/>
      <c r="C102" s="9"/>
      <c r="D102" s="9"/>
      <c r="E102" s="9"/>
      <c r="F102" s="9"/>
      <c r="G102" s="9"/>
      <c r="H102" s="10"/>
      <c r="I102" s="93">
        <f>SUM(I96:I101)</f>
        <v>311.71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8.25" customHeight="1">
      <c r="A103" s="124"/>
      <c r="B103" s="9"/>
      <c r="C103" s="9"/>
      <c r="D103" s="9"/>
      <c r="E103" s="9"/>
      <c r="F103" s="9"/>
      <c r="G103" s="9"/>
      <c r="H103" s="9"/>
      <c r="I103" s="12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24.0" customHeight="1">
      <c r="A104" s="125" t="s">
        <v>117</v>
      </c>
      <c r="B104" s="9"/>
      <c r="C104" s="9"/>
      <c r="D104" s="9"/>
      <c r="E104" s="9"/>
      <c r="F104" s="9"/>
      <c r="G104" s="9"/>
      <c r="H104" s="9"/>
      <c r="I104" s="12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33.75" customHeight="1">
      <c r="A105" s="38" t="s">
        <v>118</v>
      </c>
      <c r="B105" s="9"/>
      <c r="C105" s="9"/>
      <c r="D105" s="9"/>
      <c r="E105" s="9"/>
      <c r="F105" s="9"/>
      <c r="G105" s="9"/>
      <c r="H105" s="9"/>
      <c r="I105" s="12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42.0" customHeight="1">
      <c r="A106" s="126" t="s">
        <v>119</v>
      </c>
      <c r="B106" s="9"/>
      <c r="C106" s="9"/>
      <c r="D106" s="9"/>
      <c r="E106" s="9"/>
      <c r="F106" s="9"/>
      <c r="G106" s="9"/>
      <c r="H106" s="10"/>
      <c r="I106" s="127">
        <f>I40+(I40/12)+I51+I52</f>
        <v>4495.606667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7.5" customHeight="1">
      <c r="A107" s="128"/>
      <c r="B107" s="9"/>
      <c r="C107" s="9"/>
      <c r="D107" s="9"/>
      <c r="E107" s="9"/>
      <c r="F107" s="9"/>
      <c r="G107" s="9"/>
      <c r="H107" s="9"/>
      <c r="I107" s="12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24.0" customHeight="1">
      <c r="A108" s="8" t="s">
        <v>120</v>
      </c>
      <c r="B108" s="9"/>
      <c r="C108" s="9"/>
      <c r="D108" s="9"/>
      <c r="E108" s="9"/>
      <c r="F108" s="9"/>
      <c r="G108" s="9"/>
      <c r="H108" s="9"/>
      <c r="I108" s="12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24.0" customHeight="1">
      <c r="A109" s="129" t="s">
        <v>121</v>
      </c>
      <c r="B109" s="9"/>
      <c r="C109" s="9"/>
      <c r="D109" s="9"/>
      <c r="E109" s="9"/>
      <c r="F109" s="9"/>
      <c r="G109" s="9"/>
      <c r="H109" s="9"/>
      <c r="I109" s="12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24.0" customHeight="1">
      <c r="A110" s="130" t="s">
        <v>122</v>
      </c>
      <c r="B110" s="116" t="s">
        <v>123</v>
      </c>
      <c r="C110" s="9"/>
      <c r="D110" s="9"/>
      <c r="E110" s="9"/>
      <c r="F110" s="9"/>
      <c r="G110" s="9"/>
      <c r="H110" s="10"/>
      <c r="I110" s="131" t="s">
        <v>67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4.25" customHeight="1">
      <c r="A111" s="97" t="s">
        <v>6</v>
      </c>
      <c r="B111" s="74" t="s">
        <v>124</v>
      </c>
      <c r="C111" s="9"/>
      <c r="D111" s="9"/>
      <c r="E111" s="9"/>
      <c r="F111" s="9"/>
      <c r="G111" s="10"/>
      <c r="H111" s="132"/>
      <c r="I111" s="133">
        <v>374.63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4.25" customHeight="1">
      <c r="A112" s="47" t="s">
        <v>9</v>
      </c>
      <c r="B112" s="18" t="s">
        <v>125</v>
      </c>
      <c r="C112" s="9"/>
      <c r="D112" s="9"/>
      <c r="E112" s="9"/>
      <c r="F112" s="9"/>
      <c r="G112" s="9"/>
      <c r="H112" s="10"/>
      <c r="I112" s="87">
        <f>ROUND(((I106/30)*2.96)/12,2)</f>
        <v>36.96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5.75" customHeight="1">
      <c r="A113" s="47" t="s">
        <v>12</v>
      </c>
      <c r="B113" s="18" t="s">
        <v>126</v>
      </c>
      <c r="C113" s="9"/>
      <c r="D113" s="9"/>
      <c r="E113" s="9"/>
      <c r="F113" s="9"/>
      <c r="G113" s="9"/>
      <c r="H113" s="10"/>
      <c r="I113" s="87">
        <f>ROUND((5/30)/12*0.015*(I106),2)</f>
        <v>0.94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3.5" customHeight="1">
      <c r="A114" s="47" t="s">
        <v>15</v>
      </c>
      <c r="B114" s="16" t="s">
        <v>127</v>
      </c>
      <c r="C114" s="9"/>
      <c r="D114" s="9"/>
      <c r="E114" s="9"/>
      <c r="F114" s="9"/>
      <c r="G114" s="9"/>
      <c r="H114" s="10"/>
      <c r="I114" s="87">
        <f>ROUND(((15/30)/12)*0.0078*(I106),2)</f>
        <v>1.46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3.5" customHeight="1">
      <c r="A115" s="97" t="s">
        <v>17</v>
      </c>
      <c r="B115" s="18" t="s">
        <v>128</v>
      </c>
      <c r="C115" s="9"/>
      <c r="D115" s="9"/>
      <c r="E115" s="9"/>
      <c r="F115" s="9"/>
      <c r="G115" s="9"/>
      <c r="H115" s="10"/>
      <c r="I115" s="87">
        <f>ROUND((1+1/3)/12*(4/12)*0.02*(I40),2)</f>
        <v>2.79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5.75" customHeight="1">
      <c r="A116" s="47" t="s">
        <v>20</v>
      </c>
      <c r="B116" s="121" t="s">
        <v>129</v>
      </c>
      <c r="C116" s="9"/>
      <c r="D116" s="9"/>
      <c r="E116" s="9"/>
      <c r="F116" s="9"/>
      <c r="G116" s="9"/>
      <c r="H116" s="10"/>
      <c r="I116" s="134">
        <f>ROUND(((3/30)/12)*($I$106),2)</f>
        <v>37.46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5.75" customHeight="1">
      <c r="A117" s="135" t="s">
        <v>130</v>
      </c>
      <c r="B117" s="9"/>
      <c r="C117" s="9"/>
      <c r="D117" s="9"/>
      <c r="E117" s="9"/>
      <c r="F117" s="9"/>
      <c r="G117" s="9"/>
      <c r="H117" s="10"/>
      <c r="I117" s="136">
        <f>SUM(I111:I116)</f>
        <v>454.24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5.75" customHeight="1">
      <c r="A118" s="47" t="s">
        <v>84</v>
      </c>
      <c r="B118" s="121" t="s">
        <v>131</v>
      </c>
      <c r="C118" s="9"/>
      <c r="D118" s="9"/>
      <c r="E118" s="9"/>
      <c r="F118" s="9"/>
      <c r="G118" s="9"/>
      <c r="H118" s="10"/>
      <c r="I118" s="137">
        <f>ROUND(H66*I117,2)</f>
        <v>167.16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5.75" customHeight="1">
      <c r="A119" s="91" t="s">
        <v>70</v>
      </c>
      <c r="B119" s="9"/>
      <c r="C119" s="9"/>
      <c r="D119" s="9"/>
      <c r="E119" s="9"/>
      <c r="F119" s="9"/>
      <c r="G119" s="9"/>
      <c r="H119" s="10"/>
      <c r="I119" s="93">
        <f>SUM(I117:I118)</f>
        <v>621.4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9.0" customHeight="1">
      <c r="A120" s="79"/>
      <c r="B120" s="9"/>
      <c r="C120" s="9"/>
      <c r="D120" s="9"/>
      <c r="E120" s="9"/>
      <c r="F120" s="9"/>
      <c r="G120" s="9"/>
      <c r="H120" s="9"/>
      <c r="I120" s="12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5.75" customHeight="1">
      <c r="A121" s="94" t="s">
        <v>132</v>
      </c>
      <c r="B121" s="9"/>
      <c r="C121" s="9"/>
      <c r="D121" s="9"/>
      <c r="E121" s="9"/>
      <c r="F121" s="9"/>
      <c r="G121" s="9"/>
      <c r="H121" s="9"/>
      <c r="I121" s="12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5.75" customHeight="1">
      <c r="A122" s="38" t="s">
        <v>133</v>
      </c>
      <c r="B122" s="9"/>
      <c r="C122" s="9"/>
      <c r="D122" s="9"/>
      <c r="E122" s="9"/>
      <c r="F122" s="9"/>
      <c r="G122" s="9"/>
      <c r="H122" s="9"/>
      <c r="I122" s="12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5.75" customHeight="1">
      <c r="A123" s="138" t="s">
        <v>134</v>
      </c>
      <c r="B123" s="139" t="s">
        <v>135</v>
      </c>
      <c r="C123" s="9"/>
      <c r="D123" s="9"/>
      <c r="E123" s="9"/>
      <c r="F123" s="9"/>
      <c r="G123" s="9"/>
      <c r="H123" s="10"/>
      <c r="I123" s="140" t="s">
        <v>67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22.5" customHeight="1">
      <c r="A124" s="71" t="s">
        <v>6</v>
      </c>
      <c r="B124" s="74" t="s">
        <v>136</v>
      </c>
      <c r="C124" s="9"/>
      <c r="D124" s="9"/>
      <c r="E124" s="9"/>
      <c r="F124" s="9"/>
      <c r="G124" s="9"/>
      <c r="H124" s="10"/>
      <c r="I124" s="141">
        <f>ROUND((H28*1.3)*30*1.2,2)</f>
        <v>307.94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5.75" customHeight="1">
      <c r="A125" s="71"/>
      <c r="B125" s="74" t="s">
        <v>137</v>
      </c>
      <c r="C125" s="9"/>
      <c r="D125" s="9"/>
      <c r="E125" s="9"/>
      <c r="F125" s="9"/>
      <c r="G125" s="9"/>
      <c r="H125" s="10"/>
      <c r="I125" s="142">
        <f>ROUND(I124/12,2)+ROUND(I124/12,2)+ROUND(I124/3/12,2)</f>
        <v>59.87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5.75" customHeight="1">
      <c r="A126" s="143" t="s">
        <v>70</v>
      </c>
      <c r="B126" s="9"/>
      <c r="C126" s="9"/>
      <c r="D126" s="9"/>
      <c r="E126" s="9"/>
      <c r="F126" s="9"/>
      <c r="G126" s="9"/>
      <c r="H126" s="10"/>
      <c r="I126" s="144">
        <f>SUM(I124)</f>
        <v>307.94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5.75" customHeight="1">
      <c r="A127" s="145" t="s">
        <v>9</v>
      </c>
      <c r="B127" s="42" t="s">
        <v>138</v>
      </c>
      <c r="C127" s="9"/>
      <c r="D127" s="9"/>
      <c r="E127" s="9"/>
      <c r="F127" s="9"/>
      <c r="G127" s="9"/>
      <c r="H127" s="10"/>
      <c r="I127" s="146">
        <f>ROUND(H66*I126,2)</f>
        <v>113.32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5.75" customHeight="1">
      <c r="A128" s="77" t="s">
        <v>70</v>
      </c>
      <c r="B128" s="9"/>
      <c r="C128" s="9"/>
      <c r="D128" s="9"/>
      <c r="E128" s="9"/>
      <c r="F128" s="9"/>
      <c r="G128" s="9"/>
      <c r="H128" s="10"/>
      <c r="I128" s="78">
        <f>SUM(I126:I127)</f>
        <v>421.26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7.5" customHeight="1">
      <c r="A129" s="79"/>
      <c r="B129" s="9"/>
      <c r="C129" s="9"/>
      <c r="D129" s="9"/>
      <c r="E129" s="9"/>
      <c r="F129" s="9"/>
      <c r="G129" s="9"/>
      <c r="H129" s="9"/>
      <c r="I129" s="12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7.25" customHeight="1">
      <c r="A130" s="94" t="s">
        <v>139</v>
      </c>
      <c r="B130" s="9"/>
      <c r="C130" s="9"/>
      <c r="D130" s="9"/>
      <c r="E130" s="9"/>
      <c r="F130" s="9"/>
      <c r="G130" s="9"/>
      <c r="H130" s="9"/>
      <c r="I130" s="12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23.25" customHeight="1">
      <c r="A131" s="110">
        <v>4.0</v>
      </c>
      <c r="B131" s="139" t="s">
        <v>140</v>
      </c>
      <c r="C131" s="9"/>
      <c r="D131" s="9"/>
      <c r="E131" s="9"/>
      <c r="F131" s="9"/>
      <c r="G131" s="9"/>
      <c r="H131" s="10"/>
      <c r="I131" s="140" t="s">
        <v>67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8.75" customHeight="1">
      <c r="A132" s="41" t="s">
        <v>122</v>
      </c>
      <c r="B132" s="147" t="s">
        <v>123</v>
      </c>
      <c r="C132" s="9"/>
      <c r="D132" s="9"/>
      <c r="E132" s="9"/>
      <c r="F132" s="9"/>
      <c r="G132" s="9"/>
      <c r="H132" s="10"/>
      <c r="I132" s="144">
        <f>I119</f>
        <v>621.4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21.75" customHeight="1">
      <c r="A133" s="41" t="s">
        <v>141</v>
      </c>
      <c r="B133" s="147" t="s">
        <v>135</v>
      </c>
      <c r="C133" s="9"/>
      <c r="D133" s="9"/>
      <c r="E133" s="9"/>
      <c r="F133" s="9"/>
      <c r="G133" s="9"/>
      <c r="H133" s="10"/>
      <c r="I133" s="144">
        <f>I128</f>
        <v>421.26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23.25" customHeight="1">
      <c r="A134" s="112" t="s">
        <v>70</v>
      </c>
      <c r="B134" s="9"/>
      <c r="C134" s="9"/>
      <c r="D134" s="9"/>
      <c r="E134" s="9"/>
      <c r="F134" s="9"/>
      <c r="G134" s="9"/>
      <c r="H134" s="10"/>
      <c r="I134" s="78">
        <f>SUM(I132+I133)</f>
        <v>1042.66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6.0" customHeight="1">
      <c r="A135" s="124"/>
      <c r="B135" s="9"/>
      <c r="C135" s="9"/>
      <c r="D135" s="9"/>
      <c r="E135" s="9"/>
      <c r="F135" s="9"/>
      <c r="G135" s="9"/>
      <c r="H135" s="9"/>
      <c r="I135" s="12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8.0" customHeight="1">
      <c r="A136" s="8" t="s">
        <v>142</v>
      </c>
      <c r="B136" s="9"/>
      <c r="C136" s="9"/>
      <c r="D136" s="9"/>
      <c r="E136" s="9"/>
      <c r="F136" s="9"/>
      <c r="G136" s="9"/>
      <c r="H136" s="9"/>
      <c r="I136" s="12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>
      <c r="A137" s="148" t="s">
        <v>143</v>
      </c>
      <c r="B137" s="9"/>
      <c r="C137" s="9"/>
      <c r="D137" s="9"/>
      <c r="E137" s="9"/>
      <c r="F137" s="9"/>
      <c r="G137" s="9"/>
      <c r="H137" s="9"/>
      <c r="I137" s="12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27.0" customHeight="1">
      <c r="A138" s="149">
        <v>5.0</v>
      </c>
      <c r="B138" s="29" t="s">
        <v>144</v>
      </c>
      <c r="C138" s="9"/>
      <c r="D138" s="9"/>
      <c r="E138" s="9"/>
      <c r="F138" s="9"/>
      <c r="G138" s="9"/>
      <c r="H138" s="10"/>
      <c r="I138" s="117" t="s">
        <v>67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27.0" customHeight="1">
      <c r="A139" s="97" t="s">
        <v>6</v>
      </c>
      <c r="B139" s="16" t="s">
        <v>145</v>
      </c>
      <c r="C139" s="9"/>
      <c r="D139" s="9"/>
      <c r="E139" s="9"/>
      <c r="F139" s="9"/>
      <c r="G139" s="9"/>
      <c r="H139" s="10"/>
      <c r="I139" s="87">
        <f>SUM(I366*2)/12</f>
        <v>171.3333333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5.75" customHeight="1">
      <c r="A140" s="97" t="s">
        <v>9</v>
      </c>
      <c r="B140" s="16" t="s">
        <v>146</v>
      </c>
      <c r="C140" s="9"/>
      <c r="D140" s="9"/>
      <c r="E140" s="9"/>
      <c r="F140" s="9"/>
      <c r="G140" s="9"/>
      <c r="H140" s="10"/>
      <c r="I140" s="127">
        <f>SUM(H378:H389)/12</f>
        <v>73.47916667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5.75" customHeight="1">
      <c r="A141" s="91" t="s">
        <v>147</v>
      </c>
      <c r="B141" s="9"/>
      <c r="C141" s="9"/>
      <c r="D141" s="9"/>
      <c r="E141" s="9"/>
      <c r="F141" s="9"/>
      <c r="G141" s="9"/>
      <c r="H141" s="10"/>
      <c r="I141" s="68">
        <f>ROUND(SUM(I139:I140),2)</f>
        <v>244.81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5.25" customHeight="1">
      <c r="A142" s="34"/>
      <c r="B142" s="9"/>
      <c r="C142" s="9"/>
      <c r="D142" s="9"/>
      <c r="E142" s="9"/>
      <c r="F142" s="9"/>
      <c r="G142" s="9"/>
      <c r="H142" s="9"/>
      <c r="I142" s="12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5.75" customHeight="1">
      <c r="A143" s="115" t="s">
        <v>148</v>
      </c>
      <c r="B143" s="9"/>
      <c r="C143" s="9"/>
      <c r="D143" s="9"/>
      <c r="E143" s="9"/>
      <c r="F143" s="9"/>
      <c r="G143" s="9"/>
      <c r="H143" s="9"/>
      <c r="I143" s="12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5.75" customHeight="1">
      <c r="A144" s="150" t="s">
        <v>149</v>
      </c>
      <c r="B144" s="9"/>
      <c r="C144" s="9"/>
      <c r="D144" s="9"/>
      <c r="E144" s="9"/>
      <c r="F144" s="9"/>
      <c r="G144" s="9"/>
      <c r="H144" s="9"/>
      <c r="I144" s="12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30.0" customHeight="1">
      <c r="A145" s="95">
        <v>6.0</v>
      </c>
      <c r="B145" s="116" t="s">
        <v>150</v>
      </c>
      <c r="C145" s="9"/>
      <c r="D145" s="9"/>
      <c r="E145" s="9"/>
      <c r="F145" s="9"/>
      <c r="G145" s="10"/>
      <c r="H145" s="151" t="s">
        <v>51</v>
      </c>
      <c r="I145" s="152" t="s">
        <v>75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50.25" customHeight="1">
      <c r="A146" s="153" t="s">
        <v>151</v>
      </c>
      <c r="B146" s="9"/>
      <c r="C146" s="9"/>
      <c r="D146" s="9"/>
      <c r="E146" s="9"/>
      <c r="F146" s="9"/>
      <c r="G146" s="9"/>
      <c r="H146" s="10"/>
      <c r="I146" s="154">
        <f>SUM(I45+I91+I102+I134+I141)</f>
        <v>7922.68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>
      <c r="A147" s="97" t="s">
        <v>6</v>
      </c>
      <c r="B147" s="121" t="s">
        <v>152</v>
      </c>
      <c r="C147" s="9"/>
      <c r="D147" s="9"/>
      <c r="E147" s="9"/>
      <c r="F147" s="9"/>
      <c r="G147" s="10"/>
      <c r="H147" s="155">
        <v>0.06</v>
      </c>
      <c r="I147" s="87">
        <f>ROUND(H147*I146,2)</f>
        <v>475.36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50.25" customHeight="1">
      <c r="A148" s="153" t="s">
        <v>153</v>
      </c>
      <c r="B148" s="9"/>
      <c r="C148" s="9"/>
      <c r="D148" s="9"/>
      <c r="E148" s="9"/>
      <c r="F148" s="9"/>
      <c r="G148" s="9"/>
      <c r="H148" s="10"/>
      <c r="I148" s="154">
        <f>SUM(I45+I91+I102+I134+I141+I147)</f>
        <v>8398.04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>
      <c r="A149" s="97" t="s">
        <v>9</v>
      </c>
      <c r="B149" s="121" t="s">
        <v>154</v>
      </c>
      <c r="C149" s="9"/>
      <c r="D149" s="9"/>
      <c r="E149" s="9"/>
      <c r="F149" s="9"/>
      <c r="G149" s="10"/>
      <c r="H149" s="156">
        <v>0.08</v>
      </c>
      <c r="I149" s="87">
        <f>ROUND(H149*I148,2)</f>
        <v>671.84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48.75" customHeight="1">
      <c r="A150" s="153" t="s">
        <v>155</v>
      </c>
      <c r="B150" s="9"/>
      <c r="C150" s="9"/>
      <c r="D150" s="9"/>
      <c r="E150" s="9"/>
      <c r="F150" s="9"/>
      <c r="G150" s="9"/>
      <c r="H150" s="10"/>
      <c r="I150" s="154">
        <f>SUM(I40+I91+I102+I134+I141+I147+I149)</f>
        <v>9036.88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5.75" customHeight="1">
      <c r="A151" s="97" t="s">
        <v>12</v>
      </c>
      <c r="B151" s="121" t="s">
        <v>156</v>
      </c>
      <c r="C151" s="9"/>
      <c r="D151" s="9"/>
      <c r="E151" s="9"/>
      <c r="F151" s="9"/>
      <c r="G151" s="9"/>
      <c r="H151" s="9"/>
      <c r="I151" s="12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2.75" customHeight="1">
      <c r="A152" s="97"/>
      <c r="B152" s="121" t="s">
        <v>157</v>
      </c>
      <c r="C152" s="9"/>
      <c r="D152" s="9"/>
      <c r="E152" s="9"/>
      <c r="F152" s="9"/>
      <c r="G152" s="10"/>
      <c r="H152" s="60" t="s">
        <v>56</v>
      </c>
      <c r="I152" s="99" t="s">
        <v>56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22.5" customHeight="1">
      <c r="A153" s="97"/>
      <c r="B153" s="157" t="s">
        <v>158</v>
      </c>
      <c r="C153" s="9"/>
      <c r="D153" s="9"/>
      <c r="E153" s="9"/>
      <c r="F153" s="9"/>
      <c r="G153" s="10"/>
      <c r="H153" s="158">
        <v>0.03</v>
      </c>
      <c r="I153" s="134">
        <f t="shared" ref="I153:I154" si="2">ROUND(($I$150/(1-$H$161))*H153,2)</f>
        <v>288.87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22.5" customHeight="1">
      <c r="A154" s="97"/>
      <c r="B154" s="157" t="s">
        <v>159</v>
      </c>
      <c r="C154" s="9"/>
      <c r="D154" s="9"/>
      <c r="E154" s="9"/>
      <c r="F154" s="9"/>
      <c r="G154" s="10"/>
      <c r="H154" s="158">
        <v>0.0065</v>
      </c>
      <c r="I154" s="134">
        <f t="shared" si="2"/>
        <v>62.59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29.25" customHeight="1">
      <c r="A155" s="97"/>
      <c r="B155" s="18" t="s">
        <v>160</v>
      </c>
      <c r="C155" s="9"/>
      <c r="D155" s="9"/>
      <c r="E155" s="9"/>
      <c r="F155" s="9"/>
      <c r="G155" s="10"/>
      <c r="H155" s="159" t="s">
        <v>56</v>
      </c>
      <c r="I155" s="99" t="s">
        <v>56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29.25" customHeight="1">
      <c r="A156" s="97"/>
      <c r="B156" s="18" t="s">
        <v>161</v>
      </c>
      <c r="C156" s="9"/>
      <c r="D156" s="9"/>
      <c r="E156" s="9"/>
      <c r="F156" s="9"/>
      <c r="G156" s="10"/>
      <c r="H156" s="159" t="s">
        <v>56</v>
      </c>
      <c r="I156" s="99" t="s">
        <v>56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8.0" customHeight="1">
      <c r="A157" s="97"/>
      <c r="B157" s="18" t="s">
        <v>162</v>
      </c>
      <c r="C157" s="9"/>
      <c r="D157" s="9"/>
      <c r="E157" s="9"/>
      <c r="F157" s="9"/>
      <c r="G157" s="9"/>
      <c r="H157" s="160" t="s">
        <v>56</v>
      </c>
      <c r="I157" s="161" t="s">
        <v>56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8.0" customHeight="1">
      <c r="A158" s="97"/>
      <c r="B158" s="18" t="s">
        <v>163</v>
      </c>
      <c r="C158" s="9"/>
      <c r="D158" s="9"/>
      <c r="E158" s="9"/>
      <c r="F158" s="9"/>
      <c r="G158" s="9"/>
      <c r="H158" s="160" t="s">
        <v>56</v>
      </c>
      <c r="I158" s="161" t="s">
        <v>56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>
      <c r="A159" s="97"/>
      <c r="B159" s="18" t="s">
        <v>164</v>
      </c>
      <c r="C159" s="9"/>
      <c r="D159" s="9"/>
      <c r="E159" s="9"/>
      <c r="F159" s="9"/>
      <c r="G159" s="10"/>
      <c r="H159" s="158">
        <v>0.025</v>
      </c>
      <c r="I159" s="134">
        <f>ROUND(($I$150/(1-$H$161))*H159,2)</f>
        <v>240.73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5.75" customHeight="1">
      <c r="A160" s="91" t="s">
        <v>70</v>
      </c>
      <c r="B160" s="9"/>
      <c r="C160" s="9"/>
      <c r="D160" s="9"/>
      <c r="E160" s="9"/>
      <c r="F160" s="9"/>
      <c r="G160" s="9"/>
      <c r="H160" s="10"/>
      <c r="I160" s="93">
        <f>SUM(I147+I149+I153+I154+I159)</f>
        <v>1739.39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5.75" customHeight="1">
      <c r="A161" s="162" t="s">
        <v>165</v>
      </c>
      <c r="B161" s="9"/>
      <c r="C161" s="9"/>
      <c r="D161" s="9"/>
      <c r="E161" s="9"/>
      <c r="F161" s="9"/>
      <c r="G161" s="10"/>
      <c r="H161" s="163">
        <f t="shared" ref="H161:I161" si="3">SUM(H153:H159)</f>
        <v>0.0615</v>
      </c>
      <c r="I161" s="164">
        <f t="shared" si="3"/>
        <v>592.19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2.75" customHeight="1">
      <c r="A162" s="165" t="s">
        <v>166</v>
      </c>
      <c r="B162" s="166"/>
      <c r="C162" s="167" t="s">
        <v>167</v>
      </c>
      <c r="D162" s="166"/>
      <c r="E162" s="166"/>
      <c r="F162" s="166"/>
      <c r="G162" s="166"/>
      <c r="H162" s="166"/>
      <c r="I162" s="16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2.0" customHeight="1">
      <c r="A163" s="169"/>
      <c r="C163" s="170" t="s">
        <v>168</v>
      </c>
      <c r="I163" s="171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3.5" customHeight="1">
      <c r="A164" s="172"/>
      <c r="B164" s="173"/>
      <c r="C164" s="174" t="s">
        <v>169</v>
      </c>
      <c r="D164" s="173"/>
      <c r="E164" s="173"/>
      <c r="F164" s="173"/>
      <c r="G164" s="173"/>
      <c r="H164" s="173"/>
      <c r="I164" s="17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5.25" customHeight="1">
      <c r="A165" s="124"/>
      <c r="B165" s="9"/>
      <c r="C165" s="9"/>
      <c r="D165" s="9"/>
      <c r="E165" s="9"/>
      <c r="F165" s="9"/>
      <c r="G165" s="9"/>
      <c r="H165" s="9"/>
      <c r="I165" s="12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23.25" customHeight="1">
      <c r="A166" s="125" t="s">
        <v>170</v>
      </c>
      <c r="B166" s="9"/>
      <c r="C166" s="9"/>
      <c r="D166" s="9"/>
      <c r="E166" s="9"/>
      <c r="F166" s="9"/>
      <c r="G166" s="9"/>
      <c r="H166" s="9"/>
      <c r="I166" s="12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>
      <c r="A167" s="14" t="s">
        <v>171</v>
      </c>
      <c r="B167" s="9"/>
      <c r="C167" s="9"/>
      <c r="D167" s="9"/>
      <c r="E167" s="9"/>
      <c r="F167" s="9"/>
      <c r="G167" s="9"/>
      <c r="H167" s="10"/>
      <c r="I167" s="96" t="s">
        <v>67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>
      <c r="A168" s="176" t="s">
        <v>6</v>
      </c>
      <c r="B168" s="177" t="s">
        <v>172</v>
      </c>
      <c r="C168" s="9"/>
      <c r="D168" s="9"/>
      <c r="E168" s="9"/>
      <c r="F168" s="9"/>
      <c r="G168" s="9"/>
      <c r="H168" s="9"/>
      <c r="I168" s="127">
        <f>I45</f>
        <v>3796.76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>
      <c r="A169" s="176" t="s">
        <v>9</v>
      </c>
      <c r="B169" s="177" t="s">
        <v>173</v>
      </c>
      <c r="C169" s="9"/>
      <c r="D169" s="9"/>
      <c r="E169" s="9"/>
      <c r="F169" s="9"/>
      <c r="G169" s="9"/>
      <c r="H169" s="9"/>
      <c r="I169" s="127">
        <f>I91</f>
        <v>2526.74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>
      <c r="A170" s="176" t="s">
        <v>12</v>
      </c>
      <c r="B170" s="177" t="s">
        <v>174</v>
      </c>
      <c r="C170" s="9"/>
      <c r="D170" s="9"/>
      <c r="E170" s="9"/>
      <c r="F170" s="9"/>
      <c r="G170" s="9"/>
      <c r="H170" s="9"/>
      <c r="I170" s="127">
        <f>I102</f>
        <v>311.71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>
      <c r="A171" s="176" t="s">
        <v>15</v>
      </c>
      <c r="B171" s="177" t="s">
        <v>175</v>
      </c>
      <c r="C171" s="9"/>
      <c r="D171" s="9"/>
      <c r="E171" s="9"/>
      <c r="F171" s="9"/>
      <c r="G171" s="9"/>
      <c r="H171" s="9"/>
      <c r="I171" s="127">
        <f>I134</f>
        <v>1042.66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>
      <c r="A172" s="176" t="s">
        <v>17</v>
      </c>
      <c r="B172" s="178" t="s">
        <v>176</v>
      </c>
      <c r="C172" s="9"/>
      <c r="D172" s="9"/>
      <c r="E172" s="9"/>
      <c r="F172" s="9"/>
      <c r="G172" s="9"/>
      <c r="H172" s="9"/>
      <c r="I172" s="127">
        <f>I141</f>
        <v>244.81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>
      <c r="A173" s="179" t="s">
        <v>177</v>
      </c>
      <c r="B173" s="9"/>
      <c r="C173" s="9"/>
      <c r="D173" s="9"/>
      <c r="E173" s="9"/>
      <c r="F173" s="9"/>
      <c r="G173" s="9"/>
      <c r="H173" s="28"/>
      <c r="I173" s="68">
        <f>SUM(I168:I172)</f>
        <v>7922.68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>
      <c r="A174" s="180" t="s">
        <v>20</v>
      </c>
      <c r="B174" s="177" t="s">
        <v>148</v>
      </c>
      <c r="C174" s="9"/>
      <c r="D174" s="9"/>
      <c r="E174" s="9"/>
      <c r="F174" s="9"/>
      <c r="G174" s="9"/>
      <c r="H174" s="9"/>
      <c r="I174" s="127">
        <f>I160</f>
        <v>1739.39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>
      <c r="A175" s="179" t="s">
        <v>178</v>
      </c>
      <c r="B175" s="9"/>
      <c r="C175" s="9"/>
      <c r="D175" s="9"/>
      <c r="E175" s="9"/>
      <c r="F175" s="9"/>
      <c r="G175" s="9"/>
      <c r="H175" s="28"/>
      <c r="I175" s="68">
        <f>I173+I174</f>
        <v>9662.07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7.5" customHeight="1">
      <c r="A176" s="181"/>
      <c r="B176" s="9"/>
      <c r="C176" s="9"/>
      <c r="D176" s="9"/>
      <c r="E176" s="9"/>
      <c r="F176" s="9"/>
      <c r="G176" s="9"/>
      <c r="H176" s="9"/>
      <c r="I176" s="12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2.0" customHeight="1">
      <c r="A177" s="22" t="s">
        <v>22</v>
      </c>
      <c r="B177" s="9"/>
      <c r="C177" s="9"/>
      <c r="D177" s="9"/>
      <c r="E177" s="9"/>
      <c r="F177" s="9"/>
      <c r="G177" s="9"/>
      <c r="H177" s="9"/>
      <c r="I177" s="1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2.0" customHeight="1">
      <c r="A178" s="182" t="s">
        <v>179</v>
      </c>
      <c r="B178" s="183"/>
      <c r="C178" s="183"/>
      <c r="D178" s="183"/>
      <c r="E178" s="183"/>
      <c r="F178" s="183"/>
      <c r="G178" s="183"/>
      <c r="H178" s="183"/>
      <c r="I178" s="18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2.0" customHeight="1">
      <c r="A179" s="24" t="s">
        <v>24</v>
      </c>
      <c r="B179" s="25"/>
      <c r="C179" s="25"/>
      <c r="D179" s="25"/>
      <c r="E179" s="25"/>
      <c r="F179" s="25"/>
      <c r="G179" s="25"/>
      <c r="H179" s="25"/>
      <c r="I179" s="2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2.0" customHeight="1">
      <c r="A180" s="27" t="s">
        <v>25</v>
      </c>
      <c r="B180" s="9"/>
      <c r="C180" s="9"/>
      <c r="D180" s="9"/>
      <c r="E180" s="28"/>
      <c r="F180" s="29" t="s">
        <v>26</v>
      </c>
      <c r="G180" s="10"/>
      <c r="H180" s="29" t="s">
        <v>27</v>
      </c>
      <c r="I180" s="12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2.0" customHeight="1">
      <c r="A181" s="66" t="s">
        <v>180</v>
      </c>
      <c r="B181" s="9"/>
      <c r="C181" s="9"/>
      <c r="D181" s="9"/>
      <c r="E181" s="10"/>
      <c r="F181" s="185" t="s">
        <v>29</v>
      </c>
      <c r="G181" s="10"/>
      <c r="H181" s="186">
        <v>2.0</v>
      </c>
      <c r="I181" s="12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ht="12.0" customHeight="1">
      <c r="A182" s="32" t="s">
        <v>30</v>
      </c>
      <c r="B182" s="9"/>
      <c r="C182" s="9"/>
      <c r="D182" s="9"/>
      <c r="E182" s="9"/>
      <c r="F182" s="9"/>
      <c r="G182" s="10"/>
      <c r="H182" s="33">
        <f>SUM(H181)</f>
        <v>2</v>
      </c>
      <c r="I182" s="1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ht="6.0" customHeight="1">
      <c r="A183" s="34"/>
      <c r="B183" s="9"/>
      <c r="C183" s="9"/>
      <c r="D183" s="9"/>
      <c r="E183" s="9"/>
      <c r="F183" s="9"/>
      <c r="G183" s="9"/>
      <c r="H183" s="9"/>
      <c r="I183" s="1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ht="12.75" customHeight="1">
      <c r="A184" s="36" t="s">
        <v>31</v>
      </c>
      <c r="B184" s="9"/>
      <c r="C184" s="9"/>
      <c r="D184" s="9"/>
      <c r="E184" s="9"/>
      <c r="F184" s="9"/>
      <c r="G184" s="9"/>
      <c r="H184" s="9"/>
      <c r="I184" s="1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ht="6.0" customHeight="1">
      <c r="A185" s="37"/>
      <c r="B185" s="9"/>
      <c r="C185" s="9"/>
      <c r="D185" s="9"/>
      <c r="E185" s="9"/>
      <c r="F185" s="9"/>
      <c r="G185" s="9"/>
      <c r="H185" s="9"/>
      <c r="I185" s="12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ht="12.0" customHeight="1">
      <c r="A186" s="38" t="s">
        <v>32</v>
      </c>
      <c r="B186" s="9"/>
      <c r="C186" s="9"/>
      <c r="D186" s="9"/>
      <c r="E186" s="9"/>
      <c r="F186" s="9"/>
      <c r="G186" s="9"/>
      <c r="H186" s="9"/>
      <c r="I186" s="12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ht="12.0" customHeight="1">
      <c r="A187" s="14" t="s">
        <v>33</v>
      </c>
      <c r="B187" s="9"/>
      <c r="C187" s="9"/>
      <c r="D187" s="9"/>
      <c r="E187" s="9"/>
      <c r="F187" s="9"/>
      <c r="G187" s="9"/>
      <c r="H187" s="9"/>
      <c r="I187" s="12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ht="12.0" customHeight="1">
      <c r="A188" s="15">
        <v>1.0</v>
      </c>
      <c r="B188" s="18" t="s">
        <v>34</v>
      </c>
      <c r="C188" s="9"/>
      <c r="D188" s="9"/>
      <c r="E188" s="9"/>
      <c r="F188" s="9"/>
      <c r="G188" s="10"/>
      <c r="H188" s="40" t="s">
        <v>35</v>
      </c>
      <c r="I188" s="12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ht="12.0" customHeight="1">
      <c r="A189" s="41">
        <v>2.0</v>
      </c>
      <c r="B189" s="42" t="s">
        <v>36</v>
      </c>
      <c r="C189" s="9"/>
      <c r="D189" s="9"/>
      <c r="E189" s="9"/>
      <c r="F189" s="9"/>
      <c r="G189" s="10"/>
      <c r="H189" s="43" t="s">
        <v>37</v>
      </c>
      <c r="I189" s="12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2.0" customHeight="1">
      <c r="A190" s="15">
        <v>3.0</v>
      </c>
      <c r="B190" s="18" t="s">
        <v>38</v>
      </c>
      <c r="C190" s="9"/>
      <c r="D190" s="9"/>
      <c r="E190" s="9"/>
      <c r="F190" s="9"/>
      <c r="G190" s="10"/>
      <c r="H190" s="44">
        <v>1447.6</v>
      </c>
      <c r="I190" s="12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ht="12.0" customHeight="1">
      <c r="A191" s="15">
        <v>4.0</v>
      </c>
      <c r="B191" s="18" t="s">
        <v>39</v>
      </c>
      <c r="C191" s="9"/>
      <c r="D191" s="9"/>
      <c r="E191" s="9"/>
      <c r="F191" s="9"/>
      <c r="G191" s="10"/>
      <c r="H191" s="45" t="s">
        <v>40</v>
      </c>
      <c r="I191" s="12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ht="12.0" customHeight="1">
      <c r="A192" s="15">
        <v>5.0</v>
      </c>
      <c r="B192" s="18" t="s">
        <v>41</v>
      </c>
      <c r="C192" s="9"/>
      <c r="D192" s="9"/>
      <c r="E192" s="9"/>
      <c r="F192" s="9"/>
      <c r="G192" s="10"/>
      <c r="H192" s="46" t="s">
        <v>42</v>
      </c>
      <c r="I192" s="12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ht="12.0" customHeight="1">
      <c r="A193" s="47">
        <v>6.0</v>
      </c>
      <c r="B193" s="48" t="s">
        <v>181</v>
      </c>
      <c r="C193" s="9"/>
      <c r="D193" s="9"/>
      <c r="E193" s="9"/>
      <c r="F193" s="9"/>
      <c r="G193" s="10"/>
      <c r="H193" s="49">
        <f>ROUND((H190/220),2)</f>
        <v>6.58</v>
      </c>
      <c r="I193" s="12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ht="12.0" customHeight="1">
      <c r="A194" s="47">
        <v>7.0</v>
      </c>
      <c r="B194" s="48" t="s">
        <v>182</v>
      </c>
      <c r="C194" s="9"/>
      <c r="D194" s="9"/>
      <c r="E194" s="9"/>
      <c r="F194" s="9"/>
      <c r="G194" s="10"/>
      <c r="H194" s="51">
        <f>ROUND(H193*1.5,2)</f>
        <v>9.87</v>
      </c>
      <c r="I194" s="1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ht="12.0" customHeight="1">
      <c r="A195" s="47">
        <v>8.0</v>
      </c>
      <c r="B195" s="48" t="s">
        <v>183</v>
      </c>
      <c r="C195" s="9"/>
      <c r="D195" s="9"/>
      <c r="E195" s="9"/>
      <c r="F195" s="9"/>
      <c r="G195" s="10"/>
      <c r="H195" s="49">
        <f>ROUND(H193*0.2,2)</f>
        <v>1.32</v>
      </c>
      <c r="I195" s="1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ht="12.0" customHeight="1">
      <c r="A196" s="47">
        <v>9.0</v>
      </c>
      <c r="B196" s="48" t="s">
        <v>46</v>
      </c>
      <c r="C196" s="9"/>
      <c r="D196" s="9"/>
      <c r="E196" s="9"/>
      <c r="F196" s="9"/>
      <c r="G196" s="10"/>
      <c r="H196" s="49">
        <f>ROUND(H193/6,2)</f>
        <v>1.1</v>
      </c>
      <c r="I196" s="1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ht="12.0" customHeight="1">
      <c r="A197" s="47">
        <v>10.0</v>
      </c>
      <c r="B197" s="52" t="s">
        <v>47</v>
      </c>
      <c r="C197" s="9"/>
      <c r="D197" s="9"/>
      <c r="E197" s="9"/>
      <c r="F197" s="9"/>
      <c r="G197" s="10"/>
      <c r="H197" s="53">
        <v>2.0</v>
      </c>
      <c r="I197" s="12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ht="6.0" customHeight="1">
      <c r="A198" s="37"/>
      <c r="B198" s="9"/>
      <c r="C198" s="9"/>
      <c r="D198" s="9"/>
      <c r="E198" s="9"/>
      <c r="F198" s="9"/>
      <c r="G198" s="9"/>
      <c r="H198" s="9"/>
      <c r="I198" s="12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ht="12.0" customHeight="1">
      <c r="A199" s="54" t="s">
        <v>48</v>
      </c>
      <c r="B199" s="9"/>
      <c r="C199" s="9"/>
      <c r="D199" s="9"/>
      <c r="E199" s="9"/>
      <c r="F199" s="9"/>
      <c r="G199" s="9"/>
      <c r="H199" s="9"/>
      <c r="I199" s="12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ht="13.5" customHeight="1">
      <c r="A200" s="38" t="s">
        <v>49</v>
      </c>
      <c r="B200" s="9"/>
      <c r="C200" s="9"/>
      <c r="D200" s="9"/>
      <c r="E200" s="9"/>
      <c r="F200" s="9"/>
      <c r="G200" s="9"/>
      <c r="H200" s="9"/>
      <c r="I200" s="12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ht="12.0" customHeight="1">
      <c r="A201" s="55">
        <v>1.0</v>
      </c>
      <c r="B201" s="29" t="s">
        <v>50</v>
      </c>
      <c r="C201" s="9"/>
      <c r="D201" s="9"/>
      <c r="E201" s="9"/>
      <c r="F201" s="9"/>
      <c r="G201" s="10"/>
      <c r="H201" s="56" t="s">
        <v>51</v>
      </c>
      <c r="I201" s="57" t="s">
        <v>52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ht="12.0" customHeight="1">
      <c r="A202" s="15" t="s">
        <v>6</v>
      </c>
      <c r="B202" s="18" t="s">
        <v>184</v>
      </c>
      <c r="C202" s="9"/>
      <c r="D202" s="9"/>
      <c r="E202" s="9"/>
      <c r="F202" s="9"/>
      <c r="G202" s="9"/>
      <c r="H202" s="10"/>
      <c r="I202" s="59">
        <f>H190*2</f>
        <v>2895.2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ht="12.0" customHeight="1">
      <c r="A203" s="15" t="s">
        <v>9</v>
      </c>
      <c r="B203" s="18" t="s">
        <v>185</v>
      </c>
      <c r="C203" s="9"/>
      <c r="D203" s="9"/>
      <c r="E203" s="9"/>
      <c r="F203" s="9"/>
      <c r="G203" s="9"/>
      <c r="H203" s="10"/>
      <c r="I203" s="59">
        <f>ROUND(2*8*15*H195,2)</f>
        <v>316.8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ht="12.0" customHeight="1">
      <c r="A204" s="15" t="s">
        <v>12</v>
      </c>
      <c r="B204" s="42" t="s">
        <v>186</v>
      </c>
      <c r="C204" s="9"/>
      <c r="D204" s="9"/>
      <c r="E204" s="9"/>
      <c r="F204" s="9"/>
      <c r="G204" s="9"/>
      <c r="H204" s="10"/>
      <c r="I204" s="59">
        <f>ROUND(H197*(((12*15)+15)-((44/6)*26))*H194,2)*0+ROUND(2*4.33*H194,2)</f>
        <v>85.47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ht="12.0" customHeight="1">
      <c r="A205" s="187" t="s">
        <v>15</v>
      </c>
      <c r="B205" s="188" t="s">
        <v>187</v>
      </c>
      <c r="C205" s="9"/>
      <c r="D205" s="9"/>
      <c r="E205" s="9"/>
      <c r="F205" s="9"/>
      <c r="G205" s="9"/>
      <c r="H205" s="10"/>
      <c r="I205" s="189">
        <f>ROUND(SUM(I203:I204)*0.2,2)</f>
        <v>80.45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ht="12.0" customHeight="1">
      <c r="A206" s="21" t="s">
        <v>15</v>
      </c>
      <c r="B206" s="16" t="s">
        <v>188</v>
      </c>
      <c r="C206" s="9"/>
      <c r="D206" s="9"/>
      <c r="E206" s="9"/>
      <c r="F206" s="9"/>
      <c r="G206" s="10"/>
      <c r="H206" s="60">
        <v>0.3</v>
      </c>
      <c r="I206" s="59">
        <f>ROUND(H206*SUM(I202:I205),2)</f>
        <v>1013.38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ht="12.0" customHeight="1">
      <c r="A207" s="21" t="s">
        <v>17</v>
      </c>
      <c r="B207" s="18" t="s">
        <v>189</v>
      </c>
      <c r="C207" s="9"/>
      <c r="D207" s="9"/>
      <c r="E207" s="9"/>
      <c r="F207" s="9"/>
      <c r="G207" s="9"/>
      <c r="H207" s="10"/>
      <c r="I207" s="99" t="s">
        <v>56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ht="12.0" customHeight="1">
      <c r="A208" s="62" t="s">
        <v>190</v>
      </c>
      <c r="B208" s="9"/>
      <c r="C208" s="9"/>
      <c r="D208" s="9"/>
      <c r="E208" s="9"/>
      <c r="F208" s="9"/>
      <c r="G208" s="9"/>
      <c r="H208" s="10"/>
      <c r="I208" s="63">
        <f>SUM(I202:I207)</f>
        <v>4391.3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ht="5.25" customHeight="1">
      <c r="A209" s="64"/>
      <c r="B209" s="9"/>
      <c r="C209" s="9"/>
      <c r="D209" s="9"/>
      <c r="E209" s="9"/>
      <c r="F209" s="9"/>
      <c r="G209" s="9"/>
      <c r="H209" s="9"/>
      <c r="I209" s="12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ht="12.0" customHeight="1">
      <c r="A210" s="15" t="s">
        <v>84</v>
      </c>
      <c r="B210" s="16" t="s">
        <v>191</v>
      </c>
      <c r="C210" s="9"/>
      <c r="D210" s="9"/>
      <c r="E210" s="9"/>
      <c r="F210" s="9"/>
      <c r="G210" s="9"/>
      <c r="H210" s="10"/>
      <c r="I210" s="65">
        <v>0.0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ht="12.0" customHeight="1">
      <c r="A211" s="15" t="s">
        <v>86</v>
      </c>
      <c r="B211" s="16" t="s">
        <v>192</v>
      </c>
      <c r="C211" s="9"/>
      <c r="D211" s="9"/>
      <c r="E211" s="9"/>
      <c r="F211" s="9"/>
      <c r="G211" s="9"/>
      <c r="H211" s="10"/>
      <c r="I211" s="59">
        <f>ROUND(H196*H197*15,2)</f>
        <v>33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ht="12.0" customHeight="1">
      <c r="A212" s="14" t="s">
        <v>193</v>
      </c>
      <c r="B212" s="9"/>
      <c r="C212" s="9"/>
      <c r="D212" s="9"/>
      <c r="E212" s="9"/>
      <c r="F212" s="9"/>
      <c r="G212" s="9"/>
      <c r="H212" s="10"/>
      <c r="I212" s="63">
        <f>I210+I211</f>
        <v>33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ht="12.0" customHeight="1">
      <c r="A213" s="62" t="s">
        <v>194</v>
      </c>
      <c r="B213" s="9"/>
      <c r="C213" s="9"/>
      <c r="D213" s="9"/>
      <c r="E213" s="9"/>
      <c r="F213" s="9"/>
      <c r="G213" s="9"/>
      <c r="H213" s="10"/>
      <c r="I213" s="68">
        <f>I208+I212</f>
        <v>4424.3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ht="6.0" customHeight="1">
      <c r="A214" s="64"/>
      <c r="B214" s="9"/>
      <c r="C214" s="9"/>
      <c r="D214" s="9"/>
      <c r="E214" s="9"/>
      <c r="F214" s="9"/>
      <c r="G214" s="9"/>
      <c r="H214" s="9"/>
      <c r="I214" s="12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ht="12.0" customHeight="1">
      <c r="A215" s="69" t="s">
        <v>62</v>
      </c>
      <c r="B215" s="9"/>
      <c r="C215" s="9"/>
      <c r="D215" s="9"/>
      <c r="E215" s="9"/>
      <c r="F215" s="9"/>
      <c r="G215" s="9"/>
      <c r="H215" s="9"/>
      <c r="I215" s="12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ht="12.0" customHeight="1">
      <c r="A216" s="38" t="s">
        <v>63</v>
      </c>
      <c r="B216" s="9"/>
      <c r="C216" s="9"/>
      <c r="D216" s="9"/>
      <c r="E216" s="9"/>
      <c r="F216" s="9"/>
      <c r="G216" s="9"/>
      <c r="H216" s="9"/>
      <c r="I216" s="12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ht="12.0" customHeight="1">
      <c r="A217" s="70" t="s">
        <v>64</v>
      </c>
      <c r="B217" s="9"/>
      <c r="C217" s="9"/>
      <c r="D217" s="9"/>
      <c r="E217" s="9"/>
      <c r="F217" s="9"/>
      <c r="G217" s="9"/>
      <c r="H217" s="9"/>
      <c r="I217" s="12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ht="12.0" customHeight="1">
      <c r="A218" s="71" t="s">
        <v>65</v>
      </c>
      <c r="B218" s="72" t="s">
        <v>66</v>
      </c>
      <c r="C218" s="9"/>
      <c r="D218" s="9"/>
      <c r="E218" s="9"/>
      <c r="F218" s="9"/>
      <c r="G218" s="9"/>
      <c r="H218" s="10"/>
      <c r="I218" s="73" t="s">
        <v>67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ht="12.0" customHeight="1">
      <c r="A219" s="71" t="s">
        <v>6</v>
      </c>
      <c r="B219" s="42" t="s">
        <v>195</v>
      </c>
      <c r="C219" s="9"/>
      <c r="D219" s="9"/>
      <c r="E219" s="9"/>
      <c r="F219" s="9"/>
      <c r="G219" s="10"/>
      <c r="H219" s="190">
        <v>0.0833</v>
      </c>
      <c r="I219" s="191">
        <f>ROUND(I208*H219,2)</f>
        <v>365.8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ht="12.0" customHeight="1">
      <c r="A220" s="71" t="s">
        <v>9</v>
      </c>
      <c r="B220" s="103" t="s">
        <v>196</v>
      </c>
      <c r="C220" s="9"/>
      <c r="D220" s="9"/>
      <c r="E220" s="9"/>
      <c r="F220" s="9"/>
      <c r="G220" s="10"/>
      <c r="H220" s="192">
        <v>0.03025</v>
      </c>
      <c r="I220" s="191">
        <f>ROUND(I208*H220,2)</f>
        <v>132.84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ht="12.0" customHeight="1">
      <c r="A221" s="77" t="s">
        <v>70</v>
      </c>
      <c r="B221" s="9"/>
      <c r="C221" s="9"/>
      <c r="D221" s="9"/>
      <c r="E221" s="9"/>
      <c r="F221" s="9"/>
      <c r="G221" s="9"/>
      <c r="H221" s="10"/>
      <c r="I221" s="93">
        <f>SUM(I219+I220)</f>
        <v>498.64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ht="6.0" customHeight="1">
      <c r="A222" s="193"/>
      <c r="B222" s="9"/>
      <c r="C222" s="9"/>
      <c r="D222" s="9"/>
      <c r="E222" s="9"/>
      <c r="F222" s="9"/>
      <c r="G222" s="9"/>
      <c r="H222" s="9"/>
      <c r="I222" s="1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ht="12.0" customHeight="1">
      <c r="A223" s="80" t="s">
        <v>197</v>
      </c>
      <c r="B223" s="9"/>
      <c r="C223" s="9"/>
      <c r="D223" s="9"/>
      <c r="E223" s="9"/>
      <c r="F223" s="9"/>
      <c r="G223" s="9"/>
      <c r="H223" s="9"/>
      <c r="I223" s="12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ht="12.0" customHeight="1">
      <c r="A224" s="38" t="s">
        <v>72</v>
      </c>
      <c r="B224" s="9"/>
      <c r="C224" s="9"/>
      <c r="D224" s="9"/>
      <c r="E224" s="9"/>
      <c r="F224" s="9"/>
      <c r="G224" s="9"/>
      <c r="H224" s="9"/>
      <c r="I224" s="12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ht="12.0" customHeight="1">
      <c r="A225" s="81" t="s">
        <v>73</v>
      </c>
      <c r="B225" s="82" t="s">
        <v>74</v>
      </c>
      <c r="C225" s="9"/>
      <c r="D225" s="9"/>
      <c r="E225" s="9"/>
      <c r="F225" s="9"/>
      <c r="G225" s="10"/>
      <c r="H225" s="151" t="s">
        <v>51</v>
      </c>
      <c r="I225" s="96" t="s">
        <v>75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ht="12.0" customHeight="1">
      <c r="A226" s="85" t="s">
        <v>6</v>
      </c>
      <c r="B226" s="18" t="s">
        <v>76</v>
      </c>
      <c r="C226" s="9"/>
      <c r="D226" s="9"/>
      <c r="E226" s="9"/>
      <c r="F226" s="9"/>
      <c r="G226" s="10"/>
      <c r="H226" s="86">
        <v>0.2</v>
      </c>
      <c r="I226" s="87">
        <f>ROUND((I208+I221)*H226,2)</f>
        <v>977.99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ht="12.0" customHeight="1">
      <c r="A227" s="85" t="s">
        <v>9</v>
      </c>
      <c r="B227" s="18" t="s">
        <v>77</v>
      </c>
      <c r="C227" s="9"/>
      <c r="D227" s="9"/>
      <c r="E227" s="9"/>
      <c r="F227" s="9"/>
      <c r="G227" s="10"/>
      <c r="H227" s="86">
        <v>0.025</v>
      </c>
      <c r="I227" s="87">
        <f>ROUND((I208+I221)*H227,2)</f>
        <v>122.25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ht="12.0" customHeight="1">
      <c r="A228" s="85" t="s">
        <v>12</v>
      </c>
      <c r="B228" s="42" t="s">
        <v>198</v>
      </c>
      <c r="C228" s="10"/>
      <c r="D228" s="88" t="s">
        <v>79</v>
      </c>
      <c r="E228" s="194">
        <v>0.03</v>
      </c>
      <c r="F228" s="88" t="s">
        <v>80</v>
      </c>
      <c r="G228" s="195">
        <v>1.0</v>
      </c>
      <c r="H228" s="86">
        <f>ROUND((E228*G228),6)</f>
        <v>0.03</v>
      </c>
      <c r="I228" s="87">
        <f>ROUND((I208+I221)*H228,2)</f>
        <v>146.7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ht="12.0" customHeight="1">
      <c r="A229" s="85" t="s">
        <v>15</v>
      </c>
      <c r="B229" s="18" t="s">
        <v>81</v>
      </c>
      <c r="C229" s="9"/>
      <c r="D229" s="9"/>
      <c r="E229" s="9"/>
      <c r="F229" s="9"/>
      <c r="G229" s="10"/>
      <c r="H229" s="86">
        <v>0.015</v>
      </c>
      <c r="I229" s="87">
        <f>ROUND((I208+I221)*H229,2)</f>
        <v>73.35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ht="12.0" customHeight="1">
      <c r="A230" s="85" t="s">
        <v>17</v>
      </c>
      <c r="B230" s="18" t="s">
        <v>82</v>
      </c>
      <c r="C230" s="9"/>
      <c r="D230" s="9"/>
      <c r="E230" s="9"/>
      <c r="F230" s="9"/>
      <c r="G230" s="10"/>
      <c r="H230" s="86">
        <v>0.01</v>
      </c>
      <c r="I230" s="87">
        <f>ROUND((I208+I221)*H230,2)</f>
        <v>48.9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ht="12.0" customHeight="1">
      <c r="A231" s="85" t="s">
        <v>20</v>
      </c>
      <c r="B231" s="18" t="s">
        <v>83</v>
      </c>
      <c r="C231" s="9"/>
      <c r="D231" s="9"/>
      <c r="E231" s="9"/>
      <c r="F231" s="9"/>
      <c r="G231" s="10"/>
      <c r="H231" s="86">
        <v>0.006</v>
      </c>
      <c r="I231" s="87">
        <f>ROUND((I208+I221)*H231,2)</f>
        <v>29.34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ht="12.0" customHeight="1">
      <c r="A232" s="85" t="s">
        <v>84</v>
      </c>
      <c r="B232" s="18" t="s">
        <v>85</v>
      </c>
      <c r="C232" s="9"/>
      <c r="D232" s="9"/>
      <c r="E232" s="9"/>
      <c r="F232" s="9"/>
      <c r="G232" s="10"/>
      <c r="H232" s="86">
        <v>0.002</v>
      </c>
      <c r="I232" s="87">
        <f>ROUND((I208+I221)*H232,2)</f>
        <v>9.78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ht="12.0" customHeight="1">
      <c r="A233" s="85" t="s">
        <v>86</v>
      </c>
      <c r="B233" s="18" t="s">
        <v>87</v>
      </c>
      <c r="C233" s="9"/>
      <c r="D233" s="9"/>
      <c r="E233" s="9"/>
      <c r="F233" s="9"/>
      <c r="G233" s="10"/>
      <c r="H233" s="86">
        <v>0.08</v>
      </c>
      <c r="I233" s="87">
        <f>ROUND((I208+I221)*H233,2)</f>
        <v>391.2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ht="12.0" customHeight="1">
      <c r="A234" s="91" t="s">
        <v>70</v>
      </c>
      <c r="B234" s="9"/>
      <c r="C234" s="9"/>
      <c r="D234" s="9"/>
      <c r="E234" s="9"/>
      <c r="F234" s="9"/>
      <c r="G234" s="10"/>
      <c r="H234" s="92">
        <f t="shared" ref="H234:I234" si="4">SUM(H226:H233)</f>
        <v>0.368</v>
      </c>
      <c r="I234" s="93">
        <f t="shared" si="4"/>
        <v>1799.51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ht="6.0" customHeight="1">
      <c r="A235" s="196"/>
      <c r="B235" s="197"/>
      <c r="C235" s="197"/>
      <c r="D235" s="197"/>
      <c r="E235" s="197"/>
      <c r="F235" s="197"/>
      <c r="G235" s="197"/>
      <c r="H235" s="198"/>
      <c r="I235" s="19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ht="12.0" customHeight="1">
      <c r="A236" s="94" t="s">
        <v>88</v>
      </c>
      <c r="B236" s="9"/>
      <c r="C236" s="9"/>
      <c r="D236" s="9"/>
      <c r="E236" s="9"/>
      <c r="F236" s="9"/>
      <c r="G236" s="9"/>
      <c r="H236" s="9"/>
      <c r="I236" s="12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ht="12.0" customHeight="1">
      <c r="A237" s="38" t="s">
        <v>89</v>
      </c>
      <c r="B237" s="9"/>
      <c r="C237" s="9"/>
      <c r="D237" s="9"/>
      <c r="E237" s="9"/>
      <c r="F237" s="9"/>
      <c r="G237" s="9"/>
      <c r="H237" s="9"/>
      <c r="I237" s="12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ht="12.0" customHeight="1">
      <c r="A238" s="95" t="s">
        <v>90</v>
      </c>
      <c r="B238" s="200" t="s">
        <v>199</v>
      </c>
      <c r="C238" s="9"/>
      <c r="D238" s="9"/>
      <c r="E238" s="9"/>
      <c r="F238" s="9"/>
      <c r="G238" s="9"/>
      <c r="H238" s="10"/>
      <c r="I238" s="96" t="s">
        <v>67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ht="12.0" customHeight="1">
      <c r="A239" s="97" t="s">
        <v>6</v>
      </c>
      <c r="B239" s="16" t="s">
        <v>200</v>
      </c>
      <c r="C239" s="9"/>
      <c r="D239" s="9"/>
      <c r="E239" s="9"/>
      <c r="F239" s="9"/>
      <c r="G239" s="9"/>
      <c r="H239" s="9"/>
      <c r="I239" s="87">
        <f>IF(ROUND((H240*H241*H242)-(I202*H243),2)&lt;0,0,ROUND((H240*H241*H242)-(I202*H243),2))</f>
        <v>84.29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ht="12.0" customHeight="1">
      <c r="A240" s="97"/>
      <c r="B240" s="18" t="s">
        <v>201</v>
      </c>
      <c r="C240" s="9"/>
      <c r="D240" s="9"/>
      <c r="E240" s="9"/>
      <c r="F240" s="9"/>
      <c r="G240" s="9"/>
      <c r="H240" s="98">
        <v>4.3</v>
      </c>
      <c r="I240" s="99" t="s">
        <v>56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ht="12.0" customHeight="1">
      <c r="A241" s="97"/>
      <c r="B241" s="18" t="s">
        <v>202</v>
      </c>
      <c r="C241" s="9"/>
      <c r="D241" s="9"/>
      <c r="E241" s="9"/>
      <c r="F241" s="9"/>
      <c r="G241" s="10"/>
      <c r="H241" s="100">
        <v>2.0</v>
      </c>
      <c r="I241" s="99" t="s">
        <v>56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ht="12.0" customHeight="1">
      <c r="A242" s="97"/>
      <c r="B242" s="48" t="s">
        <v>95</v>
      </c>
      <c r="C242" s="9"/>
      <c r="D242" s="9"/>
      <c r="E242" s="9"/>
      <c r="F242" s="9"/>
      <c r="G242" s="10"/>
      <c r="H242" s="101">
        <v>30.0</v>
      </c>
      <c r="I242" s="102" t="s">
        <v>56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ht="12.0" customHeight="1">
      <c r="A243" s="97"/>
      <c r="B243" s="103" t="s">
        <v>203</v>
      </c>
      <c r="C243" s="9"/>
      <c r="D243" s="9"/>
      <c r="E243" s="9"/>
      <c r="F243" s="9"/>
      <c r="G243" s="10"/>
      <c r="H243" s="104">
        <v>0.06</v>
      </c>
      <c r="I243" s="102" t="s">
        <v>56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ht="12.0" customHeight="1">
      <c r="A244" s="97" t="s">
        <v>9</v>
      </c>
      <c r="B244" s="18" t="s">
        <v>204</v>
      </c>
      <c r="C244" s="9"/>
      <c r="D244" s="9"/>
      <c r="E244" s="9"/>
      <c r="F244" s="9"/>
      <c r="G244" s="9"/>
      <c r="H244" s="9"/>
      <c r="I244" s="105">
        <f>ROUND(H246*H245*(1-H247),2)+ROUND(21.726*6*(1-H247),2)*0</f>
        <v>461.52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ht="12.0" customHeight="1">
      <c r="A245" s="97"/>
      <c r="B245" s="74" t="s">
        <v>205</v>
      </c>
      <c r="C245" s="9"/>
      <c r="D245" s="9"/>
      <c r="E245" s="9"/>
      <c r="F245" s="9"/>
      <c r="G245" s="9"/>
      <c r="H245" s="98">
        <v>19.23</v>
      </c>
      <c r="I245" s="99" t="s">
        <v>56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ht="12.0" customHeight="1">
      <c r="A246" s="97"/>
      <c r="B246" s="18" t="s">
        <v>206</v>
      </c>
      <c r="C246" s="9"/>
      <c r="D246" s="9"/>
      <c r="E246" s="9"/>
      <c r="F246" s="9"/>
      <c r="G246" s="9"/>
      <c r="H246" s="101">
        <v>30.0</v>
      </c>
      <c r="I246" s="9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ht="12.0" customHeight="1">
      <c r="A247" s="97"/>
      <c r="B247" s="48" t="s">
        <v>100</v>
      </c>
      <c r="C247" s="9"/>
      <c r="D247" s="9"/>
      <c r="E247" s="9"/>
      <c r="F247" s="9"/>
      <c r="G247" s="10"/>
      <c r="H247" s="104">
        <v>0.2</v>
      </c>
      <c r="I247" s="9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ht="12.0" customHeight="1">
      <c r="A248" s="97" t="s">
        <v>12</v>
      </c>
      <c r="B248" s="18" t="s">
        <v>101</v>
      </c>
      <c r="C248" s="9"/>
      <c r="D248" s="9"/>
      <c r="E248" s="9"/>
      <c r="F248" s="9"/>
      <c r="G248" s="9"/>
      <c r="H248" s="9"/>
      <c r="I248" s="87">
        <v>0.0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ht="12.0" customHeight="1">
      <c r="A249" s="97" t="s">
        <v>15</v>
      </c>
      <c r="B249" s="16" t="s">
        <v>207</v>
      </c>
      <c r="C249" s="9"/>
      <c r="D249" s="9"/>
      <c r="E249" s="9"/>
      <c r="F249" s="9"/>
      <c r="G249" s="9"/>
      <c r="H249" s="9"/>
      <c r="I249" s="87">
        <f>ROUND(I208*26*0.00023,2)</f>
        <v>26.26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ht="12.0" customHeight="1">
      <c r="A250" s="97" t="s">
        <v>17</v>
      </c>
      <c r="B250" s="16" t="s">
        <v>208</v>
      </c>
      <c r="C250" s="9"/>
      <c r="D250" s="9"/>
      <c r="E250" s="9"/>
      <c r="F250" s="9"/>
      <c r="G250" s="9"/>
      <c r="H250" s="10"/>
      <c r="I250" s="87">
        <f>ROUND((I202*0.0052066)/12,2)</f>
        <v>1.26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ht="12.0" customHeight="1">
      <c r="A251" s="97" t="s">
        <v>20</v>
      </c>
      <c r="B251" s="121" t="s">
        <v>209</v>
      </c>
      <c r="C251" s="9"/>
      <c r="D251" s="9"/>
      <c r="E251" s="9"/>
      <c r="F251" s="9"/>
      <c r="G251" s="9"/>
      <c r="H251" s="9"/>
      <c r="I251" s="127">
        <v>0.0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2.0" customHeight="1">
      <c r="A252" s="95"/>
      <c r="B252" s="108" t="s">
        <v>70</v>
      </c>
      <c r="C252" s="9"/>
      <c r="D252" s="9"/>
      <c r="E252" s="9"/>
      <c r="F252" s="9"/>
      <c r="G252" s="9"/>
      <c r="H252" s="28"/>
      <c r="I252" s="93">
        <f>SUM(I239:I251)</f>
        <v>573.33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7.5" customHeight="1">
      <c r="A253" s="34"/>
      <c r="B253" s="9"/>
      <c r="C253" s="9"/>
      <c r="D253" s="9"/>
      <c r="E253" s="9"/>
      <c r="F253" s="9"/>
      <c r="G253" s="9"/>
      <c r="H253" s="9"/>
      <c r="I253" s="12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ht="12.0" customHeight="1">
      <c r="A254" s="201" t="s">
        <v>210</v>
      </c>
      <c r="B254" s="9"/>
      <c r="C254" s="9"/>
      <c r="D254" s="9"/>
      <c r="E254" s="9"/>
      <c r="F254" s="9"/>
      <c r="G254" s="9"/>
      <c r="H254" s="9"/>
      <c r="I254" s="12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ht="12.0" customHeight="1">
      <c r="A255" s="110">
        <v>2.0</v>
      </c>
      <c r="B255" s="82" t="s">
        <v>106</v>
      </c>
      <c r="C255" s="9"/>
      <c r="D255" s="9"/>
      <c r="E255" s="9"/>
      <c r="F255" s="9"/>
      <c r="G255" s="9"/>
      <c r="H255" s="10"/>
      <c r="I255" s="84" t="s">
        <v>67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ht="12.0" customHeight="1">
      <c r="A256" s="41" t="s">
        <v>65</v>
      </c>
      <c r="B256" s="74" t="s">
        <v>211</v>
      </c>
      <c r="C256" s="9"/>
      <c r="D256" s="9"/>
      <c r="E256" s="9"/>
      <c r="F256" s="9"/>
      <c r="G256" s="9"/>
      <c r="H256" s="10"/>
      <c r="I256" s="111">
        <f>I221</f>
        <v>498.64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ht="12.0" customHeight="1">
      <c r="A257" s="41" t="s">
        <v>73</v>
      </c>
      <c r="B257" s="42" t="s">
        <v>74</v>
      </c>
      <c r="C257" s="9"/>
      <c r="D257" s="9"/>
      <c r="E257" s="9"/>
      <c r="F257" s="9"/>
      <c r="G257" s="9"/>
      <c r="H257" s="10"/>
      <c r="I257" s="111">
        <f>I234</f>
        <v>1799.51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ht="12.0" customHeight="1">
      <c r="A258" s="41" t="s">
        <v>90</v>
      </c>
      <c r="B258" s="42" t="s">
        <v>91</v>
      </c>
      <c r="C258" s="9"/>
      <c r="D258" s="9"/>
      <c r="E258" s="9"/>
      <c r="F258" s="9"/>
      <c r="G258" s="9"/>
      <c r="H258" s="10"/>
      <c r="I258" s="111">
        <f>I252</f>
        <v>573.33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ht="12.0" customHeight="1">
      <c r="A259" s="112" t="s">
        <v>70</v>
      </c>
      <c r="B259" s="9"/>
      <c r="C259" s="9"/>
      <c r="D259" s="9"/>
      <c r="E259" s="9"/>
      <c r="F259" s="9"/>
      <c r="G259" s="9"/>
      <c r="H259" s="10"/>
      <c r="I259" s="113">
        <f>SUM(I256+I257+I258)</f>
        <v>2871.48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ht="6.75" customHeight="1">
      <c r="A260" s="202"/>
      <c r="B260" s="9"/>
      <c r="C260" s="9"/>
      <c r="D260" s="9"/>
      <c r="E260" s="9"/>
      <c r="F260" s="9"/>
      <c r="G260" s="9"/>
      <c r="H260" s="9"/>
      <c r="I260" s="12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ht="12.0" customHeight="1">
      <c r="A261" s="203" t="s">
        <v>212</v>
      </c>
      <c r="B261" s="9"/>
      <c r="C261" s="9"/>
      <c r="D261" s="9"/>
      <c r="E261" s="9"/>
      <c r="F261" s="9"/>
      <c r="G261" s="9"/>
      <c r="H261" s="9"/>
      <c r="I261" s="12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ht="12.0" customHeight="1">
      <c r="A262" s="38" t="s">
        <v>109</v>
      </c>
      <c r="B262" s="9"/>
      <c r="C262" s="9"/>
      <c r="D262" s="9"/>
      <c r="E262" s="9"/>
      <c r="F262" s="9"/>
      <c r="G262" s="9"/>
      <c r="H262" s="9"/>
      <c r="I262" s="12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ht="12.0" customHeight="1">
      <c r="A263" s="95">
        <v>3.0</v>
      </c>
      <c r="B263" s="116" t="s">
        <v>110</v>
      </c>
      <c r="C263" s="9"/>
      <c r="D263" s="9"/>
      <c r="E263" s="9"/>
      <c r="F263" s="9"/>
      <c r="G263" s="9"/>
      <c r="H263" s="10"/>
      <c r="I263" s="117" t="s">
        <v>67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ht="12.0" customHeight="1">
      <c r="A264" s="204" t="s">
        <v>6</v>
      </c>
      <c r="B264" s="18" t="s">
        <v>213</v>
      </c>
      <c r="C264" s="9"/>
      <c r="D264" s="9"/>
      <c r="E264" s="9"/>
      <c r="F264" s="9"/>
      <c r="G264" s="9"/>
      <c r="H264" s="10"/>
      <c r="I264" s="119">
        <f>ROUND(((I208/12)+(I219/12)+(I208/12/12)+(I220/12))*(30/30)*0.05,2)</f>
        <v>21.9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ht="12.0" customHeight="1">
      <c r="A265" s="205" t="s">
        <v>9</v>
      </c>
      <c r="B265" s="121" t="s">
        <v>112</v>
      </c>
      <c r="C265" s="9"/>
      <c r="D265" s="9"/>
      <c r="E265" s="9"/>
      <c r="F265" s="9"/>
      <c r="G265" s="9"/>
      <c r="H265" s="10"/>
      <c r="I265" s="122">
        <f>ROUND(H233*I264,2)</f>
        <v>1.75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ht="12.0" customHeight="1">
      <c r="A266" s="205" t="s">
        <v>12</v>
      </c>
      <c r="B266" s="16" t="s">
        <v>214</v>
      </c>
      <c r="C266" s="9"/>
      <c r="D266" s="9"/>
      <c r="E266" s="9"/>
      <c r="F266" s="9"/>
      <c r="G266" s="9"/>
      <c r="H266" s="9"/>
      <c r="I266" s="87">
        <f>ROUND((0.08*0.5*SUM(I208+I219+I220+I278)*0.05),2)</f>
        <v>10.58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ht="12.0" customHeight="1">
      <c r="A267" s="205" t="s">
        <v>15</v>
      </c>
      <c r="B267" s="16" t="s">
        <v>215</v>
      </c>
      <c r="C267" s="9"/>
      <c r="D267" s="9"/>
      <c r="E267" s="9"/>
      <c r="F267" s="9"/>
      <c r="G267" s="9"/>
      <c r="H267" s="10"/>
      <c r="I267" s="122">
        <f>ROUND(((7/30)/H11)*I208*1,2)</f>
        <v>85.39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ht="12.0" customHeight="1">
      <c r="A268" s="205" t="s">
        <v>17</v>
      </c>
      <c r="B268" s="121" t="s">
        <v>115</v>
      </c>
      <c r="C268" s="9"/>
      <c r="D268" s="9"/>
      <c r="E268" s="9"/>
      <c r="F268" s="9"/>
      <c r="G268" s="9"/>
      <c r="H268" s="10"/>
      <c r="I268" s="122">
        <f>ROUND(H234*I267,2)</f>
        <v>31.42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ht="12.0" customHeight="1">
      <c r="A269" s="205" t="s">
        <v>20</v>
      </c>
      <c r="B269" s="16" t="s">
        <v>216</v>
      </c>
      <c r="C269" s="9"/>
      <c r="D269" s="9"/>
      <c r="E269" s="9"/>
      <c r="F269" s="9"/>
      <c r="G269" s="9"/>
      <c r="H269" s="10"/>
      <c r="I269" s="87">
        <f>ROUND(0.08*0.5*SUM(I208+I219+I220+I278)*1,2)</f>
        <v>211.54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ht="12.0" customHeight="1">
      <c r="A270" s="91" t="s">
        <v>217</v>
      </c>
      <c r="B270" s="9"/>
      <c r="C270" s="9"/>
      <c r="D270" s="9"/>
      <c r="E270" s="9"/>
      <c r="F270" s="9"/>
      <c r="G270" s="9"/>
      <c r="H270" s="10"/>
      <c r="I270" s="93">
        <f>SUM(I264:I269)</f>
        <v>362.58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ht="6.75" customHeight="1">
      <c r="A271" s="124"/>
      <c r="B271" s="9"/>
      <c r="C271" s="9"/>
      <c r="D271" s="9"/>
      <c r="E271" s="9"/>
      <c r="F271" s="9"/>
      <c r="G271" s="9"/>
      <c r="H271" s="9"/>
      <c r="I271" s="12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ht="12.0" customHeight="1">
      <c r="A272" s="125" t="s">
        <v>117</v>
      </c>
      <c r="B272" s="9"/>
      <c r="C272" s="9"/>
      <c r="D272" s="9"/>
      <c r="E272" s="9"/>
      <c r="F272" s="9"/>
      <c r="G272" s="9"/>
      <c r="H272" s="9"/>
      <c r="I272" s="12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ht="12.0" customHeight="1">
      <c r="A273" s="38" t="s">
        <v>118</v>
      </c>
      <c r="B273" s="9"/>
      <c r="C273" s="9"/>
      <c r="D273" s="9"/>
      <c r="E273" s="9"/>
      <c r="F273" s="9"/>
      <c r="G273" s="9"/>
      <c r="H273" s="9"/>
      <c r="I273" s="12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ht="12.0" customHeight="1">
      <c r="A274" s="126" t="s">
        <v>218</v>
      </c>
      <c r="B274" s="9"/>
      <c r="C274" s="9"/>
      <c r="D274" s="9"/>
      <c r="E274" s="9"/>
      <c r="F274" s="9"/>
      <c r="G274" s="9"/>
      <c r="H274" s="10"/>
      <c r="I274" s="127">
        <f>I208+I219+I220+I278</f>
        <v>5288.45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ht="6.75" customHeight="1">
      <c r="A275" s="206"/>
      <c r="B275" s="9"/>
      <c r="C275" s="9"/>
      <c r="D275" s="9"/>
      <c r="E275" s="9"/>
      <c r="F275" s="9"/>
      <c r="G275" s="9"/>
      <c r="H275" s="9"/>
      <c r="I275" s="12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ht="12.0" customHeight="1">
      <c r="A276" s="8" t="s">
        <v>120</v>
      </c>
      <c r="B276" s="9"/>
      <c r="C276" s="9"/>
      <c r="D276" s="9"/>
      <c r="E276" s="9"/>
      <c r="F276" s="9"/>
      <c r="G276" s="9"/>
      <c r="H276" s="9"/>
      <c r="I276" s="12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ht="12.0" customHeight="1">
      <c r="A277" s="130" t="s">
        <v>122</v>
      </c>
      <c r="B277" s="116" t="s">
        <v>123</v>
      </c>
      <c r="C277" s="9"/>
      <c r="D277" s="9"/>
      <c r="E277" s="9"/>
      <c r="F277" s="9"/>
      <c r="G277" s="9"/>
      <c r="H277" s="10"/>
      <c r="I277" s="131" t="s">
        <v>67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ht="12.0" customHeight="1">
      <c r="A278" s="97" t="s">
        <v>6</v>
      </c>
      <c r="B278" s="42" t="s">
        <v>219</v>
      </c>
      <c r="C278" s="9"/>
      <c r="D278" s="9"/>
      <c r="E278" s="9"/>
      <c r="F278" s="9"/>
      <c r="G278" s="10"/>
      <c r="H278" s="132">
        <v>0.09075</v>
      </c>
      <c r="I278" s="87">
        <f>ROUND(I208*H278,2)</f>
        <v>398.51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ht="12.0" customHeight="1">
      <c r="A279" s="47" t="s">
        <v>9</v>
      </c>
      <c r="B279" s="18" t="s">
        <v>220</v>
      </c>
      <c r="C279" s="9"/>
      <c r="D279" s="9"/>
      <c r="E279" s="9"/>
      <c r="F279" s="9"/>
      <c r="G279" s="9"/>
      <c r="H279" s="10"/>
      <c r="I279" s="87">
        <f>ROUND(((I274/30)*2.96)/12,2)</f>
        <v>43.48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ht="12.0" customHeight="1">
      <c r="A280" s="47" t="s">
        <v>12</v>
      </c>
      <c r="B280" s="18" t="s">
        <v>221</v>
      </c>
      <c r="C280" s="9"/>
      <c r="D280" s="9"/>
      <c r="E280" s="9"/>
      <c r="F280" s="9"/>
      <c r="G280" s="9"/>
      <c r="H280" s="10"/>
      <c r="I280" s="87">
        <f>ROUND((5/30)/12*0.015*(I274),2)</f>
        <v>1.1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ht="12.0" customHeight="1">
      <c r="A281" s="47" t="s">
        <v>15</v>
      </c>
      <c r="B281" s="16" t="s">
        <v>222</v>
      </c>
      <c r="C281" s="9"/>
      <c r="D281" s="9"/>
      <c r="E281" s="9"/>
      <c r="F281" s="9"/>
      <c r="G281" s="9"/>
      <c r="H281" s="10"/>
      <c r="I281" s="87">
        <f>ROUND(((15/30)/12)*0.0078*(I274),2)</f>
        <v>1.72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ht="12.0" customHeight="1">
      <c r="A282" s="97" t="s">
        <v>17</v>
      </c>
      <c r="B282" s="18" t="s">
        <v>223</v>
      </c>
      <c r="C282" s="9"/>
      <c r="D282" s="9"/>
      <c r="E282" s="9"/>
      <c r="F282" s="9"/>
      <c r="G282" s="9"/>
      <c r="H282" s="10"/>
      <c r="I282" s="87">
        <f>ROUND((1+1/3)/12*(4/12)*0.02*(I208),2)</f>
        <v>3.25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ht="12.0" customHeight="1">
      <c r="A283" s="47" t="s">
        <v>20</v>
      </c>
      <c r="B283" s="121" t="s">
        <v>224</v>
      </c>
      <c r="C283" s="9"/>
      <c r="D283" s="9"/>
      <c r="E283" s="9"/>
      <c r="F283" s="9"/>
      <c r="G283" s="9"/>
      <c r="H283" s="10"/>
      <c r="I283" s="134">
        <f>ROUND(((3/30)/12)*(I274),2)</f>
        <v>44.07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ht="12.0" customHeight="1">
      <c r="A284" s="135" t="s">
        <v>130</v>
      </c>
      <c r="B284" s="9"/>
      <c r="C284" s="9"/>
      <c r="D284" s="9"/>
      <c r="E284" s="9"/>
      <c r="F284" s="9"/>
      <c r="G284" s="9"/>
      <c r="H284" s="10"/>
      <c r="I284" s="136">
        <f>SUM(I278:I283)</f>
        <v>492.13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ht="12.0" customHeight="1">
      <c r="A285" s="47" t="s">
        <v>84</v>
      </c>
      <c r="B285" s="106" t="s">
        <v>225</v>
      </c>
      <c r="C285" s="9"/>
      <c r="D285" s="9"/>
      <c r="E285" s="9"/>
      <c r="F285" s="9"/>
      <c r="G285" s="9"/>
      <c r="H285" s="10"/>
      <c r="I285" s="137">
        <f>ROUND(H234*I284,2)</f>
        <v>181.1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ht="12.0" customHeight="1">
      <c r="A286" s="91" t="s">
        <v>70</v>
      </c>
      <c r="B286" s="9"/>
      <c r="C286" s="9"/>
      <c r="D286" s="9"/>
      <c r="E286" s="9"/>
      <c r="F286" s="9"/>
      <c r="G286" s="9"/>
      <c r="H286" s="10"/>
      <c r="I286" s="93">
        <f>SUM(I284:I285)</f>
        <v>673.23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ht="6.0" customHeight="1">
      <c r="A287" s="79"/>
      <c r="B287" s="9"/>
      <c r="C287" s="9"/>
      <c r="D287" s="9"/>
      <c r="E287" s="9"/>
      <c r="F287" s="9"/>
      <c r="G287" s="9"/>
      <c r="H287" s="9"/>
      <c r="I287" s="12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ht="12.0" customHeight="1">
      <c r="A288" s="94" t="s">
        <v>132</v>
      </c>
      <c r="B288" s="9"/>
      <c r="C288" s="9"/>
      <c r="D288" s="9"/>
      <c r="E288" s="9"/>
      <c r="F288" s="9"/>
      <c r="G288" s="9"/>
      <c r="H288" s="9"/>
      <c r="I288" s="12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ht="12.0" customHeight="1">
      <c r="A289" s="38" t="s">
        <v>133</v>
      </c>
      <c r="B289" s="9"/>
      <c r="C289" s="9"/>
      <c r="D289" s="9"/>
      <c r="E289" s="9"/>
      <c r="F289" s="9"/>
      <c r="G289" s="9"/>
      <c r="H289" s="9"/>
      <c r="I289" s="12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ht="12.0" customHeight="1">
      <c r="A290" s="138" t="s">
        <v>134</v>
      </c>
      <c r="B290" s="139" t="s">
        <v>135</v>
      </c>
      <c r="C290" s="9"/>
      <c r="D290" s="9"/>
      <c r="E290" s="9"/>
      <c r="F290" s="9"/>
      <c r="G290" s="9"/>
      <c r="H290" s="10"/>
      <c r="I290" s="140" t="s">
        <v>67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ht="12.0" customHeight="1">
      <c r="A291" s="71" t="s">
        <v>6</v>
      </c>
      <c r="B291" s="74" t="s">
        <v>226</v>
      </c>
      <c r="C291" s="9"/>
      <c r="D291" s="9"/>
      <c r="E291" s="9"/>
      <c r="F291" s="9"/>
      <c r="G291" s="9"/>
      <c r="H291" s="10"/>
      <c r="I291" s="141">
        <f>ROUND((H193*1.3)*30*1.2,2)</f>
        <v>307.94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ht="12.0" customHeight="1">
      <c r="A292" s="71"/>
      <c r="B292" s="74" t="s">
        <v>227</v>
      </c>
      <c r="C292" s="9"/>
      <c r="D292" s="9"/>
      <c r="E292" s="9"/>
      <c r="F292" s="9"/>
      <c r="G292" s="9"/>
      <c r="H292" s="10"/>
      <c r="I292" s="207">
        <f>ROUND(I291/12,2)+ROUND(I291/12,2)+ROUND(I291/3/12,2)</f>
        <v>59.87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ht="12.0" customHeight="1">
      <c r="A293" s="208" t="s">
        <v>228</v>
      </c>
      <c r="B293" s="9"/>
      <c r="C293" s="9"/>
      <c r="D293" s="9"/>
      <c r="E293" s="9"/>
      <c r="F293" s="9"/>
      <c r="G293" s="9"/>
      <c r="H293" s="10"/>
      <c r="I293" s="144">
        <f>SUM(I291:I292)</f>
        <v>367.81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ht="12.0" customHeight="1">
      <c r="A294" s="145" t="s">
        <v>9</v>
      </c>
      <c r="B294" s="74" t="s">
        <v>229</v>
      </c>
      <c r="C294" s="9"/>
      <c r="D294" s="9"/>
      <c r="E294" s="9"/>
      <c r="F294" s="9"/>
      <c r="G294" s="9"/>
      <c r="H294" s="10"/>
      <c r="I294" s="146">
        <f>ROUND(H234*I293,2)</f>
        <v>135.35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ht="12.0" customHeight="1">
      <c r="A295" s="77" t="s">
        <v>70</v>
      </c>
      <c r="B295" s="9"/>
      <c r="C295" s="9"/>
      <c r="D295" s="9"/>
      <c r="E295" s="9"/>
      <c r="F295" s="9"/>
      <c r="G295" s="9"/>
      <c r="H295" s="10"/>
      <c r="I295" s="78">
        <f>SUM(I293:I294)</f>
        <v>503.16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ht="6.0" customHeight="1">
      <c r="A296" s="209"/>
      <c r="B296" s="9"/>
      <c r="C296" s="9"/>
      <c r="D296" s="9"/>
      <c r="E296" s="9"/>
      <c r="F296" s="9"/>
      <c r="G296" s="9"/>
      <c r="H296" s="9"/>
      <c r="I296" s="12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ht="12.0" customHeight="1">
      <c r="A297" s="94" t="s">
        <v>139</v>
      </c>
      <c r="B297" s="9"/>
      <c r="C297" s="9"/>
      <c r="D297" s="9"/>
      <c r="E297" s="9"/>
      <c r="F297" s="9"/>
      <c r="G297" s="9"/>
      <c r="H297" s="9"/>
      <c r="I297" s="12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ht="12.0" customHeight="1">
      <c r="A298" s="110">
        <v>4.0</v>
      </c>
      <c r="B298" s="139" t="s">
        <v>140</v>
      </c>
      <c r="C298" s="9"/>
      <c r="D298" s="9"/>
      <c r="E298" s="9"/>
      <c r="F298" s="9"/>
      <c r="G298" s="9"/>
      <c r="H298" s="10"/>
      <c r="I298" s="140" t="s">
        <v>67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ht="12.0" customHeight="1">
      <c r="A299" s="41" t="s">
        <v>122</v>
      </c>
      <c r="B299" s="147" t="s">
        <v>123</v>
      </c>
      <c r="C299" s="9"/>
      <c r="D299" s="9"/>
      <c r="E299" s="9"/>
      <c r="F299" s="9"/>
      <c r="G299" s="9"/>
      <c r="H299" s="10"/>
      <c r="I299" s="144">
        <f>I286</f>
        <v>673.23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ht="12.0" customHeight="1">
      <c r="A300" s="41" t="s">
        <v>141</v>
      </c>
      <c r="B300" s="147" t="s">
        <v>135</v>
      </c>
      <c r="C300" s="9"/>
      <c r="D300" s="9"/>
      <c r="E300" s="9"/>
      <c r="F300" s="9"/>
      <c r="G300" s="9"/>
      <c r="H300" s="10"/>
      <c r="I300" s="144">
        <f>I295</f>
        <v>503.16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ht="12.0" customHeight="1">
      <c r="A301" s="112" t="s">
        <v>70</v>
      </c>
      <c r="B301" s="9"/>
      <c r="C301" s="9"/>
      <c r="D301" s="9"/>
      <c r="E301" s="9"/>
      <c r="F301" s="9"/>
      <c r="G301" s="9"/>
      <c r="H301" s="10"/>
      <c r="I301" s="78">
        <f>SUM(I299+I300)</f>
        <v>1176.39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ht="7.5" customHeight="1">
      <c r="A302" s="124"/>
      <c r="B302" s="9"/>
      <c r="C302" s="9"/>
      <c r="D302" s="9"/>
      <c r="E302" s="9"/>
      <c r="F302" s="9"/>
      <c r="G302" s="9"/>
      <c r="H302" s="9"/>
      <c r="I302" s="12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ht="12.0" customHeight="1">
      <c r="A303" s="8" t="s">
        <v>142</v>
      </c>
      <c r="B303" s="9"/>
      <c r="C303" s="9"/>
      <c r="D303" s="9"/>
      <c r="E303" s="9"/>
      <c r="F303" s="9"/>
      <c r="G303" s="9"/>
      <c r="H303" s="9"/>
      <c r="I303" s="12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ht="12.0" customHeight="1">
      <c r="A304" s="148" t="s">
        <v>230</v>
      </c>
      <c r="B304" s="9"/>
      <c r="C304" s="9"/>
      <c r="D304" s="9"/>
      <c r="E304" s="9"/>
      <c r="F304" s="9"/>
      <c r="G304" s="9"/>
      <c r="H304" s="9"/>
      <c r="I304" s="12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ht="12.0" customHeight="1">
      <c r="A305" s="149">
        <v>5.0</v>
      </c>
      <c r="B305" s="29" t="s">
        <v>144</v>
      </c>
      <c r="C305" s="9"/>
      <c r="D305" s="9"/>
      <c r="E305" s="9"/>
      <c r="F305" s="9"/>
      <c r="G305" s="9"/>
      <c r="H305" s="10"/>
      <c r="I305" s="117" t="s">
        <v>67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ht="12.0" customHeight="1">
      <c r="A306" s="97" t="s">
        <v>6</v>
      </c>
      <c r="B306" s="16" t="s">
        <v>231</v>
      </c>
      <c r="C306" s="9"/>
      <c r="D306" s="9"/>
      <c r="E306" s="9"/>
      <c r="F306" s="9"/>
      <c r="G306" s="9"/>
      <c r="H306" s="10"/>
      <c r="I306" s="87">
        <f>SUM(H366:H377)*2/12</f>
        <v>171.3333333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ht="12.0" customHeight="1">
      <c r="A307" s="97" t="s">
        <v>9</v>
      </c>
      <c r="B307" s="16" t="s">
        <v>232</v>
      </c>
      <c r="C307" s="9"/>
      <c r="D307" s="9"/>
      <c r="E307" s="9"/>
      <c r="F307" s="9"/>
      <c r="G307" s="9"/>
      <c r="H307" s="10"/>
      <c r="I307" s="127">
        <f>SUM(H378:H389)/12</f>
        <v>73.47916667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ht="12.0" customHeight="1">
      <c r="A308" s="91" t="s">
        <v>147</v>
      </c>
      <c r="B308" s="9"/>
      <c r="C308" s="9"/>
      <c r="D308" s="9"/>
      <c r="E308" s="9"/>
      <c r="F308" s="9"/>
      <c r="G308" s="9"/>
      <c r="H308" s="10"/>
      <c r="I308" s="68">
        <f>ROUND(SUM(I306:I307),2)</f>
        <v>244.81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ht="7.5" customHeight="1">
      <c r="A309" s="210"/>
      <c r="B309" s="211"/>
      <c r="C309" s="211"/>
      <c r="D309" s="211"/>
      <c r="E309" s="211"/>
      <c r="F309" s="211"/>
      <c r="G309" s="211"/>
      <c r="H309" s="211"/>
      <c r="I309" s="212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ht="12.0" customHeight="1">
      <c r="A310" s="115" t="s">
        <v>148</v>
      </c>
      <c r="B310" s="9"/>
      <c r="C310" s="9"/>
      <c r="D310" s="9"/>
      <c r="E310" s="9"/>
      <c r="F310" s="9"/>
      <c r="G310" s="9"/>
      <c r="H310" s="9"/>
      <c r="I310" s="12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ht="12.0" customHeight="1">
      <c r="A311" s="150" t="s">
        <v>149</v>
      </c>
      <c r="B311" s="9"/>
      <c r="C311" s="9"/>
      <c r="D311" s="9"/>
      <c r="E311" s="9"/>
      <c r="F311" s="9"/>
      <c r="G311" s="9"/>
      <c r="H311" s="9"/>
      <c r="I311" s="12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ht="12.0" customHeight="1">
      <c r="A312" s="95">
        <v>6.0</v>
      </c>
      <c r="B312" s="116" t="s">
        <v>150</v>
      </c>
      <c r="C312" s="9"/>
      <c r="D312" s="9"/>
      <c r="E312" s="9"/>
      <c r="F312" s="9"/>
      <c r="G312" s="10"/>
      <c r="H312" s="151" t="s">
        <v>51</v>
      </c>
      <c r="I312" s="152" t="s">
        <v>75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ht="12.0" customHeight="1">
      <c r="A313" s="153" t="s">
        <v>151</v>
      </c>
      <c r="B313" s="9"/>
      <c r="C313" s="9"/>
      <c r="D313" s="9"/>
      <c r="E313" s="9"/>
      <c r="F313" s="9"/>
      <c r="G313" s="9"/>
      <c r="H313" s="10"/>
      <c r="I313" s="154">
        <f>SUM(I213+I259+I270+I301+I308)</f>
        <v>9079.56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ht="12.0" customHeight="1">
      <c r="A314" s="97" t="s">
        <v>6</v>
      </c>
      <c r="B314" s="121" t="s">
        <v>152</v>
      </c>
      <c r="C314" s="9"/>
      <c r="D314" s="9"/>
      <c r="E314" s="9"/>
      <c r="F314" s="9"/>
      <c r="G314" s="10"/>
      <c r="H314" s="155">
        <v>0.06</v>
      </c>
      <c r="I314" s="87">
        <f>ROUND(H314*I313,2)</f>
        <v>544.77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ht="12.0" customHeight="1">
      <c r="A315" s="153" t="s">
        <v>153</v>
      </c>
      <c r="B315" s="9"/>
      <c r="C315" s="9"/>
      <c r="D315" s="9"/>
      <c r="E315" s="9"/>
      <c r="F315" s="9"/>
      <c r="G315" s="9"/>
      <c r="H315" s="10"/>
      <c r="I315" s="154">
        <f>SUM(I213+I259+I270+I301+I308+I314)</f>
        <v>9624.33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ht="12.0" customHeight="1">
      <c r="A316" s="97" t="s">
        <v>9</v>
      </c>
      <c r="B316" s="121" t="s">
        <v>154</v>
      </c>
      <c r="C316" s="9"/>
      <c r="D316" s="9"/>
      <c r="E316" s="9"/>
      <c r="F316" s="9"/>
      <c r="G316" s="10"/>
      <c r="H316" s="156">
        <v>0.08</v>
      </c>
      <c r="I316" s="87">
        <f>ROUND(H316*I315,2)</f>
        <v>769.95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ht="12.0" customHeight="1">
      <c r="A317" s="153" t="s">
        <v>155</v>
      </c>
      <c r="B317" s="9"/>
      <c r="C317" s="9"/>
      <c r="D317" s="9"/>
      <c r="E317" s="9"/>
      <c r="F317" s="9"/>
      <c r="G317" s="9"/>
      <c r="H317" s="10"/>
      <c r="I317" s="154">
        <f>SUM(I208+I259+I270+I301+I308+I314+I316)</f>
        <v>10361.28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ht="12.0" customHeight="1">
      <c r="A318" s="97" t="s">
        <v>12</v>
      </c>
      <c r="B318" s="121" t="s">
        <v>156</v>
      </c>
      <c r="C318" s="9"/>
      <c r="D318" s="9"/>
      <c r="E318" s="9"/>
      <c r="F318" s="9"/>
      <c r="G318" s="9"/>
      <c r="H318" s="9"/>
      <c r="I318" s="12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ht="12.0" customHeight="1">
      <c r="A319" s="97"/>
      <c r="B319" s="121" t="s">
        <v>157</v>
      </c>
      <c r="C319" s="9"/>
      <c r="D319" s="9"/>
      <c r="E319" s="9"/>
      <c r="F319" s="9"/>
      <c r="G319" s="9"/>
      <c r="H319" s="9"/>
      <c r="I319" s="12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ht="12.0" customHeight="1">
      <c r="A320" s="97"/>
      <c r="B320" s="213" t="s">
        <v>233</v>
      </c>
      <c r="C320" s="9"/>
      <c r="D320" s="9"/>
      <c r="E320" s="9"/>
      <c r="F320" s="9"/>
      <c r="G320" s="10"/>
      <c r="H320" s="158">
        <v>0.03</v>
      </c>
      <c r="I320" s="59">
        <f>ROUND((I317/(1-H328))*H320,2)</f>
        <v>331.21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ht="12.0" customHeight="1">
      <c r="A321" s="97"/>
      <c r="B321" s="213" t="s">
        <v>234</v>
      </c>
      <c r="C321" s="9"/>
      <c r="D321" s="9"/>
      <c r="E321" s="9"/>
      <c r="F321" s="9"/>
      <c r="G321" s="10"/>
      <c r="H321" s="158">
        <v>0.0065</v>
      </c>
      <c r="I321" s="59">
        <f>ROUND((I317/(1-H328))*H321,2)</f>
        <v>71.76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ht="12.0" customHeight="1">
      <c r="A322" s="97"/>
      <c r="B322" s="18" t="s">
        <v>235</v>
      </c>
      <c r="C322" s="9"/>
      <c r="D322" s="9"/>
      <c r="E322" s="9"/>
      <c r="F322" s="9"/>
      <c r="G322" s="10"/>
      <c r="H322" s="159" t="s">
        <v>56</v>
      </c>
      <c r="I322" s="99" t="s">
        <v>56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ht="12.0" customHeight="1">
      <c r="A323" s="97"/>
      <c r="B323" s="18" t="s">
        <v>236</v>
      </c>
      <c r="C323" s="9"/>
      <c r="D323" s="9"/>
      <c r="E323" s="9"/>
      <c r="F323" s="9"/>
      <c r="G323" s="10"/>
      <c r="H323" s="159" t="s">
        <v>56</v>
      </c>
      <c r="I323" s="99" t="s">
        <v>56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ht="12.0" customHeight="1">
      <c r="A324" s="97"/>
      <c r="B324" s="18" t="s">
        <v>162</v>
      </c>
      <c r="C324" s="9"/>
      <c r="D324" s="9"/>
      <c r="E324" s="9"/>
      <c r="F324" s="9"/>
      <c r="G324" s="9"/>
      <c r="H324" s="160" t="s">
        <v>56</v>
      </c>
      <c r="I324" s="161" t="s">
        <v>56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ht="12.0" customHeight="1">
      <c r="A325" s="97"/>
      <c r="B325" s="18" t="s">
        <v>163</v>
      </c>
      <c r="C325" s="9"/>
      <c r="D325" s="9"/>
      <c r="E325" s="9"/>
      <c r="F325" s="9"/>
      <c r="G325" s="9"/>
      <c r="H325" s="160" t="s">
        <v>56</v>
      </c>
      <c r="I325" s="161" t="s">
        <v>56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ht="12.0" customHeight="1">
      <c r="A326" s="97"/>
      <c r="B326" s="18" t="s">
        <v>237</v>
      </c>
      <c r="C326" s="9"/>
      <c r="D326" s="9"/>
      <c r="E326" s="9"/>
      <c r="F326" s="9"/>
      <c r="G326" s="10"/>
      <c r="H326" s="158">
        <v>0.025</v>
      </c>
      <c r="I326" s="134">
        <f>ROUND((I317/(1-H328))*H326,2)</f>
        <v>276.01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ht="12.0" customHeight="1">
      <c r="A327" s="91" t="s">
        <v>217</v>
      </c>
      <c r="B327" s="9"/>
      <c r="C327" s="9"/>
      <c r="D327" s="9"/>
      <c r="E327" s="9"/>
      <c r="F327" s="9"/>
      <c r="G327" s="9"/>
      <c r="H327" s="10"/>
      <c r="I327" s="93">
        <f>SUM(I314+I316+I320+I321+I326)</f>
        <v>1993.7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ht="12.0" customHeight="1">
      <c r="A328" s="162" t="s">
        <v>165</v>
      </c>
      <c r="B328" s="9"/>
      <c r="C328" s="9"/>
      <c r="D328" s="9"/>
      <c r="E328" s="9"/>
      <c r="F328" s="9"/>
      <c r="G328" s="10"/>
      <c r="H328" s="163">
        <f t="shared" ref="H328:I328" si="5">SUM(H320:H326)</f>
        <v>0.0615</v>
      </c>
      <c r="I328" s="164">
        <f t="shared" si="5"/>
        <v>678.98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ht="12.0" customHeight="1">
      <c r="A329" s="165" t="s">
        <v>166</v>
      </c>
      <c r="B329" s="166"/>
      <c r="C329" s="167" t="s">
        <v>167</v>
      </c>
      <c r="D329" s="166"/>
      <c r="E329" s="166"/>
      <c r="F329" s="166"/>
      <c r="G329" s="166"/>
      <c r="H329" s="166"/>
      <c r="I329" s="168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ht="12.0" customHeight="1">
      <c r="A330" s="169"/>
      <c r="C330" s="170" t="s">
        <v>168</v>
      </c>
      <c r="I330" s="171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ht="12.0" customHeight="1">
      <c r="A331" s="172"/>
      <c r="B331" s="173"/>
      <c r="C331" s="174" t="s">
        <v>169</v>
      </c>
      <c r="D331" s="173"/>
      <c r="E331" s="173"/>
      <c r="F331" s="173"/>
      <c r="G331" s="173"/>
      <c r="H331" s="173"/>
      <c r="I331" s="17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ht="7.5" customHeight="1">
      <c r="A332" s="124"/>
      <c r="B332" s="9"/>
      <c r="C332" s="9"/>
      <c r="D332" s="9"/>
      <c r="E332" s="9"/>
      <c r="F332" s="9"/>
      <c r="G332" s="9"/>
      <c r="H332" s="9"/>
      <c r="I332" s="12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ht="22.5" customHeight="1">
      <c r="A333" s="125" t="s">
        <v>170</v>
      </c>
      <c r="B333" s="9"/>
      <c r="C333" s="9"/>
      <c r="D333" s="9"/>
      <c r="E333" s="9"/>
      <c r="F333" s="9"/>
      <c r="G333" s="9"/>
      <c r="H333" s="9"/>
      <c r="I333" s="12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ht="12.0" customHeight="1">
      <c r="A334" s="14" t="s">
        <v>171</v>
      </c>
      <c r="B334" s="9"/>
      <c r="C334" s="9"/>
      <c r="D334" s="9"/>
      <c r="E334" s="9"/>
      <c r="F334" s="9"/>
      <c r="G334" s="9"/>
      <c r="H334" s="10"/>
      <c r="I334" s="96" t="s">
        <v>67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ht="12.0" customHeight="1">
      <c r="A335" s="176" t="s">
        <v>6</v>
      </c>
      <c r="B335" s="177" t="s">
        <v>172</v>
      </c>
      <c r="C335" s="9"/>
      <c r="D335" s="9"/>
      <c r="E335" s="9"/>
      <c r="F335" s="9"/>
      <c r="G335" s="9"/>
      <c r="H335" s="9"/>
      <c r="I335" s="127">
        <f>I213</f>
        <v>4424.3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ht="12.0" customHeight="1">
      <c r="A336" s="176" t="s">
        <v>9</v>
      </c>
      <c r="B336" s="177" t="s">
        <v>173</v>
      </c>
      <c r="C336" s="9"/>
      <c r="D336" s="9"/>
      <c r="E336" s="9"/>
      <c r="F336" s="9"/>
      <c r="G336" s="9"/>
      <c r="H336" s="9"/>
      <c r="I336" s="127">
        <f>I259</f>
        <v>2871.48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ht="12.0" customHeight="1">
      <c r="A337" s="176" t="s">
        <v>12</v>
      </c>
      <c r="B337" s="177" t="s">
        <v>174</v>
      </c>
      <c r="C337" s="9"/>
      <c r="D337" s="9"/>
      <c r="E337" s="9"/>
      <c r="F337" s="9"/>
      <c r="G337" s="9"/>
      <c r="H337" s="9"/>
      <c r="I337" s="127">
        <f>I270</f>
        <v>362.58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ht="12.0" customHeight="1">
      <c r="A338" s="176" t="s">
        <v>15</v>
      </c>
      <c r="B338" s="177" t="s">
        <v>175</v>
      </c>
      <c r="C338" s="9"/>
      <c r="D338" s="9"/>
      <c r="E338" s="9"/>
      <c r="F338" s="9"/>
      <c r="G338" s="9"/>
      <c r="H338" s="9"/>
      <c r="I338" s="127">
        <f>I301</f>
        <v>1176.39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ht="12.0" customHeight="1">
      <c r="A339" s="176" t="s">
        <v>17</v>
      </c>
      <c r="B339" s="178" t="s">
        <v>176</v>
      </c>
      <c r="C339" s="9"/>
      <c r="D339" s="9"/>
      <c r="E339" s="9"/>
      <c r="F339" s="9"/>
      <c r="G339" s="9"/>
      <c r="H339" s="9"/>
      <c r="I339" s="127">
        <f>I308</f>
        <v>244.81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ht="12.0" customHeight="1">
      <c r="A340" s="179" t="s">
        <v>177</v>
      </c>
      <c r="B340" s="9"/>
      <c r="C340" s="9"/>
      <c r="D340" s="9"/>
      <c r="E340" s="9"/>
      <c r="F340" s="9"/>
      <c r="G340" s="9"/>
      <c r="H340" s="28"/>
      <c r="I340" s="68">
        <f>SUM(I335:I339)</f>
        <v>9079.56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ht="12.0" customHeight="1">
      <c r="A341" s="180" t="s">
        <v>20</v>
      </c>
      <c r="B341" s="177" t="s">
        <v>148</v>
      </c>
      <c r="C341" s="9"/>
      <c r="D341" s="9"/>
      <c r="E341" s="9"/>
      <c r="F341" s="9"/>
      <c r="G341" s="9"/>
      <c r="H341" s="9"/>
      <c r="I341" s="127">
        <f>I327</f>
        <v>1993.7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ht="12.0" customHeight="1">
      <c r="A342" s="179" t="s">
        <v>178</v>
      </c>
      <c r="B342" s="9"/>
      <c r="C342" s="9"/>
      <c r="D342" s="9"/>
      <c r="E342" s="9"/>
      <c r="F342" s="9"/>
      <c r="G342" s="9"/>
      <c r="H342" s="28"/>
      <c r="I342" s="68">
        <f>I340+I341</f>
        <v>11073.26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ht="12.0" customHeight="1">
      <c r="A343" s="214" t="s">
        <v>238</v>
      </c>
      <c r="B343" s="9"/>
      <c r="C343" s="9"/>
      <c r="D343" s="9"/>
      <c r="E343" s="9"/>
      <c r="F343" s="9"/>
      <c r="G343" s="9"/>
      <c r="H343" s="9"/>
      <c r="I343" s="12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ht="12.0" customHeight="1">
      <c r="A344" s="215"/>
      <c r="B344" s="9"/>
      <c r="C344" s="9"/>
      <c r="D344" s="9"/>
      <c r="E344" s="9"/>
      <c r="F344" s="9"/>
      <c r="G344" s="9"/>
      <c r="H344" s="9"/>
      <c r="I344" s="12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ht="12.0" customHeight="1">
      <c r="A345" s="216" t="s">
        <v>239</v>
      </c>
      <c r="I345" s="171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ht="12.0" customHeight="1">
      <c r="A346" s="22" t="s">
        <v>240</v>
      </c>
      <c r="B346" s="9"/>
      <c r="C346" s="9"/>
      <c r="D346" s="10"/>
      <c r="E346" s="29" t="s">
        <v>241</v>
      </c>
      <c r="F346" s="10"/>
      <c r="G346" s="151" t="s">
        <v>242</v>
      </c>
      <c r="H346" s="29" t="s">
        <v>243</v>
      </c>
      <c r="I346" s="12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ht="12.0" customHeight="1">
      <c r="A347" s="125" t="s">
        <v>244</v>
      </c>
      <c r="B347" s="9"/>
      <c r="C347" s="9"/>
      <c r="D347" s="10"/>
      <c r="E347" s="217">
        <f>I175</f>
        <v>9662.07</v>
      </c>
      <c r="F347" s="10"/>
      <c r="G347" s="218">
        <f>SUM(H16)</f>
        <v>1</v>
      </c>
      <c r="H347" s="219">
        <f t="shared" ref="H347:H348" si="6">E347*G347</f>
        <v>9662.07</v>
      </c>
      <c r="I347" s="12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ht="12.0" customHeight="1">
      <c r="A348" s="220" t="s">
        <v>245</v>
      </c>
      <c r="B348" s="9"/>
      <c r="C348" s="9"/>
      <c r="D348" s="10"/>
      <c r="E348" s="221">
        <f>I342</f>
        <v>11073.26</v>
      </c>
      <c r="F348" s="10"/>
      <c r="G348" s="222">
        <f>H181</f>
        <v>2</v>
      </c>
      <c r="H348" s="223">
        <f t="shared" si="6"/>
        <v>22146.52</v>
      </c>
      <c r="I348" s="12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ht="12.0" customHeight="1">
      <c r="A349" s="91" t="s">
        <v>246</v>
      </c>
      <c r="B349" s="9"/>
      <c r="C349" s="9"/>
      <c r="D349" s="9"/>
      <c r="E349" s="9"/>
      <c r="F349" s="10"/>
      <c r="G349" s="224">
        <f>SUM(G347:G348)</f>
        <v>3</v>
      </c>
      <c r="H349" s="225">
        <f>SUM(H347:I348)</f>
        <v>31808.59</v>
      </c>
      <c r="I349" s="12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ht="12.0" customHeight="1">
      <c r="A350" s="226"/>
      <c r="B350" s="227"/>
      <c r="C350" s="227"/>
      <c r="D350" s="227"/>
      <c r="E350" s="227"/>
      <c r="F350" s="227"/>
      <c r="G350" s="227"/>
      <c r="H350" s="227"/>
      <c r="I350" s="228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ht="12.0" customHeight="1">
      <c r="A351" s="229" t="s">
        <v>247</v>
      </c>
      <c r="B351" s="173"/>
      <c r="C351" s="173"/>
      <c r="D351" s="173"/>
      <c r="E351" s="173"/>
      <c r="F351" s="173"/>
      <c r="G351" s="173"/>
      <c r="H351" s="173"/>
      <c r="I351" s="17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ht="12.0" customHeight="1">
      <c r="A352" s="230"/>
      <c r="B352" s="9"/>
      <c r="C352" s="9"/>
      <c r="D352" s="9"/>
      <c r="E352" s="9"/>
      <c r="F352" s="9"/>
      <c r="G352" s="9"/>
      <c r="H352" s="9"/>
      <c r="I352" s="12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ht="12.0" customHeight="1">
      <c r="A353" s="8" t="s">
        <v>248</v>
      </c>
      <c r="B353" s="9"/>
      <c r="C353" s="9"/>
      <c r="D353" s="9"/>
      <c r="E353" s="9"/>
      <c r="F353" s="10"/>
      <c r="G353" s="231">
        <f>H349</f>
        <v>31808.59</v>
      </c>
      <c r="H353" s="9"/>
      <c r="I353" s="12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ht="12.0" customHeight="1">
      <c r="A354" s="232"/>
      <c r="B354" s="233"/>
      <c r="C354" s="233"/>
      <c r="D354" s="233"/>
      <c r="E354" s="233"/>
      <c r="F354" s="233"/>
      <c r="G354" s="233"/>
      <c r="H354" s="233"/>
      <c r="I354" s="23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ht="12.0" customHeight="1">
      <c r="A355" s="8" t="s">
        <v>249</v>
      </c>
      <c r="B355" s="9"/>
      <c r="C355" s="9"/>
      <c r="D355" s="9"/>
      <c r="E355" s="9"/>
      <c r="F355" s="10"/>
      <c r="G355" s="235">
        <f>H11</f>
        <v>12</v>
      </c>
      <c r="H355" s="9"/>
      <c r="I355" s="12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ht="12.0" customHeight="1">
      <c r="A356" s="236"/>
      <c r="B356" s="9"/>
      <c r="C356" s="9"/>
      <c r="D356" s="9"/>
      <c r="E356" s="9"/>
      <c r="F356" s="9"/>
      <c r="G356" s="9"/>
      <c r="H356" s="9"/>
      <c r="I356" s="12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ht="12.0" customHeight="1">
      <c r="A357" s="8" t="s">
        <v>250</v>
      </c>
      <c r="B357" s="9"/>
      <c r="C357" s="9"/>
      <c r="D357" s="9"/>
      <c r="E357" s="9"/>
      <c r="F357" s="10"/>
      <c r="G357" s="237">
        <f>ROUND(G353*G355,2)</f>
        <v>381703.08</v>
      </c>
      <c r="H357" s="9"/>
      <c r="I357" s="12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ht="12.0" customHeight="1">
      <c r="A358" s="236"/>
      <c r="B358" s="9"/>
      <c r="C358" s="9"/>
      <c r="D358" s="9"/>
      <c r="E358" s="9"/>
      <c r="F358" s="9"/>
      <c r="G358" s="9"/>
      <c r="H358" s="9"/>
      <c r="I358" s="12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ht="12.0" customHeight="1">
      <c r="A359" s="238" t="s">
        <v>251</v>
      </c>
      <c r="B359" s="9"/>
      <c r="C359" s="9"/>
      <c r="D359" s="9"/>
      <c r="E359" s="9"/>
      <c r="F359" s="9"/>
      <c r="G359" s="9"/>
      <c r="H359" s="9"/>
      <c r="I359" s="12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ht="12.0" customHeight="1">
      <c r="A360" s="239" t="s">
        <v>252</v>
      </c>
      <c r="C360" s="240"/>
      <c r="D360" s="241" t="s">
        <v>253</v>
      </c>
      <c r="E360" s="166"/>
      <c r="F360" s="166"/>
      <c r="G360" s="166"/>
      <c r="H360" s="166"/>
      <c r="I360" s="168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ht="12.0" customHeight="1">
      <c r="A361" s="172"/>
      <c r="B361" s="173"/>
      <c r="C361" s="242"/>
      <c r="D361" s="243"/>
      <c r="E361" s="173"/>
      <c r="F361" s="173"/>
      <c r="G361" s="173"/>
      <c r="H361" s="173"/>
      <c r="I361" s="17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ht="12.0" customHeight="1">
      <c r="A362" s="244" t="s">
        <v>254</v>
      </c>
      <c r="B362" s="9"/>
      <c r="C362" s="10"/>
      <c r="D362" s="245">
        <v>6.0</v>
      </c>
      <c r="E362" s="9"/>
      <c r="F362" s="9"/>
      <c r="G362" s="9"/>
      <c r="H362" s="9"/>
      <c r="I362" s="12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ht="12.0" customHeight="1">
      <c r="A363" s="246"/>
      <c r="B363" s="166"/>
      <c r="C363" s="166"/>
      <c r="D363" s="166"/>
      <c r="E363" s="166"/>
      <c r="F363" s="166"/>
      <c r="G363" s="166"/>
      <c r="H363" s="166"/>
      <c r="I363" s="168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ht="12.0" customHeight="1">
      <c r="A364" s="247" t="s">
        <v>255</v>
      </c>
      <c r="B364" s="248"/>
      <c r="C364" s="248"/>
      <c r="D364" s="248"/>
      <c r="E364" s="248"/>
      <c r="F364" s="248"/>
      <c r="G364" s="248"/>
      <c r="H364" s="248"/>
      <c r="I364" s="24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ht="12.0" customHeight="1">
      <c r="A365" s="250" t="s">
        <v>256</v>
      </c>
      <c r="B365" s="248"/>
      <c r="C365" s="248"/>
      <c r="D365" s="251"/>
      <c r="E365" s="252" t="s">
        <v>257</v>
      </c>
      <c r="F365" s="253" t="s">
        <v>258</v>
      </c>
      <c r="G365" s="253" t="s">
        <v>259</v>
      </c>
      <c r="H365" s="253" t="s">
        <v>260</v>
      </c>
      <c r="I365" s="254" t="s">
        <v>261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ht="12.0" customHeight="1">
      <c r="A366" s="255" t="s">
        <v>262</v>
      </c>
      <c r="B366" s="256"/>
      <c r="C366" s="257" t="s">
        <v>263</v>
      </c>
      <c r="D366" s="258"/>
      <c r="E366" s="259">
        <v>1.0</v>
      </c>
      <c r="F366" s="260">
        <v>2.0</v>
      </c>
      <c r="G366" s="261">
        <v>128.62</v>
      </c>
      <c r="H366" s="262">
        <f t="shared" ref="H366:H389" si="7">ROUND((G366*F366)/E366,2)</f>
        <v>257.24</v>
      </c>
      <c r="I366" s="263">
        <f>SUM(H366:H377)</f>
        <v>1028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ht="12.0" customHeight="1">
      <c r="A367" s="169"/>
      <c r="B367" s="240"/>
      <c r="C367" s="264" t="s">
        <v>264</v>
      </c>
      <c r="D367" s="9"/>
      <c r="E367" s="265">
        <v>1.0</v>
      </c>
      <c r="F367" s="266">
        <v>2.0</v>
      </c>
      <c r="G367" s="267">
        <v>48.0</v>
      </c>
      <c r="H367" s="268">
        <f t="shared" si="7"/>
        <v>96</v>
      </c>
      <c r="I367" s="26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ht="12.0" customHeight="1">
      <c r="A368" s="169"/>
      <c r="B368" s="240"/>
      <c r="C368" s="264" t="s">
        <v>265</v>
      </c>
      <c r="D368" s="9"/>
      <c r="E368" s="265">
        <v>1.0</v>
      </c>
      <c r="F368" s="266">
        <v>3.0</v>
      </c>
      <c r="G368" s="267">
        <v>40.75</v>
      </c>
      <c r="H368" s="268">
        <f t="shared" si="7"/>
        <v>122.25</v>
      </c>
      <c r="I368" s="26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ht="12.0" customHeight="1">
      <c r="A369" s="169"/>
      <c r="B369" s="240"/>
      <c r="C369" s="264" t="s">
        <v>266</v>
      </c>
      <c r="D369" s="9"/>
      <c r="E369" s="265">
        <v>1.0</v>
      </c>
      <c r="F369" s="270">
        <v>1.0</v>
      </c>
      <c r="G369" s="271">
        <v>60.0</v>
      </c>
      <c r="H369" s="268">
        <f t="shared" si="7"/>
        <v>60</v>
      </c>
      <c r="I369" s="26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ht="12.0" customHeight="1">
      <c r="A370" s="169"/>
      <c r="B370" s="240"/>
      <c r="C370" s="264" t="s">
        <v>267</v>
      </c>
      <c r="D370" s="9"/>
      <c r="E370" s="265">
        <v>1.0</v>
      </c>
      <c r="F370" s="266">
        <v>3.0</v>
      </c>
      <c r="G370" s="267">
        <v>49.0</v>
      </c>
      <c r="H370" s="268">
        <f t="shared" si="7"/>
        <v>147</v>
      </c>
      <c r="I370" s="26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ht="12.0" customHeight="1">
      <c r="A371" s="169"/>
      <c r="B371" s="240"/>
      <c r="C371" s="264" t="s">
        <v>268</v>
      </c>
      <c r="D371" s="9"/>
      <c r="E371" s="265">
        <v>1.0</v>
      </c>
      <c r="F371" s="266">
        <v>2.0</v>
      </c>
      <c r="G371" s="267">
        <v>76.7</v>
      </c>
      <c r="H371" s="268">
        <f t="shared" si="7"/>
        <v>153.4</v>
      </c>
      <c r="I371" s="26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ht="12.0" customHeight="1">
      <c r="A372" s="169"/>
      <c r="B372" s="240"/>
      <c r="C372" s="264" t="s">
        <v>269</v>
      </c>
      <c r="D372" s="9"/>
      <c r="E372" s="265">
        <v>1.0</v>
      </c>
      <c r="F372" s="270">
        <v>1.0</v>
      </c>
      <c r="G372" s="271">
        <v>130.3</v>
      </c>
      <c r="H372" s="268">
        <f t="shared" si="7"/>
        <v>130.3</v>
      </c>
      <c r="I372" s="26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ht="12.0" customHeight="1">
      <c r="A373" s="169"/>
      <c r="B373" s="240"/>
      <c r="C373" s="264" t="s">
        <v>270</v>
      </c>
      <c r="D373" s="9"/>
      <c r="E373" s="265">
        <v>1.0</v>
      </c>
      <c r="F373" s="266">
        <v>1.0</v>
      </c>
      <c r="G373" s="267">
        <v>33.2</v>
      </c>
      <c r="H373" s="268">
        <f t="shared" si="7"/>
        <v>33.2</v>
      </c>
      <c r="I373" s="26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ht="12.0" customHeight="1">
      <c r="A374" s="169"/>
      <c r="B374" s="240"/>
      <c r="C374" s="264" t="s">
        <v>271</v>
      </c>
      <c r="D374" s="9"/>
      <c r="E374" s="265">
        <v>1.0</v>
      </c>
      <c r="F374" s="266">
        <v>1.0</v>
      </c>
      <c r="G374" s="267">
        <v>14.5</v>
      </c>
      <c r="H374" s="268">
        <f t="shared" si="7"/>
        <v>14.5</v>
      </c>
      <c r="I374" s="26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ht="12.0" customHeight="1">
      <c r="A375" s="169"/>
      <c r="B375" s="240"/>
      <c r="C375" s="264" t="s">
        <v>272</v>
      </c>
      <c r="D375" s="9"/>
      <c r="E375" s="265">
        <v>1.0</v>
      </c>
      <c r="F375" s="266">
        <v>1.0</v>
      </c>
      <c r="G375" s="267">
        <v>0.54</v>
      </c>
      <c r="H375" s="268">
        <f t="shared" si="7"/>
        <v>0.54</v>
      </c>
      <c r="I375" s="26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ht="12.0" customHeight="1">
      <c r="A376" s="169"/>
      <c r="B376" s="240"/>
      <c r="C376" s="264" t="s">
        <v>273</v>
      </c>
      <c r="D376" s="9"/>
      <c r="E376" s="265">
        <v>1.0</v>
      </c>
      <c r="F376" s="266">
        <v>1.0</v>
      </c>
      <c r="G376" s="267">
        <v>3.0</v>
      </c>
      <c r="H376" s="268">
        <f t="shared" si="7"/>
        <v>3</v>
      </c>
      <c r="I376" s="26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ht="12.0" customHeight="1">
      <c r="A377" s="272"/>
      <c r="B377" s="273"/>
      <c r="C377" s="274" t="s">
        <v>274</v>
      </c>
      <c r="D377" s="275"/>
      <c r="E377" s="276">
        <v>1.0</v>
      </c>
      <c r="F377" s="277">
        <v>1.0</v>
      </c>
      <c r="G377" s="278">
        <v>10.57</v>
      </c>
      <c r="H377" s="279">
        <f t="shared" si="7"/>
        <v>10.57</v>
      </c>
      <c r="I377" s="28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ht="12.0" customHeight="1">
      <c r="A378" s="281" t="s">
        <v>275</v>
      </c>
      <c r="B378" s="256"/>
      <c r="C378" s="282" t="s">
        <v>276</v>
      </c>
      <c r="D378" s="283"/>
      <c r="E378" s="284">
        <v>3.0</v>
      </c>
      <c r="F378" s="284">
        <v>1.0</v>
      </c>
      <c r="G378" s="285">
        <v>41.9</v>
      </c>
      <c r="H378" s="262">
        <f t="shared" si="7"/>
        <v>13.97</v>
      </c>
      <c r="I378" s="263">
        <f>SUM(H378:H389)</f>
        <v>881.75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ht="12.0" customHeight="1">
      <c r="A379" s="169"/>
      <c r="B379" s="240"/>
      <c r="C379" s="286" t="s">
        <v>277</v>
      </c>
      <c r="D379" s="10"/>
      <c r="E379" s="287">
        <v>1.0</v>
      </c>
      <c r="F379" s="287">
        <v>1.0</v>
      </c>
      <c r="G379" s="288">
        <v>10.62</v>
      </c>
      <c r="H379" s="268">
        <f t="shared" si="7"/>
        <v>10.62</v>
      </c>
      <c r="I379" s="26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ht="12.0" customHeight="1">
      <c r="A380" s="169"/>
      <c r="B380" s="240"/>
      <c r="C380" s="264" t="s">
        <v>278</v>
      </c>
      <c r="D380" s="10"/>
      <c r="E380" s="289">
        <v>5.0</v>
      </c>
      <c r="F380" s="287">
        <v>1.0</v>
      </c>
      <c r="G380" s="290">
        <v>75.0</v>
      </c>
      <c r="H380" s="268">
        <f t="shared" si="7"/>
        <v>15</v>
      </c>
      <c r="I380" s="26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ht="12.0" customHeight="1">
      <c r="A381" s="169"/>
      <c r="B381" s="240"/>
      <c r="C381" s="286" t="s">
        <v>279</v>
      </c>
      <c r="D381" s="10"/>
      <c r="E381" s="289">
        <v>20.0</v>
      </c>
      <c r="F381" s="287">
        <v>1.0</v>
      </c>
      <c r="G381" s="288">
        <v>2786.98</v>
      </c>
      <c r="H381" s="268">
        <f t="shared" si="7"/>
        <v>139.35</v>
      </c>
      <c r="I381" s="26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ht="12.0" customHeight="1">
      <c r="A382" s="169"/>
      <c r="B382" s="240"/>
      <c r="C382" s="286" t="s">
        <v>280</v>
      </c>
      <c r="D382" s="10"/>
      <c r="E382" s="289">
        <v>1.0</v>
      </c>
      <c r="F382" s="287">
        <v>5.0</v>
      </c>
      <c r="G382" s="288">
        <v>3.5</v>
      </c>
      <c r="H382" s="268">
        <f t="shared" si="7"/>
        <v>17.5</v>
      </c>
      <c r="I382" s="26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ht="12.0" customHeight="1">
      <c r="A383" s="169"/>
      <c r="B383" s="240"/>
      <c r="C383" s="286" t="s">
        <v>281</v>
      </c>
      <c r="D383" s="10"/>
      <c r="E383" s="287">
        <v>1.0</v>
      </c>
      <c r="F383" s="287">
        <v>1.0</v>
      </c>
      <c r="G383" s="288">
        <v>34.08</v>
      </c>
      <c r="H383" s="268">
        <f t="shared" si="7"/>
        <v>34.08</v>
      </c>
      <c r="I383" s="26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ht="12.0" customHeight="1">
      <c r="A384" s="169"/>
      <c r="B384" s="240"/>
      <c r="C384" s="264" t="s">
        <v>282</v>
      </c>
      <c r="D384" s="10"/>
      <c r="E384" s="289">
        <v>5.0</v>
      </c>
      <c r="F384" s="289">
        <v>1.0</v>
      </c>
      <c r="G384" s="290">
        <v>1039.0</v>
      </c>
      <c r="H384" s="268">
        <f t="shared" si="7"/>
        <v>207.8</v>
      </c>
      <c r="I384" s="26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ht="12.0" customHeight="1">
      <c r="A385" s="169"/>
      <c r="B385" s="240"/>
      <c r="C385" s="264" t="s">
        <v>283</v>
      </c>
      <c r="D385" s="10"/>
      <c r="E385" s="287">
        <v>1.0</v>
      </c>
      <c r="F385" s="287">
        <v>1.0</v>
      </c>
      <c r="G385" s="288">
        <v>15.25</v>
      </c>
      <c r="H385" s="268">
        <f t="shared" si="7"/>
        <v>15.25</v>
      </c>
      <c r="I385" s="26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ht="12.0" customHeight="1">
      <c r="A386" s="169"/>
      <c r="B386" s="240"/>
      <c r="C386" s="264" t="s">
        <v>284</v>
      </c>
      <c r="D386" s="10"/>
      <c r="E386" s="287">
        <v>1.0</v>
      </c>
      <c r="F386" s="287">
        <v>1.0</v>
      </c>
      <c r="G386" s="288">
        <v>29.52</v>
      </c>
      <c r="H386" s="268">
        <f t="shared" si="7"/>
        <v>29.52</v>
      </c>
      <c r="I386" s="26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ht="12.0" customHeight="1">
      <c r="A387" s="169"/>
      <c r="B387" s="240"/>
      <c r="C387" s="286" t="s">
        <v>285</v>
      </c>
      <c r="D387" s="10"/>
      <c r="E387" s="289">
        <v>3.0</v>
      </c>
      <c r="F387" s="291">
        <v>1.33</v>
      </c>
      <c r="G387" s="288">
        <v>558.5</v>
      </c>
      <c r="H387" s="268">
        <f t="shared" si="7"/>
        <v>247.6</v>
      </c>
      <c r="I387" s="26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ht="12.0" customHeight="1">
      <c r="A388" s="169"/>
      <c r="B388" s="240"/>
      <c r="C388" s="292" t="s">
        <v>286</v>
      </c>
      <c r="D388" s="10"/>
      <c r="E388" s="287">
        <v>1.0</v>
      </c>
      <c r="F388" s="291">
        <v>0.33</v>
      </c>
      <c r="G388" s="288">
        <v>9.77</v>
      </c>
      <c r="H388" s="268">
        <f t="shared" si="7"/>
        <v>3.22</v>
      </c>
      <c r="I388" s="26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ht="12.0" customHeight="1">
      <c r="A389" s="272"/>
      <c r="B389" s="273"/>
      <c r="C389" s="293" t="s">
        <v>287</v>
      </c>
      <c r="D389" s="294"/>
      <c r="E389" s="295">
        <v>1.0</v>
      </c>
      <c r="F389" s="296">
        <v>0.33</v>
      </c>
      <c r="G389" s="297">
        <v>448.0</v>
      </c>
      <c r="H389" s="279">
        <f t="shared" si="7"/>
        <v>147.84</v>
      </c>
      <c r="I389" s="28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298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29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29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29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29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29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29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29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29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29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29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29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29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29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29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29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29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29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29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29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299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29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29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29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29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29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29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29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29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29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29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29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29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29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29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29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29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29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29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29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29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29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29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299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29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29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29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29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29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29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29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29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29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29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299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29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29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29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29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29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29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29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29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29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29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29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29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29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29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29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29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29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29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29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29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299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29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29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29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29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29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29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29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29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29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29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29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29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29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29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29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29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29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29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29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29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29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29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299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29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29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29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29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29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29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29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29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29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299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299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29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299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29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29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29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29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29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29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29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29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29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29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29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29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29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29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29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29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29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29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299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29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29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29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29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29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29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29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29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29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29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29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29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29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29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29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29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29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29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29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29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29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29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29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29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29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29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29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29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29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29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29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29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29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29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29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29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29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29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29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29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29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29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29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29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29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29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29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29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29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29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29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29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299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299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299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299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299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299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299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299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299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29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299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299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299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299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29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29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29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29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29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29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29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29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29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29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29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29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29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29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29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29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29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29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29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29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29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29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29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29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29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29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29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29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29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29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29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29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29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29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29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29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29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29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29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29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29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29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29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29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29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29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29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29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29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29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29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29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29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29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29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29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29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29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29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29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29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29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29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29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29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29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29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29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29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29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29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29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29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29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29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29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29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29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29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29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29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29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29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29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29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29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29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29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29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29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29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29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29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29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29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29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29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29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29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29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29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29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29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29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29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29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29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29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29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29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29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29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29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29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29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29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29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29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29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29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29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29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29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29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29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29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29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29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29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29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29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29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29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29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29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29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29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29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29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29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29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29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29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29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29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29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29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29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29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29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29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29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29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29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29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29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29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29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29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29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29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29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29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29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29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29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29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29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29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29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29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29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29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29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29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29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29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29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29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29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29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29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29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29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29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29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29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29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29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29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29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29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29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29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29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29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29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29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29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29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29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29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29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29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29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29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29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29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29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29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29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29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29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29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29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29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29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29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29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29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29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29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29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29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29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29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29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29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29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29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29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29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29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29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29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29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29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29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29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29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29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29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29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29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29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29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29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29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29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29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29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29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29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29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29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29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29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29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29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29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29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29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29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29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29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29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29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29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29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29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29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29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29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29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29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29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29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29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29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29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29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29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29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29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29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29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29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29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29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29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29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29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29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29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29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29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29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29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29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29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29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29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29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29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29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29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29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29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29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29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29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29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29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29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29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29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29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29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29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29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29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29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29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29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29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29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29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29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29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29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29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29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29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29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29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29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29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29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29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29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29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</sheetData>
  <mergeCells count="444">
    <mergeCell ref="C163:I163"/>
    <mergeCell ref="C162:I162"/>
    <mergeCell ref="A161:G161"/>
    <mergeCell ref="A162:B164"/>
    <mergeCell ref="A166:I166"/>
    <mergeCell ref="A167:H167"/>
    <mergeCell ref="A165:I165"/>
    <mergeCell ref="B157:G157"/>
    <mergeCell ref="B154:G154"/>
    <mergeCell ref="B153:G153"/>
    <mergeCell ref="B151:I151"/>
    <mergeCell ref="C164:I164"/>
    <mergeCell ref="B152:G152"/>
    <mergeCell ref="B171:H171"/>
    <mergeCell ref="B169:H169"/>
    <mergeCell ref="B98:H98"/>
    <mergeCell ref="B96:H96"/>
    <mergeCell ref="B97:H97"/>
    <mergeCell ref="B101:H101"/>
    <mergeCell ref="B111:G111"/>
    <mergeCell ref="B110:H110"/>
    <mergeCell ref="A106:H106"/>
    <mergeCell ref="A102:H102"/>
    <mergeCell ref="A150:H150"/>
    <mergeCell ref="B149:G149"/>
    <mergeCell ref="B138:H138"/>
    <mergeCell ref="A134:H134"/>
    <mergeCell ref="B140:H140"/>
    <mergeCell ref="A68:I68"/>
    <mergeCell ref="B73:G73"/>
    <mergeCell ref="B172:H172"/>
    <mergeCell ref="A173:H173"/>
    <mergeCell ref="B174:H174"/>
    <mergeCell ref="A175:H175"/>
    <mergeCell ref="B170:H170"/>
    <mergeCell ref="B168:H168"/>
    <mergeCell ref="A178:I178"/>
    <mergeCell ref="A179:I179"/>
    <mergeCell ref="A177:I177"/>
    <mergeCell ref="A176:I176"/>
    <mergeCell ref="H182:I182"/>
    <mergeCell ref="F181:G181"/>
    <mergeCell ref="H180:I180"/>
    <mergeCell ref="H181:I181"/>
    <mergeCell ref="A180:E180"/>
    <mergeCell ref="A182:G182"/>
    <mergeCell ref="A181:E181"/>
    <mergeCell ref="F180:G180"/>
    <mergeCell ref="B127:H127"/>
    <mergeCell ref="B132:H132"/>
    <mergeCell ref="B133:H133"/>
    <mergeCell ref="B131:H131"/>
    <mergeCell ref="A129:I129"/>
    <mergeCell ref="A128:H128"/>
    <mergeCell ref="A130:I130"/>
    <mergeCell ref="A121:I121"/>
    <mergeCell ref="A126:H126"/>
    <mergeCell ref="B125:H125"/>
    <mergeCell ref="A122:I122"/>
    <mergeCell ref="A120:I120"/>
    <mergeCell ref="A119:H119"/>
    <mergeCell ref="B118:H118"/>
    <mergeCell ref="A117:H117"/>
    <mergeCell ref="B145:G145"/>
    <mergeCell ref="A143:I143"/>
    <mergeCell ref="A144:I144"/>
    <mergeCell ref="A142:I142"/>
    <mergeCell ref="A141:H141"/>
    <mergeCell ref="B155:G155"/>
    <mergeCell ref="A136:I136"/>
    <mergeCell ref="A137:I137"/>
    <mergeCell ref="A146:H146"/>
    <mergeCell ref="B147:G147"/>
    <mergeCell ref="A148:H148"/>
    <mergeCell ref="A135:I135"/>
    <mergeCell ref="B114:H114"/>
    <mergeCell ref="B113:H113"/>
    <mergeCell ref="B115:H115"/>
    <mergeCell ref="A109:I109"/>
    <mergeCell ref="A108:I108"/>
    <mergeCell ref="A107:I107"/>
    <mergeCell ref="A104:I104"/>
    <mergeCell ref="A105:I105"/>
    <mergeCell ref="A103:I103"/>
    <mergeCell ref="B112:H112"/>
    <mergeCell ref="B124:H124"/>
    <mergeCell ref="B123:H123"/>
    <mergeCell ref="B30:G30"/>
    <mergeCell ref="B36:G36"/>
    <mergeCell ref="B29:G29"/>
    <mergeCell ref="B37:H37"/>
    <mergeCell ref="B38:G38"/>
    <mergeCell ref="B64:G64"/>
    <mergeCell ref="B65:G65"/>
    <mergeCell ref="B63:G63"/>
    <mergeCell ref="B62:G62"/>
    <mergeCell ref="B61:G61"/>
    <mergeCell ref="B60:C60"/>
    <mergeCell ref="B72:G72"/>
    <mergeCell ref="B71:H71"/>
    <mergeCell ref="B70:H70"/>
    <mergeCell ref="B23:G23"/>
    <mergeCell ref="H23:I23"/>
    <mergeCell ref="B24:G24"/>
    <mergeCell ref="B25:G25"/>
    <mergeCell ref="H25:I25"/>
    <mergeCell ref="H24:I24"/>
    <mergeCell ref="H31:I31"/>
    <mergeCell ref="H30:I30"/>
    <mergeCell ref="H27:I27"/>
    <mergeCell ref="H26:I26"/>
    <mergeCell ref="B27:G27"/>
    <mergeCell ref="B26:G26"/>
    <mergeCell ref="B28:G28"/>
    <mergeCell ref="H28:I28"/>
    <mergeCell ref="H29:I29"/>
    <mergeCell ref="B50:H50"/>
    <mergeCell ref="B59:G59"/>
    <mergeCell ref="B57:G57"/>
    <mergeCell ref="B58:G58"/>
    <mergeCell ref="B51:H51"/>
    <mergeCell ref="B52:H52"/>
    <mergeCell ref="B76:H76"/>
    <mergeCell ref="B77:G77"/>
    <mergeCell ref="B78:G78"/>
    <mergeCell ref="B79:G79"/>
    <mergeCell ref="B75:G75"/>
    <mergeCell ref="B74:G74"/>
    <mergeCell ref="B88:H88"/>
    <mergeCell ref="A91:H91"/>
    <mergeCell ref="B89:H89"/>
    <mergeCell ref="B90:H90"/>
    <mergeCell ref="A19:I19"/>
    <mergeCell ref="A18:I18"/>
    <mergeCell ref="H17:I17"/>
    <mergeCell ref="B80:H80"/>
    <mergeCell ref="F4:I4"/>
    <mergeCell ref="A4:E4"/>
    <mergeCell ref="A3:E3"/>
    <mergeCell ref="A2:I2"/>
    <mergeCell ref="A1:I1"/>
    <mergeCell ref="F3:I3"/>
    <mergeCell ref="A5:I5"/>
    <mergeCell ref="H9:I9"/>
    <mergeCell ref="B9:G9"/>
    <mergeCell ref="B31:G31"/>
    <mergeCell ref="B32:G32"/>
    <mergeCell ref="A12:I12"/>
    <mergeCell ref="A13:I13"/>
    <mergeCell ref="A14:I14"/>
    <mergeCell ref="B11:G11"/>
    <mergeCell ref="H11:I11"/>
    <mergeCell ref="B6:G6"/>
    <mergeCell ref="H6:I6"/>
    <mergeCell ref="H8:I8"/>
    <mergeCell ref="B8:G8"/>
    <mergeCell ref="H7:I7"/>
    <mergeCell ref="B7:G7"/>
    <mergeCell ref="A16:E16"/>
    <mergeCell ref="F16:G16"/>
    <mergeCell ref="H16:I16"/>
    <mergeCell ref="B10:G10"/>
    <mergeCell ref="H10:I10"/>
    <mergeCell ref="A47:I47"/>
    <mergeCell ref="A49:I49"/>
    <mergeCell ref="A48:I48"/>
    <mergeCell ref="B42:H42"/>
    <mergeCell ref="B39:H39"/>
    <mergeCell ref="B43:H43"/>
    <mergeCell ref="A66:G66"/>
    <mergeCell ref="A54:I54"/>
    <mergeCell ref="A53:H53"/>
    <mergeCell ref="A56:I56"/>
    <mergeCell ref="B95:H95"/>
    <mergeCell ref="B100:H100"/>
    <mergeCell ref="B156:G156"/>
    <mergeCell ref="B83:H83"/>
    <mergeCell ref="B87:H87"/>
    <mergeCell ref="B84:H84"/>
    <mergeCell ref="B82:H82"/>
    <mergeCell ref="B81:H81"/>
    <mergeCell ref="B116:H116"/>
    <mergeCell ref="B219:G219"/>
    <mergeCell ref="B238:H238"/>
    <mergeCell ref="B230:G230"/>
    <mergeCell ref="B231:G231"/>
    <mergeCell ref="A271:I271"/>
    <mergeCell ref="B266:H266"/>
    <mergeCell ref="B269:H269"/>
    <mergeCell ref="B267:H267"/>
    <mergeCell ref="B268:H268"/>
    <mergeCell ref="B264:H264"/>
    <mergeCell ref="B263:H263"/>
    <mergeCell ref="B245:G245"/>
    <mergeCell ref="B246:G246"/>
    <mergeCell ref="B243:G243"/>
    <mergeCell ref="B242:G242"/>
    <mergeCell ref="B244:H244"/>
    <mergeCell ref="B249:H249"/>
    <mergeCell ref="B247:G247"/>
    <mergeCell ref="B248:H248"/>
    <mergeCell ref="B250:H250"/>
    <mergeCell ref="A234:G234"/>
    <mergeCell ref="A212:H212"/>
    <mergeCell ref="B218:H218"/>
    <mergeCell ref="A184:I184"/>
    <mergeCell ref="A273:I273"/>
    <mergeCell ref="A209:I209"/>
    <mergeCell ref="B203:H203"/>
    <mergeCell ref="A185:I185"/>
    <mergeCell ref="A183:I183"/>
    <mergeCell ref="B225:G225"/>
    <mergeCell ref="A237:I237"/>
    <mergeCell ref="B232:G232"/>
    <mergeCell ref="B233:G233"/>
    <mergeCell ref="A208:H208"/>
    <mergeCell ref="B204:H204"/>
    <mergeCell ref="B205:H205"/>
    <mergeCell ref="A200:I200"/>
    <mergeCell ref="B192:G192"/>
    <mergeCell ref="B193:G193"/>
    <mergeCell ref="A198:I198"/>
    <mergeCell ref="A199:I199"/>
    <mergeCell ref="A187:I187"/>
    <mergeCell ref="A186:I186"/>
    <mergeCell ref="B241:G241"/>
    <mergeCell ref="B240:G240"/>
    <mergeCell ref="B239:H239"/>
    <mergeCell ref="B255:H255"/>
    <mergeCell ref="B252:H252"/>
    <mergeCell ref="B251:H251"/>
    <mergeCell ref="A270:H270"/>
    <mergeCell ref="A259:H259"/>
    <mergeCell ref="A160:H160"/>
    <mergeCell ref="B139:H139"/>
    <mergeCell ref="B190:G190"/>
    <mergeCell ref="B191:G191"/>
    <mergeCell ref="B99:H99"/>
    <mergeCell ref="A92:I92"/>
    <mergeCell ref="A94:I94"/>
    <mergeCell ref="A93:I93"/>
    <mergeCell ref="A86:I86"/>
    <mergeCell ref="H190:I190"/>
    <mergeCell ref="H189:I189"/>
    <mergeCell ref="H188:I188"/>
    <mergeCell ref="B189:G189"/>
    <mergeCell ref="B188:G188"/>
    <mergeCell ref="H191:I191"/>
    <mergeCell ref="H192:I192"/>
    <mergeCell ref="H193:I193"/>
    <mergeCell ref="H197:I197"/>
    <mergeCell ref="H196:I196"/>
    <mergeCell ref="H194:I194"/>
    <mergeCell ref="H195:I195"/>
    <mergeCell ref="B196:G196"/>
    <mergeCell ref="B197:G197"/>
    <mergeCell ref="B194:G194"/>
    <mergeCell ref="B195:G195"/>
    <mergeCell ref="B158:G158"/>
    <mergeCell ref="B159:G159"/>
    <mergeCell ref="B220:G220"/>
    <mergeCell ref="A223:I223"/>
    <mergeCell ref="A221:H221"/>
    <mergeCell ref="A222:I222"/>
    <mergeCell ref="B206:G206"/>
    <mergeCell ref="B207:H207"/>
    <mergeCell ref="A217:I217"/>
    <mergeCell ref="A215:I215"/>
    <mergeCell ref="A216:I216"/>
    <mergeCell ref="A213:H213"/>
    <mergeCell ref="A214:I214"/>
    <mergeCell ref="B258:H258"/>
    <mergeCell ref="B265:H265"/>
    <mergeCell ref="A262:I262"/>
    <mergeCell ref="A261:I261"/>
    <mergeCell ref="A260:I260"/>
    <mergeCell ref="A253:I253"/>
    <mergeCell ref="A254:I254"/>
    <mergeCell ref="B257:H257"/>
    <mergeCell ref="B256:H256"/>
    <mergeCell ref="A303:I303"/>
    <mergeCell ref="A304:I304"/>
    <mergeCell ref="A317:H317"/>
    <mergeCell ref="B314:G314"/>
    <mergeCell ref="A315:H315"/>
    <mergeCell ref="B312:G312"/>
    <mergeCell ref="A313:H313"/>
    <mergeCell ref="B319:I319"/>
    <mergeCell ref="B318:I318"/>
    <mergeCell ref="B307:H307"/>
    <mergeCell ref="A308:H308"/>
    <mergeCell ref="A302:I302"/>
    <mergeCell ref="B305:H305"/>
    <mergeCell ref="A310:I310"/>
    <mergeCell ref="A311:I311"/>
    <mergeCell ref="A284:H284"/>
    <mergeCell ref="B285:H285"/>
    <mergeCell ref="B277:H277"/>
    <mergeCell ref="A276:I276"/>
    <mergeCell ref="B280:H280"/>
    <mergeCell ref="B281:H281"/>
    <mergeCell ref="B279:H279"/>
    <mergeCell ref="B283:H283"/>
    <mergeCell ref="B282:H282"/>
    <mergeCell ref="A272:I272"/>
    <mergeCell ref="A288:I288"/>
    <mergeCell ref="A287:I287"/>
    <mergeCell ref="A289:I289"/>
    <mergeCell ref="A274:H274"/>
    <mergeCell ref="A275:I275"/>
    <mergeCell ref="B278:G278"/>
    <mergeCell ref="A286:H286"/>
    <mergeCell ref="C385:D385"/>
    <mergeCell ref="C389:D389"/>
    <mergeCell ref="C386:D386"/>
    <mergeCell ref="C387:D387"/>
    <mergeCell ref="C388:D388"/>
    <mergeCell ref="I378:I389"/>
    <mergeCell ref="A378:B389"/>
    <mergeCell ref="C378:D378"/>
    <mergeCell ref="C379:D379"/>
    <mergeCell ref="C380:D380"/>
    <mergeCell ref="C384:D384"/>
    <mergeCell ref="C382:D382"/>
    <mergeCell ref="C383:D383"/>
    <mergeCell ref="C381:D381"/>
    <mergeCell ref="C375:D375"/>
    <mergeCell ref="C376:D376"/>
    <mergeCell ref="B202:H202"/>
    <mergeCell ref="B201:G201"/>
    <mergeCell ref="B210:H210"/>
    <mergeCell ref="B211:H211"/>
    <mergeCell ref="A236:I236"/>
    <mergeCell ref="B226:G226"/>
    <mergeCell ref="B229:G229"/>
    <mergeCell ref="B227:G227"/>
    <mergeCell ref="B228:C228"/>
    <mergeCell ref="A224:I224"/>
    <mergeCell ref="B291:H291"/>
    <mergeCell ref="B292:H292"/>
    <mergeCell ref="B290:H290"/>
    <mergeCell ref="A301:H301"/>
    <mergeCell ref="A327:H327"/>
    <mergeCell ref="B300:H300"/>
    <mergeCell ref="A297:I297"/>
    <mergeCell ref="A296:I296"/>
    <mergeCell ref="B298:H298"/>
    <mergeCell ref="B299:H299"/>
    <mergeCell ref="A295:H295"/>
    <mergeCell ref="B294:H294"/>
    <mergeCell ref="A293:H293"/>
    <mergeCell ref="H346:I346"/>
    <mergeCell ref="H347:I347"/>
    <mergeCell ref="E347:F347"/>
    <mergeCell ref="B336:H336"/>
    <mergeCell ref="B338:H338"/>
    <mergeCell ref="B337:H337"/>
    <mergeCell ref="A342:H342"/>
    <mergeCell ref="B341:H341"/>
    <mergeCell ref="A345:I345"/>
    <mergeCell ref="A344:I344"/>
    <mergeCell ref="A332:I332"/>
    <mergeCell ref="C331:I331"/>
    <mergeCell ref="B335:H335"/>
    <mergeCell ref="A333:I333"/>
    <mergeCell ref="A334:H334"/>
    <mergeCell ref="C329:I329"/>
    <mergeCell ref="A328:G328"/>
    <mergeCell ref="A343:I343"/>
    <mergeCell ref="B339:H339"/>
    <mergeCell ref="A340:H340"/>
    <mergeCell ref="A329:B331"/>
    <mergeCell ref="C330:I330"/>
    <mergeCell ref="A355:F355"/>
    <mergeCell ref="G355:I355"/>
    <mergeCell ref="A353:F353"/>
    <mergeCell ref="A352:I352"/>
    <mergeCell ref="G353:I353"/>
    <mergeCell ref="A356:I356"/>
    <mergeCell ref="A354:I354"/>
    <mergeCell ref="E348:F348"/>
    <mergeCell ref="H348:I348"/>
    <mergeCell ref="A348:D348"/>
    <mergeCell ref="A349:F349"/>
    <mergeCell ref="A346:D346"/>
    <mergeCell ref="A347:D347"/>
    <mergeCell ref="E346:F346"/>
    <mergeCell ref="A357:F357"/>
    <mergeCell ref="A350:I350"/>
    <mergeCell ref="G357:I357"/>
    <mergeCell ref="A351:I351"/>
    <mergeCell ref="H349:I349"/>
    <mergeCell ref="C377:D377"/>
    <mergeCell ref="A366:B377"/>
    <mergeCell ref="C367:D367"/>
    <mergeCell ref="C368:D368"/>
    <mergeCell ref="C369:D369"/>
    <mergeCell ref="C373:D373"/>
    <mergeCell ref="C370:D370"/>
    <mergeCell ref="C371:D371"/>
    <mergeCell ref="C372:D372"/>
    <mergeCell ref="C366:D366"/>
    <mergeCell ref="I366:I377"/>
    <mergeCell ref="C374:D374"/>
    <mergeCell ref="A15:E15"/>
    <mergeCell ref="A17:G17"/>
    <mergeCell ref="H15:I15"/>
    <mergeCell ref="F15:G15"/>
    <mergeCell ref="P22:V22"/>
    <mergeCell ref="K22:O22"/>
    <mergeCell ref="A21:I21"/>
    <mergeCell ref="A20:I20"/>
    <mergeCell ref="A22:I22"/>
    <mergeCell ref="A41:I41"/>
    <mergeCell ref="A40:H40"/>
    <mergeCell ref="A46:I46"/>
    <mergeCell ref="A44:H44"/>
    <mergeCell ref="A45:H45"/>
    <mergeCell ref="A85:I85"/>
    <mergeCell ref="A55:I55"/>
    <mergeCell ref="A69:I69"/>
    <mergeCell ref="A67:I67"/>
    <mergeCell ref="A33:I33"/>
    <mergeCell ref="H32:I32"/>
    <mergeCell ref="A35:I35"/>
    <mergeCell ref="A34:I34"/>
    <mergeCell ref="D360:I361"/>
    <mergeCell ref="D362:I362"/>
    <mergeCell ref="A360:C361"/>
    <mergeCell ref="A362:C362"/>
    <mergeCell ref="A363:I363"/>
    <mergeCell ref="A359:I359"/>
    <mergeCell ref="A358:I358"/>
    <mergeCell ref="A365:D365"/>
    <mergeCell ref="A364:I364"/>
    <mergeCell ref="B320:G320"/>
    <mergeCell ref="B316:G316"/>
    <mergeCell ref="B306:H306"/>
    <mergeCell ref="B324:G324"/>
    <mergeCell ref="B325:G325"/>
    <mergeCell ref="B326:G326"/>
    <mergeCell ref="B322:G322"/>
    <mergeCell ref="B323:G323"/>
    <mergeCell ref="B321:G321"/>
  </mergeCells>
  <printOptions/>
  <pageMargins bottom="0.75" footer="0.0" header="0.0" left="0.7" right="0.7" top="0.75"/>
  <pageSetup paperSize="9" scale="125" orientation="landscape"/>
  <drawing r:id="rId2"/>
  <legacyDrawing r:id="rId3"/>
</worksheet>
</file>