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Zeladoria Diurna" sheetId="2" r:id="rId5"/>
    <sheet state="visible" name="Insumos_Zeladoria Diurna" sheetId="3" r:id="rId6"/>
    <sheet state="visible" name="Zeladoria Noturna" sheetId="4" r:id="rId7"/>
    <sheet state="visible" name="Insumos_Zeladoria Noturna" sheetId="5" r:id="rId8"/>
    <sheet state="visible" name="Limpeza" sheetId="6" r:id="rId9"/>
    <sheet state="visible" name="Insumos_Limpeza" sheetId="7" r:id="rId10"/>
    <sheet state="visible" name="Jardinagem" sheetId="8" r:id="rId11"/>
    <sheet state="visible" name="Insumos_Jardinagem" sheetId="9" r:id="rId12"/>
    <sheet state="visible" name="Manutenção Predial" sheetId="10" r:id="rId13"/>
    <sheet state="visible" name="Insumos_Manutenção Predial" sheetId="11" r:id="rId14"/>
    <sheet state="hidden" name="Portaria 12x36" sheetId="12" r:id="rId15"/>
  </sheets>
  <definedNames/>
  <calcPr/>
  <extLst>
    <ext uri="GoogleSheetsCustomDataVersion2">
      <go:sheetsCustomData xmlns:go="http://customooxmlschemas.google.com/" r:id="rId16" roundtripDataChecksum="dqBxlJbelrP0P844pgW9Ro7kdoR9vRTgBNdVYvFU71U="/>
    </ext>
  </extLst>
</workbook>
</file>

<file path=xl/sharedStrings.xml><?xml version="1.0" encoding="utf-8"?>
<sst xmlns="http://schemas.openxmlformats.org/spreadsheetml/2006/main" count="1339" uniqueCount="470">
  <si>
    <t>Mensal</t>
  </si>
  <si>
    <t>12 meses</t>
  </si>
  <si>
    <t>60 meses</t>
  </si>
  <si>
    <t>Zeladoria Diurna + Supervisão</t>
  </si>
  <si>
    <t>Zeladoria Noturna</t>
  </si>
  <si>
    <t>Limpeza</t>
  </si>
  <si>
    <t>Jardinagem</t>
  </si>
  <si>
    <t>Manutenção Predial</t>
  </si>
  <si>
    <t>Total</t>
  </si>
  <si>
    <t>Materiais</t>
  </si>
  <si>
    <t>Total com materiais</t>
  </si>
  <si>
    <t xml:space="preserve">PLANILHA DE CUSTOS E FORMAÇÃO DE PREÇOS </t>
  </si>
  <si>
    <t>ZELADORIA DIURNA + SUPERVISÃO</t>
  </si>
  <si>
    <t>REFERÊNCIAS</t>
  </si>
  <si>
    <t>Categoria profissional</t>
  </si>
  <si>
    <t>Zelador
CBO 5141-20</t>
  </si>
  <si>
    <t>Sindicato Patronal</t>
  </si>
  <si>
    <t>SINDASSEIO/RS</t>
  </si>
  <si>
    <t>Sindicato Profissional</t>
  </si>
  <si>
    <t>SEEAC/RS</t>
  </si>
  <si>
    <t>Convenção Coletiva - Registro no M.T.E.</t>
  </si>
  <si>
    <t>RS000040/2025</t>
  </si>
  <si>
    <t>Convenção Coletiva - Período</t>
  </si>
  <si>
    <t>01/01/25 a 31/12/25</t>
  </si>
  <si>
    <t>Município de Realização do Serviço</t>
  </si>
  <si>
    <t>Feliz/RS</t>
  </si>
  <si>
    <t>Rubricas e valores utilizados nos cálculos:</t>
  </si>
  <si>
    <t>QF</t>
  </si>
  <si>
    <t>Qtde. de funcionários</t>
  </si>
  <si>
    <t>HS</t>
  </si>
  <si>
    <t>Horas Semanais</t>
  </si>
  <si>
    <t>SN</t>
  </si>
  <si>
    <t>Salário Normativo</t>
  </si>
  <si>
    <t>DUA</t>
  </si>
  <si>
    <r>
      <rPr>
        <rFont val="Calibri"/>
        <color rgb="FF44546A"/>
        <sz val="9.0"/>
      </rPr>
      <t xml:space="preserve">Dias úteis por ano. 
</t>
    </r>
    <r>
      <rPr>
        <rFont val="Calibri"/>
        <color rgb="FF00B0F0"/>
        <sz val="10.0"/>
      </rPr>
      <t>( 365,25 / 7 * 5 ) - 10 feriados</t>
    </r>
  </si>
  <si>
    <t>MÓDULO 1 - COMPOSIÇÃO DA REMUNERAÇÃO</t>
  </si>
  <si>
    <t>1.a</t>
  </si>
  <si>
    <t>Salário-base (44 horas semanais)</t>
  </si>
  <si>
    <t>Cálculo: ( SN / 44 * HS )</t>
  </si>
  <si>
    <t>1.b</t>
  </si>
  <si>
    <t>Adicional de Insalubridade</t>
  </si>
  <si>
    <t>Cálculo: Salário Base * 20%</t>
  </si>
  <si>
    <t>1.c</t>
  </si>
  <si>
    <t>Gratificação de Função (Cargo de Supervisão)</t>
  </si>
  <si>
    <t>Cálculo: Salário Base * 70%</t>
  </si>
  <si>
    <t>TOTAL</t>
  </si>
  <si>
    <t>MÓDULO 2 - BENEFÍCIOS E ENCARGOS</t>
  </si>
  <si>
    <t>2.1 - Benefícios Mensais e Diários</t>
  </si>
  <si>
    <t>2.1.a</t>
  </si>
  <si>
    <t>Transporte</t>
  </si>
  <si>
    <t xml:space="preserve">A) Valor da passagem do transporte coletivo: </t>
  </si>
  <si>
    <t>B) Quantidade de passagens por dia por funcionário:</t>
  </si>
  <si>
    <t>Cálculo: [(A * B * DUA / 12meses) - (Salário-Base * 6%)]</t>
  </si>
  <si>
    <t>Total (A*B):</t>
  </si>
  <si>
    <t>2.1.b</t>
  </si>
  <si>
    <t>Auxílio Alimentação</t>
  </si>
  <si>
    <t>Valor por dia:</t>
  </si>
  <si>
    <t>Cálculo: [(Valor do auxílio * DUA / 12meses) - 19%]</t>
  </si>
  <si>
    <t>Total:</t>
  </si>
  <si>
    <t>2.1.c</t>
  </si>
  <si>
    <t>Plano de Benefício Familiar</t>
  </si>
  <si>
    <t>Cláusula da CCT</t>
  </si>
  <si>
    <t>2.2 - 13º Salário e Férias</t>
  </si>
  <si>
    <t>2.2.a</t>
  </si>
  <si>
    <t>13º Salário</t>
  </si>
  <si>
    <t>Cálculo: Remuneração / 12meses</t>
  </si>
  <si>
    <t>2.2.b</t>
  </si>
  <si>
    <t>Férias</t>
  </si>
  <si>
    <t>2.2.c</t>
  </si>
  <si>
    <t>Adicional de Férias</t>
  </si>
  <si>
    <t>Cálculo: Remuneração / 3 / 12meses</t>
  </si>
  <si>
    <t>2.3 - Encargos Previdenciários, FGTS e outras contribuições</t>
  </si>
  <si>
    <t>2.3.a</t>
  </si>
  <si>
    <t>INSS</t>
  </si>
  <si>
    <t>2.3.b</t>
  </si>
  <si>
    <t>SESI ou SESC</t>
  </si>
  <si>
    <t>2.3.c</t>
  </si>
  <si>
    <t>SENAI ou SENAC</t>
  </si>
  <si>
    <t>2.3.d</t>
  </si>
  <si>
    <t>INCRA</t>
  </si>
  <si>
    <t>2.3.e</t>
  </si>
  <si>
    <t>Salário educação</t>
  </si>
  <si>
    <t>2.3.f</t>
  </si>
  <si>
    <t>SEBRAE</t>
  </si>
  <si>
    <t>2.3.g</t>
  </si>
  <si>
    <t>FGTS</t>
  </si>
  <si>
    <t>2.3.h</t>
  </si>
  <si>
    <r>
      <rPr>
        <rFont val="Calibri"/>
        <color theme="1"/>
        <sz val="9.0"/>
      </rPr>
      <t xml:space="preserve">SAT (Seguro Acidente de Trabalho) </t>
    </r>
    <r>
      <rPr>
        <rFont val="Calibri"/>
        <i/>
        <color rgb="FF00B0F0"/>
        <sz val="9.0"/>
      </rPr>
      <t>RAT x FAP</t>
    </r>
  </si>
  <si>
    <t>Nota: Percentuais incidentes sobre a Remuneração + 13º Salário e Férias</t>
  </si>
  <si>
    <t>TOTAL do Módulo 2</t>
  </si>
  <si>
    <t>MÓDULO 3 - PROVISÃO PARA RESCISÃO</t>
  </si>
  <si>
    <t>Aviso-prévio Indenizado</t>
  </si>
  <si>
    <t>Rotatividade Anual Estimada
(ROT)</t>
  </si>
  <si>
    <t>Probabilidade de Ocorrência Estimada (PO):</t>
  </si>
  <si>
    <t>Cálculo:  {[Remuneração / 30 * 30  * ROT] + [Remuneração / 30 * ( 30 + 3 ) * (100% - ROT)]} / 12meses * ROT * PO</t>
  </si>
  <si>
    <t>Incidência do FGTS</t>
  </si>
  <si>
    <t>Cálculo: Aviso-prévio * 8%</t>
  </si>
  <si>
    <t>Multa do FGTS</t>
  </si>
  <si>
    <t>Cálculo: Remuneração*8%*40%*ROT*PO</t>
  </si>
  <si>
    <t>Aviso Prévio Trabalhado</t>
  </si>
  <si>
    <t>Aviso-previo Trabalhado</t>
  </si>
  <si>
    <t>Cálculo:  {[Remuneração / 30 * 7 * ROT] + [Remuneração / 30 * ( 7 + 3 ) * (100% - ROT)]} / 12meses * ROT * PO</t>
  </si>
  <si>
    <t>Incidência dos encargos do submódulo 2.3</t>
  </si>
  <si>
    <t>MÓDULO 4 - CUSTO DE REPOSIÇÃO DO PROFISSIONAL AUSENTE</t>
  </si>
  <si>
    <t>(E) Custo de um funcionário por dia útil</t>
  </si>
  <si>
    <t>Cálculo: (Módulo 1 + Módulo 2 + Módulo 3) / (DUA / 12meses)</t>
  </si>
  <si>
    <t>Substituto na cobertura de:</t>
  </si>
  <si>
    <t>(A)
Probabilidade de Ocorrência</t>
  </si>
  <si>
    <t>(B)
Dias de ausência por ano</t>
  </si>
  <si>
    <t>(C)
Proporção de dias afetados</t>
  </si>
  <si>
    <r>
      <rPr>
        <rFont val="Calibri"/>
        <color theme="1"/>
        <sz val="9.0"/>
      </rPr>
      <t xml:space="preserve">(D)
Dias de Reposição por mês
</t>
    </r>
    <r>
      <rPr>
        <rFont val="Calibri"/>
        <color rgb="FF00B0F0"/>
        <sz val="10.0"/>
      </rPr>
      <t>A*B*C/12meses</t>
    </r>
  </si>
  <si>
    <r>
      <rPr>
        <rFont val="Calibri"/>
        <color theme="1"/>
        <sz val="9.0"/>
      </rPr>
      <t xml:space="preserve">TOTAL
</t>
    </r>
    <r>
      <rPr>
        <rFont val="Calibri"/>
        <color rgb="FF00B0F0"/>
        <sz val="10.0"/>
      </rPr>
      <t>Cálculo: D * E</t>
    </r>
  </si>
  <si>
    <t>Acidente de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</si>
  <si>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</si>
  <si>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</si>
  <si>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</si>
  <si>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</si>
  <si>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</si>
  <si>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</si>
  <si>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</si>
  <si>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</si>
  <si>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</si>
  <si>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Ausência Justificada</t>
  </si>
  <si>
    <t>MÓDULO 5 - INSUMOS</t>
  </si>
  <si>
    <t>UNIFORMES/EPIS</t>
  </si>
  <si>
    <t>EQUIPAMENTOS/FERRAMENTAS</t>
  </si>
  <si>
    <t>MATERIAIS</t>
  </si>
  <si>
    <t>MÓDULO 6 - CUSTOS INDIRETOS, LUCRO E TRIBUTOS</t>
  </si>
  <si>
    <t>CUSTOS INDIRETOS</t>
  </si>
  <si>
    <t>Base de Cálculo</t>
  </si>
  <si>
    <t>Base de Cálculo:
Soma dos Módulos 1, 2, 3, 4 e 5</t>
  </si>
  <si>
    <t>%</t>
  </si>
  <si>
    <t>Valor</t>
  </si>
  <si>
    <t>LUCRO</t>
  </si>
  <si>
    <t>Base de Cálculo:
Soma dos Módulos 1, 2, 3, 4 e 5 + Custos Indiretos</t>
  </si>
  <si>
    <t>TRIBUTOS</t>
  </si>
  <si>
    <t>Base de Cálculo: Base de Cálculo: Soma dos Módulos 1, 2, 3, 4 e 5 + Custos Indiretos + Lucro</t>
  </si>
  <si>
    <t>Tributos Federais</t>
  </si>
  <si>
    <t>PIS</t>
  </si>
  <si>
    <t>COFINS</t>
  </si>
  <si>
    <t>Tributos Municipais</t>
  </si>
  <si>
    <t>ISSQN</t>
  </si>
  <si>
    <t>QUADRO-RESUMO POR FUNCIONÁRIO</t>
  </si>
  <si>
    <t>TOTAL POR FUNCIONÁRIO</t>
  </si>
  <si>
    <t>QUANTIDADE DE FUNCIONÁRIOS</t>
  </si>
  <si>
    <t>TOTAL MENSAL</t>
  </si>
  <si>
    <t>INSUMOS</t>
  </si>
  <si>
    <t>ZELADORIA DIURNA</t>
  </si>
  <si>
    <t>Item</t>
  </si>
  <si>
    <t>Descrição</t>
  </si>
  <si>
    <t>Qtde. Total</t>
  </si>
  <si>
    <t>R$ Unit.</t>
  </si>
  <si>
    <t>R$ Total</t>
  </si>
  <si>
    <t>Vida útil
(meses)</t>
  </si>
  <si>
    <t>R$ Total
Mensal</t>
  </si>
  <si>
    <t>Calça</t>
  </si>
  <si>
    <t>Camiseta manga curta</t>
  </si>
  <si>
    <t>Camiseta manga longa</t>
  </si>
  <si>
    <t>Blusa de frio / Moletom</t>
  </si>
  <si>
    <t>Jaqueta</t>
  </si>
  <si>
    <t>Botina de segurança</t>
  </si>
  <si>
    <t>Capacete de segurança</t>
  </si>
  <si>
    <t>Máscara descartável PFF2 com válvula</t>
  </si>
  <si>
    <t>Protetor auricular tipo concha</t>
  </si>
  <si>
    <t>Óculos de proteção incolor</t>
  </si>
  <si>
    <t>Óculos de proteção fumê</t>
  </si>
  <si>
    <t>Protetor solar - 120ml</t>
  </si>
  <si>
    <t>Luva Raspa de Couro Cano Longo</t>
  </si>
  <si>
    <t>Luva malha de algodão pigmentada</t>
  </si>
  <si>
    <t>Luva emborrachada</t>
  </si>
  <si>
    <t>Luva látex multiuso limpeza geral</t>
  </si>
  <si>
    <t>Outros (uniformes e epis não listados)</t>
  </si>
  <si>
    <t>Total Mensal</t>
  </si>
  <si>
    <t>Carrinho para cargas (formato de L)</t>
  </si>
  <si>
    <t>Cone de sinalização 75 cm</t>
  </si>
  <si>
    <t>Outros (equipamentos diversos não listados)</t>
  </si>
  <si>
    <t>(SINAPI)</t>
  </si>
  <si>
    <t>ZELADORIA NOTURNA</t>
  </si>
  <si>
    <r>
      <rPr>
        <rFont val="Calibri"/>
        <color rgb="FF44546A"/>
        <sz val="9.0"/>
      </rPr>
      <t xml:space="preserve">Dias úteis por ano. 
</t>
    </r>
    <r>
      <rPr>
        <rFont val="Calibri"/>
        <color rgb="FF00B0F0"/>
        <sz val="10.0"/>
      </rPr>
      <t>( 365,25 / 7 * 5 ) - 10 feriados</t>
    </r>
  </si>
  <si>
    <t>VH</t>
  </si>
  <si>
    <r>
      <rPr>
        <rFont val="Calibri"/>
        <color rgb="FF44546A"/>
        <sz val="9.0"/>
      </rPr>
      <t xml:space="preserve">Valor Hora Normal
</t>
    </r>
    <r>
      <rPr>
        <rFont val="Calibri"/>
        <color rgb="FF00B0F0"/>
        <sz val="9.0"/>
      </rPr>
      <t>( SN / 220 )</t>
    </r>
  </si>
  <si>
    <t>QHNM</t>
  </si>
  <si>
    <r>
      <rPr>
        <rFont val="Calibri"/>
        <color rgb="FF44546A"/>
        <sz val="9.0"/>
      </rPr>
      <t xml:space="preserve">Qtde. horas noturnas por mês
</t>
    </r>
    <r>
      <rPr>
        <rFont val="Calibri"/>
        <color rgb="FF00B0F0"/>
        <sz val="9.0"/>
      </rPr>
      <t>(DUA * 1,25 / 12)</t>
    </r>
  </si>
  <si>
    <t>Salário-base (30 horas semanais)</t>
  </si>
  <si>
    <t>Adicional de Hora Noturna Reduzida</t>
  </si>
  <si>
    <t>Cálculo: QHNM / 52,5 * 7,5 * VH</t>
  </si>
  <si>
    <t>1.d</t>
  </si>
  <si>
    <t>Adicional Noturno</t>
  </si>
  <si>
    <t>Cálculo: QHNM / 52,5 * 60 * VH * 20%</t>
  </si>
  <si>
    <r>
      <rPr>
        <rFont val="Calibri"/>
        <color theme="1"/>
        <sz val="9.0"/>
      </rPr>
      <t xml:space="preserve">SAT (Seguro Acidente de Trabalho) </t>
    </r>
    <r>
      <rPr>
        <rFont val="Calibri"/>
        <i/>
        <color rgb="FF00B0F0"/>
        <sz val="9.0"/>
      </rPr>
      <t>RAT x FAP</t>
    </r>
  </si>
  <si>
    <r>
      <rPr>
        <rFont val="Calibri"/>
        <color theme="1"/>
        <sz val="9.0"/>
      </rPr>
      <t xml:space="preserve">(D)
Dias de Reposição por mês
</t>
    </r>
    <r>
      <rPr>
        <rFont val="Calibri"/>
        <color rgb="FF00B0F0"/>
        <sz val="10.0"/>
      </rPr>
      <t>A*B*C/12meses</t>
    </r>
  </si>
  <si>
    <r>
      <rPr>
        <rFont val="Calibri"/>
        <color theme="1"/>
        <sz val="9.0"/>
      </rPr>
      <t xml:space="preserve">TOTAL
</t>
    </r>
    <r>
      <rPr>
        <rFont val="Calibri"/>
        <color rgb="FF00B0F0"/>
        <sz val="10.0"/>
      </rPr>
      <t>Cálculo: D * E</t>
    </r>
  </si>
  <si>
    <t>Escada alumínio de abrir com 7 degraus</t>
  </si>
  <si>
    <t>LIMPEZA</t>
  </si>
  <si>
    <t>Auxiliar de Limpeza
CBO 5143-20</t>
  </si>
  <si>
    <r>
      <rPr>
        <rFont val="Calibri"/>
        <color rgb="FF44546A"/>
        <sz val="9.0"/>
      </rPr>
      <t xml:space="preserve">Dias úteis por ano. 
</t>
    </r>
    <r>
      <rPr>
        <rFont val="Calibri"/>
        <color rgb="FF00B0F0"/>
        <sz val="10.0"/>
      </rPr>
      <t>( 365,25 / 7 * 5 ) - 10 feriados</t>
    </r>
  </si>
  <si>
    <t>Cálculo: Salário Base * 40%</t>
  </si>
  <si>
    <r>
      <rPr>
        <rFont val="Calibri"/>
        <color theme="1"/>
        <sz val="9.0"/>
      </rPr>
      <t xml:space="preserve">SAT (Seguro Acidente de Trabalho) </t>
    </r>
    <r>
      <rPr>
        <rFont val="Calibri"/>
        <i/>
        <color rgb="FF00B0F0"/>
        <sz val="9.0"/>
      </rPr>
      <t>RAT x FAP</t>
    </r>
  </si>
  <si>
    <r>
      <rPr>
        <rFont val="Calibri"/>
        <color theme="1"/>
        <sz val="9.0"/>
      </rPr>
      <t xml:space="preserve">(D)
Dias de Reposição por mês
</t>
    </r>
    <r>
      <rPr>
        <rFont val="Calibri"/>
        <color rgb="FF00B0F0"/>
        <sz val="10.0"/>
      </rPr>
      <t>A*B*C/12meses</t>
    </r>
  </si>
  <si>
    <r>
      <rPr>
        <rFont val="Calibri"/>
        <color theme="1"/>
        <sz val="9.0"/>
      </rPr>
      <t xml:space="preserve">TOTAL
</t>
    </r>
    <r>
      <rPr>
        <rFont val="Calibri"/>
        <color rgb="FF00B0F0"/>
        <sz val="10.0"/>
      </rPr>
      <t>Cálculo: D * E</t>
    </r>
  </si>
  <si>
    <t>Bota borracha cano longo</t>
  </si>
  <si>
    <t>Lavadora de Alta Pressão de 2.000psi ou superior</t>
  </si>
  <si>
    <t>Aspirador de pó e água (uso intensivo - industrial)</t>
  </si>
  <si>
    <t>Escada alumínio de abrir com 5 degraus</t>
  </si>
  <si>
    <t>Extensão elétrica cabo PP 3x1,5mm de 30 metros</t>
  </si>
  <si>
    <t>Mangueira de Jardim 3/4", 30 metros c/esguicho</t>
  </si>
  <si>
    <t>Vassoura de Nylon</t>
  </si>
  <si>
    <t>Balde com centrífuga (balde mop giratório)</t>
  </si>
  <si>
    <t>Balde de 15 litros</t>
  </si>
  <si>
    <t>Desentupidor de vaso sanitário</t>
  </si>
  <si>
    <t>Escova para vaso sanitário com suporte</t>
  </si>
  <si>
    <t>Escova manual de cerdas duras de uso geral</t>
  </si>
  <si>
    <t>Esponja de aço (pacote com 8 unidades)</t>
  </si>
  <si>
    <t>Esponja dupla face</t>
  </si>
  <si>
    <t>Pá para lixo</t>
  </si>
  <si>
    <t>Rodo de borracha</t>
  </si>
  <si>
    <t>Pano alvejado de algodão</t>
  </si>
  <si>
    <t>Flanela microfibra</t>
  </si>
  <si>
    <t>Água sanitária - litro</t>
  </si>
  <si>
    <t>Aromatizante de ambiente Aerossol - 400ml</t>
  </si>
  <si>
    <t>Desinfetante líquido aromatizado - litro</t>
  </si>
  <si>
    <t>Detergente líquido - 500ml</t>
  </si>
  <si>
    <t>Sabão em barrra glicerinado - 200g</t>
  </si>
  <si>
    <t>Sabão em pó - 800g</t>
  </si>
  <si>
    <t>Saco para lixo 20 litros - unidades</t>
  </si>
  <si>
    <t>Saco para lixo 60 litros - unidades</t>
  </si>
  <si>
    <t>Saco para lixo 100 litros - unidades</t>
  </si>
  <si>
    <t>Saponáceo cremoso - 250ml</t>
  </si>
  <si>
    <t>Álcool etílico hidratado 70% - litro</t>
  </si>
  <si>
    <t>Limpador de Quadros e Classes - 5 litros</t>
  </si>
  <si>
    <t>Desincrustante - 5 litros</t>
  </si>
  <si>
    <t>Outros (materiais diversos não listados)</t>
  </si>
  <si>
    <t>JARDINAGEM</t>
  </si>
  <si>
    <t>Jardineiro
CBO 6220-10</t>
  </si>
  <si>
    <r>
      <rPr>
        <rFont val="Calibri"/>
        <color rgb="FF44546A"/>
        <sz val="9.0"/>
      </rPr>
      <t xml:space="preserve">Dias úteis por ano. 
</t>
    </r>
    <r>
      <rPr>
        <rFont val="Calibri"/>
        <color rgb="FF00B0F0"/>
        <sz val="10.0"/>
      </rPr>
      <t>( 365,25 / 7 * 5 ) - 10 feriados</t>
    </r>
  </si>
  <si>
    <r>
      <rPr>
        <rFont val="Calibri"/>
        <color theme="1"/>
        <sz val="9.0"/>
      </rPr>
      <t xml:space="preserve">SAT (Seguro Acidente de Trabalho) </t>
    </r>
    <r>
      <rPr>
        <rFont val="Calibri"/>
        <i/>
        <color rgb="FF00B0F0"/>
        <sz val="9.0"/>
      </rPr>
      <t>RAT x FAP</t>
    </r>
  </si>
  <si>
    <r>
      <rPr>
        <rFont val="Calibri"/>
        <color theme="1"/>
        <sz val="9.0"/>
      </rPr>
      <t xml:space="preserve">(D)
Dias de Reposição por mês
</t>
    </r>
    <r>
      <rPr>
        <rFont val="Calibri"/>
        <color rgb="FF00B0F0"/>
        <sz val="10.0"/>
      </rPr>
      <t>A*B*C/12meses</t>
    </r>
  </si>
  <si>
    <r>
      <rPr>
        <rFont val="Calibri"/>
        <color theme="1"/>
        <sz val="9.0"/>
      </rPr>
      <t xml:space="preserve">TOTAL
</t>
    </r>
    <r>
      <rPr>
        <rFont val="Calibri"/>
        <color rgb="FF00B0F0"/>
        <sz val="10.0"/>
      </rPr>
      <t>Cálculo: D * E</t>
    </r>
  </si>
  <si>
    <t>Avental de raspa de couro</t>
  </si>
  <si>
    <t>Perneira de segurança</t>
  </si>
  <si>
    <t>Chapéu com protetor de nuca</t>
  </si>
  <si>
    <t>Cortador de grama à gasolina</t>
  </si>
  <si>
    <t>Roçadeira à gasolina</t>
  </si>
  <si>
    <t>Soprador à gasolina</t>
  </si>
  <si>
    <t>Motopoda à gasolina</t>
  </si>
  <si>
    <t>Escada articulada alumínio 16 degraus</t>
  </si>
  <si>
    <t>Carrinho de mão com caçamba metálica leve</t>
  </si>
  <si>
    <t>Tesoura de grama</t>
  </si>
  <si>
    <t>Tesoura de poda</t>
  </si>
  <si>
    <t>Mangueira de Jardim 3/4" - 50 metros</t>
  </si>
  <si>
    <t>Regador 10 litros</t>
  </si>
  <si>
    <t>Vassoura para grama</t>
  </si>
  <si>
    <t>Serrote</t>
  </si>
  <si>
    <t>Kit jardinagem - pazinhas e ancinho</t>
  </si>
  <si>
    <t>Pá de corte</t>
  </si>
  <si>
    <t>Pá de concha quadrada</t>
  </si>
  <si>
    <t>Pá de concha com bico</t>
  </si>
  <si>
    <t>Enxada</t>
  </si>
  <si>
    <t>Cavadeira Articulada</t>
  </si>
  <si>
    <t>Gasolina - litro</t>
  </si>
  <si>
    <t>Óleo 2 tempos - litro</t>
  </si>
  <si>
    <t>Graxa para engrenagem de roçadeira - 80g</t>
  </si>
  <si>
    <t>Fio de nylon para roçadeira - 100 metros</t>
  </si>
  <si>
    <t>MANUTENÇÃO PREDIAL</t>
  </si>
  <si>
    <t>Auxiliar de Manutenção Predial
CBO 5143-10</t>
  </si>
  <si>
    <r>
      <rPr>
        <rFont val="Calibri"/>
        <color rgb="FF44546A"/>
        <sz val="9.0"/>
      </rPr>
      <t xml:space="preserve">Dias úteis por ano. 
</t>
    </r>
    <r>
      <rPr>
        <rFont val="Calibri"/>
        <color rgb="FF00B0F0"/>
        <sz val="10.0"/>
      </rPr>
      <t>( 365,25 / 7 * 5 ) - 10 feriados</t>
    </r>
  </si>
  <si>
    <t>Adicional de Insalubridade ou Periculosidade</t>
  </si>
  <si>
    <r>
      <rPr>
        <rFont val="Calibri"/>
        <color theme="1"/>
        <sz val="9.0"/>
      </rPr>
      <t xml:space="preserve">SAT (Seguro Acidente de Trabalho) </t>
    </r>
    <r>
      <rPr>
        <rFont val="Calibri"/>
        <i/>
        <color rgb="FF00B0F0"/>
        <sz val="9.0"/>
      </rPr>
      <t>RAT x FAP</t>
    </r>
  </si>
  <si>
    <r>
      <rPr>
        <rFont val="Calibri"/>
        <color theme="1"/>
        <sz val="9.0"/>
      </rPr>
      <t xml:space="preserve">(D)
Dias de Reposição por mês
</t>
    </r>
    <r>
      <rPr>
        <rFont val="Calibri"/>
        <color rgb="FF00B0F0"/>
        <sz val="10.0"/>
      </rPr>
      <t>A*B*C/12meses</t>
    </r>
  </si>
  <si>
    <r>
      <rPr>
        <rFont val="Calibri"/>
        <color theme="1"/>
        <sz val="9.0"/>
      </rPr>
      <t xml:space="preserve">TOTAL
</t>
    </r>
    <r>
      <rPr>
        <rFont val="Calibri"/>
        <color rgb="FF00B0F0"/>
        <sz val="10.0"/>
      </rPr>
      <t>Cálculo: D * E</t>
    </r>
  </si>
  <si>
    <t>Cinto de Segurança com talabarte</t>
  </si>
  <si>
    <t>Caixa/Maleta para Ferramentas</t>
  </si>
  <si>
    <t>Martelo Pena</t>
  </si>
  <si>
    <t>Marretinha</t>
  </si>
  <si>
    <t>Jogo chaves Combinadas</t>
  </si>
  <si>
    <t>Jogo chaves Biela</t>
  </si>
  <si>
    <t>Jogo chaves Allen</t>
  </si>
  <si>
    <t>Jogo de chaves de fenda e philips</t>
  </si>
  <si>
    <t>Jogo Ponteiras Bits PH1, PH2 e PH3 - 30 unidades</t>
  </si>
  <si>
    <t>Kit Brocas Aço Rápido</t>
  </si>
  <si>
    <t>Kit Brocas para Madeira</t>
  </si>
  <si>
    <t>Kit Brocas Widea para concreto</t>
  </si>
  <si>
    <t>Alicate Universal</t>
  </si>
  <si>
    <t>Alicate Bico Meia Cana</t>
  </si>
  <si>
    <t>Alicate de Corte Diagonal</t>
  </si>
  <si>
    <t>Trena 5 metros</t>
  </si>
  <si>
    <t>Extensão elétrica cabo PP 3x2,5mm de 50 metros</t>
  </si>
  <si>
    <t>Carrinho de Mão Chapa Reforçada</t>
  </si>
  <si>
    <t>Carrinho plataforma (zorra) com 4 rodas pnemáticas</t>
  </si>
  <si>
    <t>Moto Esmeril de bancada</t>
  </si>
  <si>
    <t>Morsa (torno de bancada) base giratória</t>
  </si>
  <si>
    <t>Arco de Serra Fixo</t>
  </si>
  <si>
    <t>Mini Arco de Serra</t>
  </si>
  <si>
    <t>Serrinha bi-metal</t>
  </si>
  <si>
    <t>Jogo de Serra Copo para madeira</t>
  </si>
  <si>
    <t>Parafusadeira à bateria</t>
  </si>
  <si>
    <t>Escada extensível alumínio 30 degraus</t>
  </si>
  <si>
    <t>Multímetro Amperímetro Digital com Alicate</t>
  </si>
  <si>
    <t>Cinto para ferramentas</t>
  </si>
  <si>
    <t>Alicate de Eletricista decapador e crimpador</t>
  </si>
  <si>
    <t>Chave teste eletricista</t>
  </si>
  <si>
    <t>Compressor de Ar Direto</t>
  </si>
  <si>
    <t>Kit acessórios para compressor de ar - com pistola pintura</t>
  </si>
  <si>
    <t>Máquina de Solda</t>
  </si>
  <si>
    <t>Máscara de Solda</t>
  </si>
  <si>
    <t>Esmerilhadeira</t>
  </si>
  <si>
    <t>Mini-Retífica</t>
  </si>
  <si>
    <t>Torquês Armador</t>
  </si>
  <si>
    <t>Martelete</t>
  </si>
  <si>
    <t>Plaina</t>
  </si>
  <si>
    <t>Serra Circular</t>
  </si>
  <si>
    <t>Serra Tico-Tico</t>
  </si>
  <si>
    <t>Jogo Serras Tico-Tico</t>
  </si>
  <si>
    <t>Lixadeira Roto-Orbital</t>
  </si>
  <si>
    <t>Martelo de carpinteiro</t>
  </si>
  <si>
    <t>Lápis de carpinteiro</t>
  </si>
  <si>
    <t>Talhadeira</t>
  </si>
  <si>
    <t>Serra Mármore</t>
  </si>
  <si>
    <t>Furadeira Impacto</t>
  </si>
  <si>
    <t>Colher de pedreiro</t>
  </si>
  <si>
    <t>Peneira para areia</t>
  </si>
  <si>
    <t>Martelo de pedreiro</t>
  </si>
  <si>
    <t>Linha de nylon - linha de pedreiro</t>
  </si>
  <si>
    <t>Nível de Bolha de Alumínio</t>
  </si>
  <si>
    <t>Balde para concreto 12l</t>
  </si>
  <si>
    <t>Estilete largo profissional</t>
  </si>
  <si>
    <t>Picareta</t>
  </si>
  <si>
    <t>Ferro de soldar estanho</t>
  </si>
  <si>
    <t>Jogo de Bits Soquete Canhão para parafusadeira - milimétrico</t>
  </si>
  <si>
    <t>Tesoura de funileiro para corte de chapas metálicas</t>
  </si>
  <si>
    <t>Andaime (módulo de 1,0 x 1,5m + acessórios)</t>
  </si>
  <si>
    <t>PLANILHA DE CUSTOS E FORMAÇÃO DE PREÇOS</t>
  </si>
  <si>
    <t>SERVIÇO DE PORTARIA 12x36
Regime de Tributação: Lucro Real c/Conta Vinculada</t>
  </si>
  <si>
    <t>DADOS BÁSICOS</t>
  </si>
  <si>
    <t>A</t>
  </si>
  <si>
    <t>Tipo de serviço</t>
  </si>
  <si>
    <t>Portaria</t>
  </si>
  <si>
    <t>B</t>
  </si>
  <si>
    <t>Porteiro - CBO 5174</t>
  </si>
  <si>
    <t>C</t>
  </si>
  <si>
    <t>D</t>
  </si>
  <si>
    <t>E</t>
  </si>
  <si>
    <t>RS000211/2020</t>
  </si>
  <si>
    <t>F</t>
  </si>
  <si>
    <t xml:space="preserve">01/01/20 a 31/12/20 </t>
  </si>
  <si>
    <t>G</t>
  </si>
  <si>
    <t>Salário normativo da categoria profissional</t>
  </si>
  <si>
    <t>H</t>
  </si>
  <si>
    <t>Número de meses de execução contratual</t>
  </si>
  <si>
    <t>I</t>
  </si>
  <si>
    <t>Quantidade de Funcionários por Posto</t>
  </si>
  <si>
    <t>J</t>
  </si>
  <si>
    <t>IDENTIFICAÇÃO DO SERVIÇO</t>
  </si>
  <si>
    <t>Tipo de Serviço</t>
  </si>
  <si>
    <t>Unidade</t>
  </si>
  <si>
    <t>Quantidade</t>
  </si>
  <si>
    <r>
      <rPr>
        <rFont val="Arial"/>
        <b/>
        <color theme="1"/>
        <sz val="10.0"/>
      </rPr>
      <t>PORTARIA</t>
    </r>
    <r>
      <rPr>
        <rFont val="Arial"/>
        <color rgb="FF000000"/>
        <sz val="10.0"/>
      </rPr>
      <t xml:space="preserve">
Serviço de Portaria de Segunda-feira à Domingo das 06 às 18 horas, envolvendo dois funcionários em regime de 12 x 36 horas.</t>
    </r>
  </si>
  <si>
    <t>Posto</t>
  </si>
  <si>
    <t>ANEXO A - Valores por funcionário</t>
  </si>
  <si>
    <t>Salário-base</t>
  </si>
  <si>
    <t>Pagamento em dobro em feriados devido à Súmula TST nº 444</t>
  </si>
  <si>
    <t>Considerado 12 feriados por ano na FELIZ/RS (9 nacionais + 1 estadual + 2 municipais) = 12 feriados / 12 meses = 1 feriado por mês/2 porteiros = 6 horas</t>
  </si>
  <si>
    <t>Intervalo Intrajornada</t>
  </si>
  <si>
    <t>Cálculo: (SB/220h*150%)*(365,25 dias ano/12meses/2porteitos)</t>
  </si>
  <si>
    <t>Total da Remuneração</t>
  </si>
  <si>
    <t>MÓDULO 2 - BENEFÍCIOS MENSAIS E DIÁRIOS</t>
  </si>
  <si>
    <t xml:space="preserve">A.1) Valor da passagem do transporte coletivo intermunicipal do município mais próximo: </t>
  </si>
  <si>
    <t>A.2) Quantidade de passagens por dia por empregado:</t>
  </si>
  <si>
    <t>Cálculo: [(Valor VT x qtde. VT x (365,25 dias ano/12meses/2porteitos))-(6%xSB)]</t>
  </si>
  <si>
    <t>Cálculo: [(365,25 dias ano/12meses/2porteitos)xVA)-19%]</t>
  </si>
  <si>
    <t>Cláusula 23ª da CCT 2020</t>
  </si>
  <si>
    <t>Total de Benefícios Mensais e Diários</t>
  </si>
  <si>
    <t>MÓDULO 3: INSUMOS DIVERSOS</t>
  </si>
  <si>
    <t>Uniformes</t>
  </si>
  <si>
    <t>Equipamentos</t>
  </si>
  <si>
    <t>Total de Insumos Diversos</t>
  </si>
  <si>
    <t>MÓDULO 4: ENCARGOS SOCIAIS E TRABALHISTAS</t>
  </si>
  <si>
    <t>4.1 - Encargos Previdenciários, FGTS e outras contribuições</t>
  </si>
  <si>
    <t>Seguro acidente de trabalho</t>
  </si>
  <si>
    <t>RAT</t>
  </si>
  <si>
    <t>FAP</t>
  </si>
  <si>
    <t>Cálculo: % do RAT x FAP (Fator Acidentário de Prevenção de cada empresa)</t>
  </si>
  <si>
    <t>Nota: Percentuais incidentes sobre a Remuneração;</t>
  </si>
  <si>
    <t xml:space="preserve">4.2 - 13º (Décimo Terceiro) salário </t>
  </si>
  <si>
    <t>13º (décimo terceiro) Salário</t>
  </si>
  <si>
    <t>Cálculo: Remuneração / 12 meses</t>
  </si>
  <si>
    <t>Incidência dos encargos previstos no submódulo 4.1 sobre 13º salário</t>
  </si>
  <si>
    <t>4.3 - Provisão para rescisão</t>
  </si>
  <si>
    <t>Aviso-prévio indenizado</t>
  </si>
  <si>
    <t>Cálculo:  (Rem/30*(30+3)/12*10%</t>
  </si>
  <si>
    <t>Incidência do FGTS sobre o aviso-prévio indenizado</t>
  </si>
  <si>
    <t>Aviso-previo trabalhado</t>
  </si>
  <si>
    <t>Cálculo: [Rem/30*(7+3]/12meses*90%</t>
  </si>
  <si>
    <t>Incidência dos encargos do submódulo 4.1 sobre o aviso-prévio trabalhado</t>
  </si>
  <si>
    <t>Multa do FGTS sobre o aviso-prévio</t>
  </si>
  <si>
    <t>Cálculo: Rem*8%*40%</t>
  </si>
  <si>
    <t>4.4 - Custo de reposição do profissional ausente</t>
  </si>
  <si>
    <t>Férias e terço constitucional</t>
  </si>
  <si>
    <t>30 dias de Férias + 1/3 constiticional + Férias proporcionais do substituto</t>
  </si>
  <si>
    <t>Ausência por doença</t>
  </si>
  <si>
    <t>Cálculo: [(Rem/30)x5dias]/12meses</t>
  </si>
  <si>
    <t>Licença Paternidade</t>
  </si>
  <si>
    <t>Cálculo: {[(Rem/30)x5dias]/12meses}*5%</t>
  </si>
  <si>
    <t>Licença Maternidade</t>
  </si>
  <si>
    <t>Cálculo: {[(Rem+1/3Rem)/12]x(4/12)}*5%</t>
  </si>
  <si>
    <t>Ausências legais</t>
  </si>
  <si>
    <t>Cálculo: [(Rem/30)x3dias]/12meses</t>
  </si>
  <si>
    <t>Ausência por acidente de trabalho</t>
  </si>
  <si>
    <t>Cálculo: {[(Rem/30)x15dias]/12}*1%</t>
  </si>
  <si>
    <t>SUBTOTAL</t>
  </si>
  <si>
    <t>Incidência dos encargos do submódulo 4.1 sobre o custo de reposição do profissional ausente</t>
  </si>
  <si>
    <t>QUADRO RESUMO - Módulo 4 - Encargos sociais e trabalhistas</t>
  </si>
  <si>
    <t>4.1</t>
  </si>
  <si>
    <t>Encargos previdenciários, FGTS e outras contribuições</t>
  </si>
  <si>
    <t>4.2</t>
  </si>
  <si>
    <t>13º (décimo terceiro) salário</t>
  </si>
  <si>
    <t>Custo de rescisão</t>
  </si>
  <si>
    <t>Custo de reposição do profissional ausente</t>
  </si>
  <si>
    <t>Total de Encargos Sociais e Trabalhistas</t>
  </si>
  <si>
    <t>MÓDULO 5 - CUSTOS INDIRETOS, LUCRO E TRIBUTOS</t>
  </si>
  <si>
    <t>BASE DE CÁLCULO</t>
  </si>
  <si>
    <t>VALOR</t>
  </si>
  <si>
    <t>Base de Cálculo: (Total da Remuneração + Total dos Benefícios Mensais e Diários + Total de Insumos Diversos + Total de Encargos Sociais e Trabalhistas)</t>
  </si>
  <si>
    <t>Base de Cálculo: (Total da Remuneração + Total dos Benefícios Mensais e Diários + Total de Insumos Diversos + Total de Encargos Sociais e Trabalhistas + Custos Indiretos)</t>
  </si>
  <si>
    <t>C1 - Tributos Federais</t>
  </si>
  <si>
    <t>a) PIS</t>
  </si>
  <si>
    <t>b) COFINS</t>
  </si>
  <si>
    <t>C3 - Tributos Municipais</t>
  </si>
  <si>
    <t>a) ISSQN</t>
  </si>
  <si>
    <t>Base de Cálculo: (Total da Remuneração + Total dos Benefícios Mensais e Diários + Total de Insumos Diversos + Total do Quadro-resumo do Módulo 4 de Encargos Sociais e Trabalhistas + Custos Indiretos + Lucro)</t>
  </si>
  <si>
    <t>Nota 1: Custos indiretos, lucro e tributos por empregado.</t>
  </si>
  <si>
    <t>Nota 2: O valor referente a tributos é obtido aplicando-se o percentual sobre o valor do faturamento.</t>
  </si>
  <si>
    <t>Nota 3: IRPJ e CSLL (Não incluir esses tributos em face da proibição contida no item 9.1 do Acórdão TCU nº 950/2007-Plenário).</t>
  </si>
  <si>
    <t>ANEXO B</t>
  </si>
  <si>
    <t>Mão de obra vinculada à execução contratual</t>
  </si>
  <si>
    <t>Módulo 1 - Composição da remuneração</t>
  </si>
  <si>
    <t>Módulo 2 - Benefícios mensais e diários</t>
  </si>
  <si>
    <t>Módulo 3 - Insumos diversos (uniformes, materiais, equipamentos e outros)</t>
  </si>
  <si>
    <t>Módulo 4 - Encargos sociais e trabalhistas</t>
  </si>
  <si>
    <t>Subtotal (A + B + C + D)</t>
  </si>
  <si>
    <t>Módulo 5 - Custos indiretos, lucro e tributos</t>
  </si>
  <si>
    <t>Valor total por empregado</t>
  </si>
  <si>
    <t>Valor total por POSTO</t>
  </si>
  <si>
    <t>ANEXO C</t>
  </si>
  <si>
    <t>VALOR MENSAL DOS SERVIÇOS</t>
  </si>
  <si>
    <t>ESCALA DE TRABALHO</t>
  </si>
  <si>
    <t>QUANTIDADE DE POSTOS</t>
  </si>
  <si>
    <t>PREÇO MENSAL POR POSTO</t>
  </si>
  <si>
    <r>
      <rPr>
        <rFont val="Arial"/>
        <b/>
        <color theme="1"/>
        <sz val="10.0"/>
      </rPr>
      <t>PORTARIA</t>
    </r>
    <r>
      <rPr>
        <rFont val="Arial"/>
        <color rgb="FF000000"/>
        <sz val="10.0"/>
      </rPr>
      <t xml:space="preserve">
Serviço de Portaria de Segunda-feira à Domingo das 06 às 18 horas, envolvendo dois funcionários em regime de 12 x 36 horas.</t>
    </r>
  </si>
  <si>
    <t>Valor Mensal do Serviço</t>
  </si>
  <si>
    <t>Número de Meses do Contrato</t>
  </si>
  <si>
    <t>Valor Global da Proposta</t>
  </si>
  <si>
    <r>
      <rPr>
        <rFont val="Calibri"/>
        <b/>
        <color rgb="FF44546A"/>
        <sz val="15.0"/>
      </rPr>
      <t xml:space="preserve">MATERIAIS, MÁQUINAS E EQUIPAMENTOS ALOCADOS NA EXECUÇÃO CONTRATUAL 
</t>
    </r>
    <r>
      <rPr>
        <rFont val="Calibri"/>
        <b/>
        <color rgb="FF44546A"/>
        <sz val="10.0"/>
      </rPr>
      <t>(inciso VI do art. 21 da IN SLTI nº 2/2008)</t>
    </r>
  </si>
  <si>
    <t>UNIFORMES</t>
  </si>
  <si>
    <t>Quantidade Anual por Posto</t>
  </si>
  <si>
    <t>Calça Social</t>
  </si>
  <si>
    <t>Unid.</t>
  </si>
  <si>
    <t>Camisa Social - Manga Curta</t>
  </si>
  <si>
    <t>Camisa Social - Manga Longa</t>
  </si>
  <si>
    <t>Calçado profissional</t>
  </si>
  <si>
    <t>Par</t>
  </si>
  <si>
    <t>Total Anual</t>
  </si>
  <si>
    <t>Total Mensal por Empregado</t>
  </si>
  <si>
    <t>Livro de Ocorrências</t>
  </si>
  <si>
    <t>EQUIPAMENTOS (VIDA ÚTIL em Meses)</t>
  </si>
  <si>
    <t>Quantidade por Posto</t>
  </si>
  <si>
    <t>Relógio Ponto Digital Cartográfico</t>
  </si>
  <si>
    <t>Rádio Comunicador c/Carregador</t>
  </si>
  <si>
    <t>Depreciação Anual 20%</t>
  </si>
  <si>
    <t>Total Mensal por Posto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</si>
</sst>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R$ &quot;#,##0.00"/>
    <numFmt numFmtId="165" formatCode="[$R$ -416]#,##0.00"/>
    <numFmt numFmtId="166" formatCode="_-&quot;R$&quot;\ * #,##0.00_-;\-&quot;R$&quot;\ * #,##0.00_-;_-&quot;R$&quot;\ * &quot;-&quot;??_-;_-@"/>
    <numFmt numFmtId="167" formatCode="0.0000%"/>
    <numFmt numFmtId="168" formatCode="d\.m"/>
    <numFmt numFmtId="169" formatCode="0.0%"/>
    <numFmt numFmtId="170" formatCode="_(* #,##0.00_);_(* \(#,##0.00\);_(* &quot;-&quot;??_);_(@_)"/>
    <numFmt numFmtId="171" formatCode="0.0000"/>
  </numFmts>
  <fonts count="43">
    <font>
      <sz val="10.0"/>
      <color rgb="FF000000"/>
      <name val="Arial"/>
      <scheme val="minor"/>
    </font>
    <font>
      <color theme="1"/>
      <name val="Arial"/>
      <scheme val="minor"/>
    </font>
    <font>
      <b/>
      <sz val="16.0"/>
      <color rgb="FF45818E"/>
      <name val="Calibri"/>
    </font>
    <font>
      <b/>
      <sz val="20.0"/>
      <color rgb="FF000000"/>
      <name val="Calibri"/>
    </font>
    <font>
      <b/>
      <sz val="12.0"/>
      <color rgb="FF45818E"/>
      <name val="Calibri"/>
    </font>
    <font/>
    <font>
      <b/>
      <sz val="15.0"/>
      <color rgb="FF45818E"/>
      <name val="Calibri"/>
    </font>
    <font>
      <sz val="10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10.0"/>
      <color theme="1"/>
      <name val="Calibri"/>
    </font>
    <font>
      <b/>
      <sz val="10.0"/>
      <color rgb="FFFF0000"/>
      <name val="Calibri"/>
    </font>
    <font>
      <b/>
      <sz val="11.0"/>
      <color rgb="FF44546A"/>
      <name val="Calibri"/>
    </font>
    <font>
      <sz val="9.0"/>
      <color rgb="FF44546A"/>
      <name val="Calibri"/>
    </font>
    <font>
      <sz val="9.0"/>
      <color rgb="FFFF0000"/>
      <name val="Calibri"/>
    </font>
    <font>
      <i/>
      <sz val="9.0"/>
      <color rgb="FF00B0F0"/>
      <name val="Calibri"/>
    </font>
    <font>
      <b/>
      <sz val="10.0"/>
      <color rgb="FF44546A"/>
      <name val="Calibri"/>
    </font>
    <font>
      <sz val="9.0"/>
      <color rgb="FF000000"/>
      <name val="Calibri"/>
    </font>
    <font>
      <i/>
      <sz val="9.0"/>
      <color rgb="FF000000"/>
      <name val="Calibri"/>
    </font>
    <font>
      <i/>
      <sz val="9.0"/>
      <color rgb="FF7F7F7F"/>
      <name val="Calibri"/>
    </font>
    <font>
      <b/>
      <sz val="12.0"/>
      <color rgb="FF980000"/>
      <name val="Calibri"/>
    </font>
    <font>
      <b/>
      <sz val="13.0"/>
      <color rgb="FF45818E"/>
      <name val="Calibri"/>
    </font>
    <font>
      <color theme="1"/>
      <name val="Calibri"/>
    </font>
    <font>
      <b/>
      <sz val="12.0"/>
      <color theme="1"/>
      <name val="Calibri"/>
    </font>
    <font>
      <b/>
      <sz val="16.0"/>
      <color rgb="FF990000"/>
      <name val="Calibri"/>
    </font>
    <font>
      <b/>
      <sz val="11.0"/>
      <color rgb="FF980000"/>
      <name val="Calibri"/>
    </font>
    <font>
      <sz val="8.0"/>
      <color rgb="FF980000"/>
      <name val="Calibri"/>
    </font>
    <font>
      <b/>
      <sz val="8.0"/>
      <color rgb="FF980000"/>
      <name val="Calibri"/>
    </font>
    <font>
      <sz val="10.0"/>
      <color theme="1"/>
      <name val="Arial"/>
    </font>
    <font>
      <b/>
      <sz val="18.0"/>
      <color rgb="FF44546A"/>
      <name val="Arial"/>
    </font>
    <font>
      <b/>
      <sz val="16.0"/>
      <color rgb="FF800080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b/>
      <sz val="15.0"/>
      <color rgb="FF44546A"/>
      <name val="Calibri"/>
    </font>
    <font>
      <sz val="9.0"/>
      <color theme="1"/>
      <name val="Arial"/>
    </font>
    <font>
      <sz val="9.0"/>
      <color rgb="FFFF0000"/>
      <name val="Arial"/>
    </font>
    <font>
      <b/>
      <sz val="9.0"/>
      <color theme="1"/>
      <name val="Arial"/>
    </font>
    <font>
      <i/>
      <sz val="9.0"/>
      <color rgb="FFB7B7B7"/>
      <name val="Calibri"/>
    </font>
    <font>
      <sz val="8.0"/>
      <color rgb="FF44546A"/>
      <name val="Calibri"/>
    </font>
    <font>
      <sz val="10.0"/>
      <color rgb="FF44546A"/>
      <name val="Calibri"/>
    </font>
    <font>
      <b/>
      <sz val="8.0"/>
      <color rgb="FF44546A"/>
      <name val="Calibri"/>
    </font>
    <font>
      <sz val="7.0"/>
      <color theme="1"/>
      <name val="Arial"/>
    </font>
    <font>
      <b/>
      <sz val="14.0"/>
      <color rgb="FF44546A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A2C4C9"/>
        <bgColor rgb="FFA2C4C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E6B8AF"/>
        <bgColor rgb="FFE6B8AF"/>
      </patternFill>
    </fill>
    <fill>
      <patternFill patternType="solid">
        <fgColor rgb="FFEFEFEF"/>
        <bgColor rgb="FFEFEFEF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64">
    <border/>
    <border>
      <bottom style="thin">
        <color rgb="FF000000"/>
      </bottom>
    </border>
    <border>
      <bottom style="thick">
        <color rgb="FF45818E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bottom style="medium">
        <color rgb="FF45818E"/>
      </bottom>
    </border>
    <border>
      <left style="hair">
        <color rgb="FF000000"/>
      </left>
      <right/>
      <top/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/>
      <bottom style="hair">
        <color rgb="FF000000"/>
      </bottom>
    </border>
    <border>
      <left style="hair">
        <color rgb="FF000000"/>
      </left>
      <right/>
      <top style="hair">
        <color rgb="FF000000"/>
      </top>
    </border>
    <border>
      <right style="hair">
        <color rgb="FF000000"/>
      </right>
      <top style="hair">
        <color rgb="FF000000"/>
      </top>
    </border>
    <border>
      <bottom style="hair">
        <color rgb="FF8E7CC3"/>
      </bottom>
    </border>
    <border>
      <top style="hair">
        <color rgb="FF000000"/>
      </top>
    </border>
    <border>
      <left style="hair">
        <color rgb="FF000000"/>
      </left>
      <top style="hair">
        <color rgb="FF000000"/>
      </top>
    </border>
    <border>
      <bottom style="double">
        <color rgb="FF0070C0"/>
      </bottom>
    </border>
    <border>
      <left style="hair">
        <color rgb="FF8E7CC3"/>
      </left>
      <right style="hair">
        <color rgb="FF8E7CC3"/>
      </right>
      <top style="hair">
        <color rgb="FF8E7CC3"/>
      </top>
    </border>
    <border>
      <left style="hair">
        <color rgb="FF8E7CC3"/>
      </left>
      <top style="hair">
        <color rgb="FF8E7CC3"/>
      </top>
    </border>
    <border>
      <top style="hair">
        <color rgb="FF8E7CC3"/>
      </top>
    </border>
    <border>
      <right style="hair">
        <color rgb="FF8E7CC3"/>
      </right>
      <top style="hair">
        <color rgb="FF8E7CC3"/>
      </top>
    </border>
    <border>
      <left style="hair">
        <color rgb="FF8E7CC3"/>
      </left>
      <right style="hair">
        <color rgb="FF8E7CC3"/>
      </right>
    </border>
    <border>
      <left style="hair">
        <color rgb="FF8E7CC3"/>
      </left>
    </border>
    <border>
      <left style="hair">
        <color rgb="FF8E7CC3"/>
      </left>
      <bottom style="hair">
        <color rgb="FF8E7CC3"/>
      </bottom>
    </border>
    <border>
      <right style="hair">
        <color rgb="FF8E7CC3"/>
      </right>
      <bottom style="hair">
        <color rgb="FF8E7CC3"/>
      </bottom>
    </border>
    <border>
      <right style="hair">
        <color rgb="FF8E7CC3"/>
      </right>
    </border>
    <border>
      <left style="hair">
        <color rgb="FF8E7CC3"/>
      </left>
      <right style="hair">
        <color rgb="FF8E7CC3"/>
      </right>
      <bottom style="hair">
        <color rgb="FF8E7CC3"/>
      </bottom>
    </border>
    <border>
      <left style="hair">
        <color rgb="FF8E7CC3"/>
      </left>
      <right style="hair">
        <color rgb="FF8E7CC3"/>
      </right>
      <top style="hair">
        <color rgb="FF8E7CC3"/>
      </top>
      <bottom style="hair">
        <color rgb="FF8E7CC3"/>
      </bottom>
    </border>
    <border>
      <left style="hair">
        <color rgb="FF8E7CC3"/>
      </left>
      <top style="hair">
        <color rgb="FF8E7CC3"/>
      </top>
      <bottom style="hair">
        <color rgb="FF8E7CC3"/>
      </bottom>
    </border>
    <border>
      <right style="hair">
        <color rgb="FF8E7CC3"/>
      </right>
      <top style="hair">
        <color rgb="FF8E7CC3"/>
      </top>
      <bottom style="hair">
        <color rgb="FF8E7CC3"/>
      </bottom>
    </border>
    <border>
      <left style="hair">
        <color rgb="FF8E7CC3"/>
      </left>
      <right style="hair">
        <color rgb="FF8E7CC3"/>
      </right>
      <top/>
      <bottom style="hair">
        <color rgb="FF8E7CC3"/>
      </bottom>
    </border>
    <border>
      <left/>
      <right/>
      <bottom/>
    </border>
    <border>
      <bottom style="medium">
        <color rgb="FFDD7E6B"/>
      </bottom>
    </border>
    <border>
      <left/>
      <top/>
      <bottom/>
    </border>
    <border>
      <top/>
      <bottom/>
    </border>
    <border>
      <right/>
      <top/>
      <bottom/>
    </border>
    <border>
      <bottom style="thick">
        <color theme="4"/>
      </bottom>
    </border>
    <border>
      <bottom style="medium">
        <color rgb="FF9CC2E5"/>
      </bottom>
    </border>
    <border>
      <left style="hair">
        <color rgb="FF000000"/>
      </left>
      <right style="hair">
        <color rgb="FF000000"/>
      </right>
      <top style="medium">
        <color rgb="FF9CC2E5"/>
      </top>
    </border>
    <border>
      <left/>
      <right style="hair">
        <color rgb="FF000000"/>
      </right>
      <top style="hair">
        <color rgb="FF000000"/>
      </top>
    </border>
    <border>
      <left/>
      <right style="hair">
        <color rgb="FF000000"/>
      </right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</border>
    <border>
      <left style="hair">
        <color rgb="FF000000"/>
      </left>
      <top/>
      <bottom/>
    </border>
    <border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bottom/>
    </border>
    <border>
      <left/>
      <right/>
      <top/>
      <bottom/>
    </border>
    <border>
      <left/>
      <top/>
      <bottom style="medium">
        <color rgb="FF9CC2E5"/>
      </bottom>
    </border>
    <border>
      <top/>
      <bottom style="medium">
        <color rgb="FF9CC2E5"/>
      </bottom>
    </border>
    <border>
      <right/>
      <top/>
      <bottom style="medium">
        <color rgb="FF9CC2E5"/>
      </bottom>
    </border>
    <border>
      <left/>
      <top style="medium">
        <color rgb="FF9CC2E5"/>
      </top>
      <bottom style="medium">
        <color rgb="FF9CC2E5"/>
      </bottom>
    </border>
    <border>
      <top style="medium">
        <color rgb="FF9CC2E5"/>
      </top>
      <bottom style="medium">
        <color rgb="FF9CC2E5"/>
      </bottom>
    </border>
    <border>
      <right/>
      <top style="medium">
        <color rgb="FF9CC2E5"/>
      </top>
      <bottom style="medium">
        <color rgb="FF9CC2E5"/>
      </bottom>
    </border>
    <border>
      <left style="hair">
        <color rgb="FF000000"/>
      </left>
      <top style="medium">
        <color rgb="FF9CC2E5"/>
      </top>
      <bottom style="hair">
        <color rgb="FF000000"/>
      </bottom>
    </border>
    <border>
      <top style="medium">
        <color rgb="FF9CC2E5"/>
      </top>
      <bottom style="hair">
        <color rgb="FF000000"/>
      </bottom>
    </border>
    <border>
      <right style="hair">
        <color rgb="FF000000"/>
      </right>
      <top style="medium">
        <color rgb="FF9CC2E5"/>
      </top>
      <bottom style="hair">
        <color rgb="FF000000"/>
      </bottom>
    </border>
  </borders>
  <cellStyleXfs count="1">
    <xf borderId="0" fillId="0" fontId="0" numFmtId="0" applyAlignment="1" applyFont="1"/>
  </cellStyleXfs>
  <cellXfs count="33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4" xfId="0" applyAlignment="1" applyFont="1" applyNumberFormat="1">
      <alignment horizontal="center" readingOrder="0"/>
    </xf>
    <xf borderId="0" fillId="0" fontId="1" numFmtId="0" xfId="0" applyAlignment="1" applyFont="1">
      <alignment readingOrder="0"/>
    </xf>
    <xf borderId="0" fillId="0" fontId="1" numFmtId="4" xfId="0" applyFont="1" applyNumberFormat="1"/>
    <xf borderId="1" fillId="0" fontId="1" numFmtId="0" xfId="0" applyAlignment="1" applyBorder="1" applyFont="1">
      <alignment readingOrder="0"/>
    </xf>
    <xf borderId="1" fillId="0" fontId="1" numFmtId="4" xfId="0" applyBorder="1" applyFont="1" applyNumberFormat="1"/>
    <xf borderId="0" fillId="2" fontId="1" numFmtId="0" xfId="0" applyAlignment="1" applyFont="1">
      <alignment horizontal="right" readingOrder="0"/>
    </xf>
    <xf borderId="0" fillId="2" fontId="1" numFmtId="4" xfId="0" applyFont="1" applyNumberFormat="1"/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center" shrinkToFit="0" vertical="center" wrapText="1"/>
    </xf>
    <xf borderId="0" fillId="3" fontId="3" numFmtId="0" xfId="0" applyAlignment="1" applyFill="1" applyFont="1">
      <alignment horizontal="center" readingOrder="0" shrinkToFit="0" vertical="center" wrapText="1"/>
    </xf>
    <xf borderId="2" fillId="0" fontId="4" numFmtId="0" xfId="0" applyAlignment="1" applyBorder="1" applyFont="1">
      <alignment horizontal="left" shrinkToFit="0" vertical="center" wrapText="1"/>
    </xf>
    <xf borderId="2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vertical="center"/>
    </xf>
    <xf borderId="3" fillId="0" fontId="8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5" fillId="0" fontId="5" numFmtId="0" xfId="0" applyBorder="1" applyFont="1"/>
    <xf borderId="6" fillId="0" fontId="8" numFmtId="164" xfId="0" applyAlignment="1" applyBorder="1" applyFont="1" applyNumberFormat="1">
      <alignment horizontal="center" readingOrder="0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8" fillId="0" fontId="5" numFmtId="0" xfId="0" applyBorder="1" applyFont="1"/>
    <xf borderId="9" fillId="0" fontId="5" numFmtId="0" xfId="0" applyBorder="1" applyFont="1"/>
    <xf borderId="10" fillId="0" fontId="8" numFmtId="164" xfId="0" applyAlignment="1" applyBorder="1" applyFont="1" applyNumberFormat="1">
      <alignment horizontal="center" shrinkToFit="0" vertical="center" wrapText="1"/>
    </xf>
    <xf borderId="10" fillId="0" fontId="9" numFmtId="164" xfId="0" applyAlignment="1" applyBorder="1" applyFont="1" applyNumberFormat="1">
      <alignment horizontal="center" readingOrder="0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left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7" fillId="0" fontId="13" numFmtId="0" xfId="0" applyAlignment="1" applyBorder="1" applyFont="1">
      <alignment horizontal="left" shrinkToFit="0" vertical="center" wrapText="1"/>
    </xf>
    <xf borderId="10" fillId="0" fontId="13" numFmtId="0" xfId="0" applyAlignment="1" applyBorder="1" applyFont="1">
      <alignment horizontal="center" readingOrder="0" shrinkToFit="0" vertical="center" wrapText="1"/>
    </xf>
    <xf borderId="12" fillId="0" fontId="5" numFmtId="0" xfId="0" applyBorder="1" applyFont="1"/>
    <xf borderId="10" fillId="0" fontId="13" numFmtId="165" xfId="0" applyAlignment="1" applyBorder="1" applyFont="1" applyNumberFormat="1">
      <alignment horizontal="center" readingOrder="0" shrinkToFit="0" vertical="center" wrapText="1"/>
    </xf>
    <xf borderId="6" fillId="0" fontId="5" numFmtId="0" xfId="0" applyBorder="1" applyFont="1"/>
    <xf borderId="7" fillId="0" fontId="13" numFmtId="0" xfId="0" applyAlignment="1" applyBorder="1" applyFont="1">
      <alignment horizontal="left" readingOrder="0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14" numFmtId="0" xfId="0" applyAlignment="1" applyFont="1">
      <alignment horizontal="center" shrinkToFit="0" vertical="center" wrapText="1"/>
    </xf>
    <xf borderId="13" fillId="0" fontId="4" numFmtId="0" xfId="0" applyAlignment="1" applyBorder="1" applyFont="1">
      <alignment horizontal="left" shrinkToFit="0" vertical="center" wrapText="1"/>
    </xf>
    <xf borderId="13" fillId="0" fontId="5" numFmtId="0" xfId="0" applyBorder="1" applyFont="1"/>
    <xf borderId="0" fillId="0" fontId="8" numFmtId="0" xfId="0" applyAlignment="1" applyFont="1">
      <alignment shrinkToFit="0" textRotation="90" vertical="center" wrapText="1"/>
    </xf>
    <xf borderId="14" fillId="4" fontId="8" numFmtId="0" xfId="0" applyAlignment="1" applyBorder="1" applyFill="1" applyFont="1">
      <alignment horizontal="center" vertical="center"/>
    </xf>
    <xf borderId="15" fillId="0" fontId="8" numFmtId="0" xfId="0" applyAlignment="1" applyBorder="1" applyFont="1">
      <alignment horizontal="left" readingOrder="0" shrinkToFit="0" vertical="center" wrapText="1"/>
    </xf>
    <xf borderId="16" fillId="0" fontId="5" numFmtId="0" xfId="0" applyBorder="1" applyFont="1"/>
    <xf borderId="16" fillId="2" fontId="8" numFmtId="166" xfId="0" applyAlignment="1" applyBorder="1" applyFont="1" applyNumberFormat="1">
      <alignment vertical="center"/>
    </xf>
    <xf borderId="17" fillId="0" fontId="5" numFmtId="0" xfId="0" applyBorder="1" applyFont="1"/>
    <xf borderId="3" fillId="0" fontId="15" numFmtId="0" xfId="0" applyAlignment="1" applyBorder="1" applyFont="1">
      <alignment horizontal="left" readingOrder="0" vertical="center"/>
    </xf>
    <xf borderId="18" fillId="4" fontId="8" numFmtId="0" xfId="0" applyAlignment="1" applyBorder="1" applyFont="1">
      <alignment horizontal="center" vertical="center"/>
    </xf>
    <xf borderId="15" fillId="0" fontId="8" numFmtId="0" xfId="0" applyAlignment="1" applyBorder="1" applyFont="1">
      <alignment horizontal="left" shrinkToFit="0" vertical="center" wrapText="1"/>
    </xf>
    <xf borderId="19" fillId="2" fontId="8" numFmtId="166" xfId="0" applyAlignment="1" applyBorder="1" applyFont="1" applyNumberFormat="1">
      <alignment vertical="center"/>
    </xf>
    <xf borderId="18" fillId="4" fontId="8" numFmtId="0" xfId="0" applyAlignment="1" applyBorder="1" applyFont="1">
      <alignment horizontal="center" readingOrder="0" vertical="center"/>
    </xf>
    <xf borderId="0" fillId="0" fontId="7" numFmtId="0" xfId="0" applyAlignment="1" applyFont="1">
      <alignment shrinkToFit="0" textRotation="90" vertical="center" wrapText="1"/>
    </xf>
    <xf borderId="0" fillId="0" fontId="16" numFmtId="0" xfId="0" applyAlignment="1" applyFont="1">
      <alignment horizontal="right" shrinkToFit="0" vertical="center" wrapText="1"/>
    </xf>
    <xf borderId="10" fillId="2" fontId="16" numFmtId="166" xfId="0" applyAlignment="1" applyBorder="1" applyFont="1" applyNumberFormat="1">
      <alignment vertical="center"/>
    </xf>
    <xf borderId="0" fillId="0" fontId="9" numFmtId="0" xfId="0" applyAlignment="1" applyFont="1">
      <alignment vertical="center"/>
    </xf>
    <xf borderId="20" fillId="0" fontId="12" numFmtId="0" xfId="0" applyAlignment="1" applyBorder="1" applyFont="1">
      <alignment horizontal="left" shrinkToFit="0" vertical="center" wrapText="1"/>
    </xf>
    <xf borderId="20" fillId="0" fontId="5" numFmtId="0" xfId="0" applyBorder="1" applyFont="1"/>
    <xf borderId="0" fillId="0" fontId="8" numFmtId="0" xfId="0" applyAlignment="1" applyFont="1">
      <alignment vertical="center"/>
    </xf>
    <xf borderId="11" fillId="4" fontId="8" numFmtId="0" xfId="0" applyAlignment="1" applyBorder="1" applyFont="1">
      <alignment horizontal="center" vertical="center"/>
    </xf>
    <xf borderId="21" fillId="0" fontId="8" numFmtId="0" xfId="0" applyAlignment="1" applyBorder="1" applyFont="1">
      <alignment horizontal="left" vertical="center"/>
    </xf>
    <xf borderId="21" fillId="0" fontId="5" numFmtId="0" xfId="0" applyBorder="1" applyFont="1"/>
    <xf borderId="4" fillId="0" fontId="8" numFmtId="0" xfId="0" applyAlignment="1" applyBorder="1" applyFont="1">
      <alignment horizontal="left" shrinkToFit="0" vertical="center" wrapText="1"/>
    </xf>
    <xf borderId="6" fillId="0" fontId="8" numFmtId="166" xfId="0" applyAlignment="1" applyBorder="1" applyFont="1" applyNumberFormat="1">
      <alignment horizontal="center" readingOrder="0" vertical="center"/>
    </xf>
    <xf borderId="8" fillId="0" fontId="8" numFmtId="0" xfId="0" applyAlignment="1" applyBorder="1" applyFont="1">
      <alignment horizontal="left" shrinkToFit="0" vertical="center" wrapText="1"/>
    </xf>
    <xf borderId="10" fillId="0" fontId="8" numFmtId="3" xfId="0" applyAlignment="1" applyBorder="1" applyFont="1" applyNumberFormat="1">
      <alignment horizontal="center" vertical="center"/>
    </xf>
    <xf borderId="4" fillId="0" fontId="15" numFmtId="0" xfId="0" applyAlignment="1" applyBorder="1" applyFont="1">
      <alignment horizontal="left" readingOrder="0" shrinkToFit="0" vertical="center" wrapText="1"/>
    </xf>
    <xf borderId="4" fillId="0" fontId="15" numFmtId="0" xfId="0" applyAlignment="1" applyBorder="1" applyFont="1">
      <alignment horizontal="left" vertical="center"/>
    </xf>
    <xf borderId="5" fillId="0" fontId="8" numFmtId="0" xfId="0" applyAlignment="1" applyBorder="1" applyFont="1">
      <alignment horizontal="right" readingOrder="0" vertical="center"/>
    </xf>
    <xf borderId="12" fillId="4" fontId="8" numFmtId="166" xfId="0" applyAlignment="1" applyBorder="1" applyFont="1" applyNumberFormat="1">
      <alignment horizontal="center" vertical="center"/>
    </xf>
    <xf borderId="0" fillId="0" fontId="8" numFmtId="0" xfId="0" applyAlignment="1" applyFont="1">
      <alignment horizontal="right" readingOrder="0" shrinkToFit="0" vertical="center" wrapText="1"/>
    </xf>
    <xf borderId="11" fillId="0" fontId="8" numFmtId="166" xfId="0" applyAlignment="1" applyBorder="1" applyFont="1" applyNumberFormat="1">
      <alignment horizontal="center" readingOrder="0" vertical="center"/>
    </xf>
    <xf borderId="6" fillId="4" fontId="8" numFmtId="166" xfId="0" applyAlignment="1" applyBorder="1" applyFont="1" applyNumberFormat="1">
      <alignment horizontal="center" vertical="center"/>
    </xf>
    <xf borderId="22" fillId="0" fontId="8" numFmtId="0" xfId="0" applyAlignment="1" applyBorder="1" applyFont="1">
      <alignment horizontal="left" readingOrder="0" shrinkToFit="0" vertical="center" wrapText="1"/>
    </xf>
    <xf borderId="19" fillId="0" fontId="5" numFmtId="0" xfId="0" applyBorder="1" applyFont="1"/>
    <xf borderId="16" fillId="0" fontId="8" numFmtId="166" xfId="0" applyAlignment="1" applyBorder="1" applyFont="1" applyNumberFormat="1">
      <alignment horizontal="center" readingOrder="0" vertical="center"/>
    </xf>
    <xf borderId="0" fillId="0" fontId="12" numFmtId="0" xfId="0" applyAlignment="1" applyFont="1">
      <alignment horizontal="left" readingOrder="0" shrinkToFit="0" vertical="center" wrapText="1"/>
    </xf>
    <xf borderId="22" fillId="0" fontId="8" numFmtId="0" xfId="0" applyAlignment="1" applyBorder="1" applyFont="1">
      <alignment horizontal="left" shrinkToFit="0" vertical="center" wrapText="1"/>
    </xf>
    <xf borderId="19" fillId="2" fontId="8" numFmtId="166" xfId="0" applyAlignment="1" applyBorder="1" applyFont="1" applyNumberFormat="1">
      <alignment horizontal="center" vertical="center"/>
    </xf>
    <xf borderId="3" fillId="0" fontId="15" numFmtId="0" xfId="0" applyAlignment="1" applyBorder="1" applyFont="1">
      <alignment horizontal="left" shrinkToFit="0" vertical="center" wrapText="1"/>
    </xf>
    <xf borderId="0" fillId="0" fontId="8" numFmtId="0" xfId="0" applyAlignment="1" applyFont="1">
      <alignment horizontal="center" shrinkToFit="0" textRotation="90" vertical="center" wrapText="1"/>
    </xf>
    <xf borderId="10" fillId="4" fontId="8" numFmtId="0" xfId="0" applyAlignment="1" applyBorder="1" applyFont="1">
      <alignment horizontal="center" vertical="center"/>
    </xf>
    <xf borderId="10" fillId="0" fontId="8" numFmtId="10" xfId="0" applyAlignment="1" applyBorder="1" applyFont="1" applyNumberFormat="1">
      <alignment horizontal="right" vertical="center"/>
    </xf>
    <xf borderId="10" fillId="2" fontId="8" numFmtId="166" xfId="0" applyAlignment="1" applyBorder="1" applyFont="1" applyNumberFormat="1">
      <alignment horizontal="right" vertical="center"/>
    </xf>
    <xf borderId="10" fillId="4" fontId="8" numFmtId="0" xfId="0" applyAlignment="1" applyBorder="1" applyFont="1">
      <alignment horizontal="center" readingOrder="0" vertical="center"/>
    </xf>
    <xf borderId="7" fillId="0" fontId="8" numFmtId="0" xfId="0" applyAlignment="1" applyBorder="1" applyFont="1">
      <alignment horizontal="left" readingOrder="0" shrinkToFit="0" vertical="center" wrapText="1"/>
    </xf>
    <xf borderId="10" fillId="5" fontId="8" numFmtId="10" xfId="0" applyAlignment="1" applyBorder="1" applyFill="1" applyFont="1" applyNumberFormat="1">
      <alignment horizontal="right" readingOrder="0" vertical="center"/>
    </xf>
    <xf borderId="0" fillId="0" fontId="15" numFmtId="0" xfId="0" applyAlignment="1" applyFont="1">
      <alignment horizontal="left" readingOrder="0" shrinkToFit="0" vertical="center" wrapText="1"/>
    </xf>
    <xf borderId="0" fillId="0" fontId="16" numFmtId="0" xfId="0" applyAlignment="1" applyFont="1">
      <alignment horizontal="right" vertical="center"/>
    </xf>
    <xf borderId="10" fillId="0" fontId="16" numFmtId="167" xfId="0" applyAlignment="1" applyBorder="1" applyFont="1" applyNumberFormat="1">
      <alignment vertical="center"/>
    </xf>
    <xf borderId="0" fillId="0" fontId="8" numFmtId="0" xfId="0" applyAlignment="1" applyFont="1">
      <alignment horizontal="right" vertical="center"/>
    </xf>
    <xf borderId="23" fillId="0" fontId="8" numFmtId="167" xfId="0" applyAlignment="1" applyBorder="1" applyFont="1" applyNumberFormat="1">
      <alignment horizontal="right" vertical="center"/>
    </xf>
    <xf borderId="23" fillId="0" fontId="8" numFmtId="4" xfId="0" applyAlignment="1" applyBorder="1" applyFont="1" applyNumberFormat="1">
      <alignment horizontal="right" vertical="center"/>
    </xf>
    <xf borderId="0" fillId="0" fontId="7" numFmtId="0" xfId="0" applyFont="1"/>
    <xf borderId="0" fillId="0" fontId="16" numFmtId="0" xfId="0" applyAlignment="1" applyFont="1">
      <alignment horizontal="right" readingOrder="0" shrinkToFit="0" vertical="center" wrapText="1"/>
    </xf>
    <xf borderId="24" fillId="4" fontId="8" numFmtId="168" xfId="0" applyAlignment="1" applyBorder="1" applyFont="1" applyNumberFormat="1">
      <alignment horizontal="center" vertical="center"/>
    </xf>
    <xf borderId="25" fillId="0" fontId="7" numFmtId="0" xfId="0" applyAlignment="1" applyBorder="1" applyFont="1">
      <alignment horizontal="center" readingOrder="0" shrinkToFit="0" vertical="center" wrapText="1"/>
    </xf>
    <xf borderId="11" fillId="0" fontId="7" numFmtId="0" xfId="0" applyAlignment="1" applyBorder="1" applyFont="1">
      <alignment horizontal="center" readingOrder="0" shrinkToFit="0" vertical="center" wrapText="1"/>
    </xf>
    <xf borderId="25" fillId="0" fontId="8" numFmtId="0" xfId="0" applyAlignment="1" applyBorder="1" applyFont="1">
      <alignment horizontal="left" readingOrder="0" shrinkToFit="0" vertical="center" wrapText="1"/>
    </xf>
    <xf borderId="26" fillId="0" fontId="5" numFmtId="0" xfId="0" applyBorder="1" applyFont="1"/>
    <xf borderId="27" fillId="0" fontId="5" numFmtId="0" xfId="0" applyBorder="1" applyFont="1"/>
    <xf borderId="27" fillId="2" fontId="8" numFmtId="166" xfId="0" applyAlignment="1" applyBorder="1" applyFont="1" applyNumberFormat="1">
      <alignment horizontal="center" vertical="center"/>
    </xf>
    <xf borderId="28" fillId="0" fontId="5" numFmtId="0" xfId="0" applyBorder="1" applyFont="1"/>
    <xf borderId="29" fillId="0" fontId="5" numFmtId="0" xfId="0" applyBorder="1" applyFont="1"/>
    <xf borderId="30" fillId="0" fontId="15" numFmtId="0" xfId="0" applyAlignment="1" applyBorder="1" applyFont="1">
      <alignment horizontal="left" readingOrder="0" shrinkToFit="0" vertical="center" wrapText="1"/>
    </xf>
    <xf borderId="31" fillId="0" fontId="5" numFmtId="0" xfId="0" applyBorder="1" applyFont="1"/>
    <xf borderId="29" fillId="0" fontId="8" numFmtId="0" xfId="0" applyAlignment="1" applyBorder="1" applyFont="1">
      <alignment horizontal="left" shrinkToFit="0" vertical="center" wrapText="1"/>
    </xf>
    <xf borderId="32" fillId="0" fontId="5" numFmtId="0" xfId="0" applyBorder="1" applyFont="1"/>
    <xf borderId="27" fillId="2" fontId="8" numFmtId="166" xfId="0" applyAlignment="1" applyBorder="1" applyFont="1" applyNumberFormat="1">
      <alignment horizontal="right" vertical="center"/>
    </xf>
    <xf borderId="29" fillId="0" fontId="10" numFmtId="169" xfId="0" applyAlignment="1" applyBorder="1" applyFont="1" applyNumberFormat="1">
      <alignment horizontal="center" readingOrder="0" shrinkToFit="0" vertical="center" wrapText="1"/>
    </xf>
    <xf borderId="29" fillId="0" fontId="15" numFmtId="0" xfId="0" applyAlignment="1" applyBorder="1" applyFont="1">
      <alignment horizontal="left" readingOrder="0" shrinkToFit="0" vertical="center" wrapText="1"/>
    </xf>
    <xf borderId="25" fillId="0" fontId="8" numFmtId="0" xfId="0" applyAlignment="1" applyBorder="1" applyFont="1">
      <alignment shrinkToFit="0" vertical="center" wrapText="1"/>
    </xf>
    <xf borderId="24" fillId="2" fontId="8" numFmtId="166" xfId="0" applyAlignment="1" applyBorder="1" applyFont="1" applyNumberFormat="1">
      <alignment horizontal="center" vertical="center"/>
    </xf>
    <xf borderId="33" fillId="0" fontId="5" numFmtId="0" xfId="0" applyBorder="1" applyFont="1"/>
    <xf borderId="30" fillId="0" fontId="5" numFmtId="0" xfId="0" applyBorder="1" applyFont="1"/>
    <xf borderId="29" fillId="0" fontId="15" numFmtId="0" xfId="0" applyAlignment="1" applyBorder="1" applyFont="1">
      <alignment readingOrder="0" shrinkToFit="0" vertical="center" wrapText="1"/>
    </xf>
    <xf borderId="12" fillId="0" fontId="10" numFmtId="9" xfId="0" applyAlignment="1" applyBorder="1" applyFont="1" applyNumberFormat="1">
      <alignment horizontal="center" readingOrder="0" shrinkToFit="0" vertical="center" wrapText="1"/>
    </xf>
    <xf borderId="3" fillId="0" fontId="15" numFmtId="0" xfId="0" applyAlignment="1" applyBorder="1" applyFont="1">
      <alignment horizontal="left" readingOrder="0" shrinkToFit="0" vertical="center" wrapText="1"/>
    </xf>
    <xf borderId="34" fillId="2" fontId="8" numFmtId="166" xfId="0" applyAlignment="1" applyBorder="1" applyFont="1" applyNumberFormat="1">
      <alignment horizontal="right" vertical="center"/>
    </xf>
    <xf borderId="3" fillId="0" fontId="15" numFmtId="0" xfId="0" applyAlignment="1" applyBorder="1" applyFont="1">
      <alignment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25" fillId="0" fontId="8" numFmtId="0" xfId="0" applyAlignment="1" applyBorder="1" applyFont="1">
      <alignment horizontal="left" shrinkToFit="0" vertical="center" wrapText="1"/>
    </xf>
    <xf borderId="24" fillId="2" fontId="8" numFmtId="166" xfId="0" applyAlignment="1" applyBorder="1" applyFont="1" applyNumberFormat="1">
      <alignment horizontal="left" shrinkToFit="0" vertical="center" wrapText="1"/>
    </xf>
    <xf borderId="30" fillId="0" fontId="15" numFmtId="0" xfId="0" applyAlignment="1" applyBorder="1" applyFont="1">
      <alignment shrinkToFit="0" vertical="center" wrapText="1"/>
    </xf>
    <xf borderId="35" fillId="2" fontId="8" numFmtId="0" xfId="0" applyAlignment="1" applyBorder="1" applyFont="1">
      <alignment horizontal="center" shrinkToFit="0" vertical="center" wrapText="1"/>
    </xf>
    <xf borderId="36" fillId="0" fontId="5" numFmtId="0" xfId="0" applyBorder="1" applyFont="1"/>
    <xf borderId="37" fillId="2" fontId="8" numFmtId="0" xfId="0" applyAlignment="1" applyBorder="1" applyFont="1">
      <alignment horizontal="center" shrinkToFit="0" vertical="center" wrapText="1"/>
    </xf>
    <xf borderId="37" fillId="2" fontId="8" numFmtId="0" xfId="0" applyAlignment="1" applyBorder="1" applyFont="1">
      <alignment horizontal="center" readingOrder="0" shrinkToFit="0" vertical="center" wrapText="1"/>
    </xf>
    <xf borderId="34" fillId="2" fontId="8" numFmtId="0" xfId="0" applyAlignment="1" applyBorder="1" applyFont="1">
      <alignment horizontal="center" shrinkToFit="0" vertical="center" wrapText="1"/>
    </xf>
    <xf borderId="35" fillId="0" fontId="8" numFmtId="0" xfId="0" applyAlignment="1" applyBorder="1" applyFont="1">
      <alignment horizontal="left" shrinkToFit="0" vertical="center" wrapText="1"/>
    </xf>
    <xf borderId="34" fillId="0" fontId="8" numFmtId="10" xfId="0" applyAlignment="1" applyBorder="1" applyFont="1" applyNumberFormat="1">
      <alignment horizontal="center" shrinkToFit="0" vertical="center" wrapText="1"/>
    </xf>
    <xf borderId="34" fillId="0" fontId="8" numFmtId="0" xfId="0" applyAlignment="1" applyBorder="1" applyFont="1">
      <alignment horizontal="center" shrinkToFit="0" vertical="center" wrapText="1"/>
    </xf>
    <xf borderId="34" fillId="2" fontId="8" numFmtId="10" xfId="0" applyAlignment="1" applyBorder="1" applyFont="1" applyNumberFormat="1">
      <alignment horizontal="center" shrinkToFit="0" vertical="center" wrapText="1"/>
    </xf>
    <xf borderId="34" fillId="2" fontId="8" numFmtId="2" xfId="0" applyAlignment="1" applyBorder="1" applyFont="1" applyNumberFormat="1">
      <alignment horizontal="center" shrinkToFit="0" vertical="center" wrapText="1"/>
    </xf>
    <xf borderId="5" fillId="2" fontId="8" numFmtId="166" xfId="0" applyAlignment="1" applyBorder="1" applyFont="1" applyNumberFormat="1">
      <alignment horizontal="center" vertical="center"/>
    </xf>
    <xf borderId="34" fillId="0" fontId="8" numFmtId="10" xfId="0" applyAlignment="1" applyBorder="1" applyFont="1" applyNumberFormat="1">
      <alignment horizontal="center" readingOrder="0" shrinkToFit="0" vertical="center" wrapText="1"/>
    </xf>
    <xf borderId="34" fillId="0" fontId="8" numFmtId="0" xfId="0" applyAlignment="1" applyBorder="1" applyFont="1">
      <alignment horizontal="center" readingOrder="0" shrinkToFit="0" vertical="center" wrapText="1"/>
    </xf>
    <xf borderId="34" fillId="0" fontId="17" numFmtId="10" xfId="0" applyAlignment="1" applyBorder="1" applyFont="1" applyNumberFormat="1">
      <alignment horizontal="center" readingOrder="0" shrinkToFit="0" vertical="center" wrapText="1"/>
    </xf>
    <xf borderId="0" fillId="0" fontId="18" numFmtId="0" xfId="0" applyAlignment="1" applyFont="1">
      <alignment horizontal="left" shrinkToFit="0" vertical="center" wrapText="1"/>
    </xf>
    <xf borderId="21" fillId="0" fontId="16" numFmtId="0" xfId="0" applyAlignment="1" applyBorder="1" applyFont="1">
      <alignment horizontal="right" shrinkToFit="0" vertical="center" wrapText="1"/>
    </xf>
    <xf borderId="0" fillId="0" fontId="19" numFmtId="0" xfId="0" applyAlignment="1" applyFont="1">
      <alignment horizontal="left" shrinkToFit="0" vertical="center" wrapText="1"/>
    </xf>
    <xf borderId="0" fillId="0" fontId="20" numFmtId="0" xfId="0" applyAlignment="1" applyFont="1">
      <alignment horizontal="left" shrinkToFit="0" vertical="center" wrapText="1"/>
    </xf>
    <xf borderId="5" fillId="2" fontId="8" numFmtId="166" xfId="0" applyAlignment="1" applyBorder="1" applyFont="1" applyNumberFormat="1">
      <alignment horizontal="center" readingOrder="0" vertical="center"/>
    </xf>
    <xf borderId="21" fillId="0" fontId="16" numFmtId="0" xfId="0" applyAlignment="1" applyBorder="1" applyFont="1">
      <alignment horizontal="right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25" fillId="4" fontId="8" numFmtId="168" xfId="0" applyAlignment="1" applyBorder="1" applyFont="1" applyNumberFormat="1">
      <alignment horizontal="center" vertical="center"/>
    </xf>
    <xf borderId="22" fillId="0" fontId="8" numFmtId="0" xfId="0" applyAlignment="1" applyBorder="1" applyFont="1">
      <alignment vertical="center"/>
    </xf>
    <xf borderId="21" fillId="0" fontId="8" numFmtId="0" xfId="0" applyAlignment="1" applyBorder="1" applyFont="1">
      <alignment horizontal="right" readingOrder="0" shrinkToFit="0" vertical="center" wrapText="1"/>
    </xf>
    <xf borderId="10" fillId="2" fontId="8" numFmtId="166" xfId="0" applyAlignment="1" applyBorder="1" applyFont="1" applyNumberFormat="1">
      <alignment horizontal="center" vertical="center"/>
    </xf>
    <xf borderId="15" fillId="0" fontId="15" numFmtId="0" xfId="0" applyAlignment="1" applyBorder="1" applyFont="1">
      <alignment horizontal="left" readingOrder="0" shrinkToFit="0" vertical="center" wrapText="1"/>
    </xf>
    <xf borderId="10" fillId="0" fontId="8" numFmtId="10" xfId="0" applyAlignment="1" applyBorder="1" applyFont="1" applyNumberFormat="1">
      <alignment horizontal="right" readingOrder="0" vertical="center"/>
    </xf>
    <xf borderId="3" fillId="0" fontId="5" numFmtId="0" xfId="0" applyBorder="1" applyFont="1"/>
    <xf borderId="11" fillId="2" fontId="8" numFmtId="166" xfId="0" applyAlignment="1" applyBorder="1" applyFont="1" applyNumberFormat="1">
      <alignment horizontal="center" vertical="center"/>
    </xf>
    <xf borderId="21" fillId="0" fontId="8" numFmtId="0" xfId="0" applyAlignment="1" applyBorder="1" applyFont="1">
      <alignment vertical="center"/>
    </xf>
    <xf borderId="21" fillId="0" fontId="1" numFmtId="0" xfId="0" applyBorder="1" applyFont="1"/>
    <xf borderId="10" fillId="2" fontId="8" numFmtId="166" xfId="0" applyAlignment="1" applyBorder="1" applyFont="1" applyNumberFormat="1">
      <alignment vertical="center"/>
    </xf>
    <xf borderId="15" fillId="0" fontId="15" numFmtId="0" xfId="0" applyAlignment="1" applyBorder="1" applyFont="1">
      <alignment horizontal="left" shrinkToFit="0" vertical="center" wrapText="1"/>
    </xf>
    <xf borderId="10" fillId="4" fontId="8" numFmtId="10" xfId="0" applyAlignment="1" applyBorder="1" applyFont="1" applyNumberFormat="1">
      <alignment horizontal="center" vertical="center"/>
    </xf>
    <xf borderId="10" fillId="4" fontId="8" numFmtId="166" xfId="0" applyAlignment="1" applyBorder="1" applyFont="1" applyNumberFormat="1">
      <alignment vertical="center"/>
    </xf>
    <xf borderId="0" fillId="0" fontId="8" numFmtId="0" xfId="0" applyAlignment="1" applyFont="1">
      <alignment horizontal="center" vertical="center"/>
    </xf>
    <xf borderId="15" fillId="0" fontId="8" numFmtId="0" xfId="0" applyAlignment="1" applyBorder="1" applyFont="1">
      <alignment vertical="center"/>
    </xf>
    <xf borderId="22" fillId="4" fontId="8" numFmtId="0" xfId="0" applyAlignment="1" applyBorder="1" applyFont="1">
      <alignment horizontal="left" vertical="center"/>
    </xf>
    <xf borderId="7" fillId="0" fontId="8" numFmtId="0" xfId="0" applyAlignment="1" applyBorder="1" applyFont="1">
      <alignment horizontal="left" vertical="center"/>
    </xf>
    <xf borderId="10" fillId="0" fontId="8" numFmtId="10" xfId="0" applyAlignment="1" applyBorder="1" applyFont="1" applyNumberFormat="1">
      <alignment horizontal="center" vertical="center"/>
    </xf>
    <xf borderId="6" fillId="2" fontId="8" numFmtId="166" xfId="0" applyAlignment="1" applyBorder="1" applyFont="1" applyNumberFormat="1">
      <alignment horizontal="right" vertical="center"/>
    </xf>
    <xf borderId="3" fillId="0" fontId="8" numFmtId="0" xfId="0" applyAlignment="1" applyBorder="1" applyFont="1">
      <alignment vertical="center"/>
    </xf>
    <xf borderId="10" fillId="4" fontId="8" numFmtId="0" xfId="0" applyAlignment="1" applyBorder="1" applyFont="1">
      <alignment horizontal="left" vertical="center"/>
    </xf>
    <xf borderId="10" fillId="2" fontId="16" numFmtId="10" xfId="0" applyAlignment="1" applyBorder="1" applyFont="1" applyNumberFormat="1">
      <alignment horizontal="center" vertical="center"/>
    </xf>
    <xf borderId="2" fillId="6" fontId="4" numFmtId="0" xfId="0" applyAlignment="1" applyBorder="1" applyFill="1" applyFont="1">
      <alignment horizontal="left" readingOrder="0" shrinkToFit="0" vertical="center" wrapText="1"/>
    </xf>
    <xf borderId="2" fillId="6" fontId="6" numFmtId="0" xfId="0" applyAlignment="1" applyBorder="1" applyFont="1">
      <alignment horizontal="left" shrinkToFit="0" vertical="center" wrapText="1"/>
    </xf>
    <xf borderId="0" fillId="6" fontId="8" numFmtId="0" xfId="0" applyAlignment="1" applyFont="1">
      <alignment vertical="center"/>
    </xf>
    <xf borderId="0" fillId="6" fontId="7" numFmtId="0" xfId="0" applyAlignment="1" applyFont="1">
      <alignment vertical="center"/>
    </xf>
    <xf borderId="21" fillId="6" fontId="16" numFmtId="0" xfId="0" applyAlignment="1" applyBorder="1" applyFont="1">
      <alignment horizontal="right" shrinkToFit="0" vertical="center" wrapText="1"/>
    </xf>
    <xf borderId="0" fillId="6" fontId="8" numFmtId="0" xfId="0" applyAlignment="1" applyFont="1">
      <alignment horizontal="left" shrinkToFit="0" vertical="center" wrapText="1"/>
    </xf>
    <xf borderId="0" fillId="6" fontId="16" numFmtId="0" xfId="0" applyAlignment="1" applyFont="1">
      <alignment horizontal="right" shrinkToFit="0" vertical="center" wrapText="1"/>
    </xf>
    <xf borderId="10" fillId="2" fontId="16" numFmtId="0" xfId="0" applyAlignment="1" applyBorder="1" applyFont="1">
      <alignment horizontal="center" vertical="center"/>
    </xf>
    <xf borderId="0" fillId="6" fontId="6" numFmtId="0" xfId="0" applyAlignment="1" applyFont="1">
      <alignment horizontal="left" shrinkToFit="0" vertical="center" wrapText="1"/>
    </xf>
    <xf borderId="2" fillId="0" fontId="21" numFmtId="0" xfId="0" applyAlignment="1" applyBorder="1" applyFont="1">
      <alignment horizontal="left" shrinkToFit="0" vertical="center" wrapText="1"/>
    </xf>
    <xf borderId="0" fillId="0" fontId="22" numFmtId="0" xfId="0" applyFont="1"/>
    <xf borderId="38" fillId="7" fontId="23" numFmtId="166" xfId="0" applyAlignment="1" applyBorder="1" applyFill="1" applyFont="1" applyNumberFormat="1">
      <alignment horizontal="right" shrinkToFit="0" vertical="center" wrapText="1"/>
    </xf>
    <xf borderId="0" fillId="8" fontId="24" numFmtId="0" xfId="0" applyAlignment="1" applyFill="1" applyFont="1">
      <alignment horizontal="center" readingOrder="0" shrinkToFit="0" vertical="center" wrapText="1"/>
    </xf>
    <xf borderId="0" fillId="9" fontId="3" numFmtId="0" xfId="0" applyAlignment="1" applyFill="1" applyFont="1">
      <alignment horizontal="center" readingOrder="0" shrinkToFit="0" vertical="center" wrapText="1"/>
    </xf>
    <xf borderId="0" fillId="10" fontId="25" numFmtId="0" xfId="0" applyAlignment="1" applyFill="1" applyFont="1">
      <alignment horizontal="left" shrinkToFit="0" vertical="center" wrapText="1"/>
    </xf>
    <xf borderId="39" fillId="10" fontId="20" numFmtId="0" xfId="0" applyAlignment="1" applyBorder="1" applyFont="1">
      <alignment horizontal="left" readingOrder="0" shrinkToFit="0" vertical="center" wrapText="0"/>
    </xf>
    <xf borderId="0" fillId="10" fontId="26" numFmtId="0" xfId="0" applyAlignment="1" applyFont="1">
      <alignment vertical="center"/>
    </xf>
    <xf borderId="6" fillId="11" fontId="26" numFmtId="0" xfId="0" applyAlignment="1" applyBorder="1" applyFill="1" applyFont="1">
      <alignment horizontal="center" vertical="center"/>
    </xf>
    <xf borderId="6" fillId="11" fontId="26" numFmtId="0" xfId="0" applyAlignment="1" applyBorder="1" applyFont="1">
      <alignment horizontal="center" readingOrder="0" shrinkToFit="0" vertical="center" wrapText="1"/>
    </xf>
    <xf borderId="6" fillId="11" fontId="26" numFmtId="170" xfId="0" applyAlignment="1" applyBorder="1" applyFont="1" applyNumberFormat="1">
      <alignment horizontal="center" vertical="center"/>
    </xf>
    <xf borderId="6" fillId="11" fontId="26" numFmtId="170" xfId="0" applyAlignment="1" applyBorder="1" applyFont="1" applyNumberFormat="1">
      <alignment horizontal="center" readingOrder="0" vertical="center"/>
    </xf>
    <xf borderId="0" fillId="10" fontId="26" numFmtId="0" xfId="0" applyAlignment="1" applyFont="1">
      <alignment shrinkToFit="0" vertical="center" wrapText="1"/>
    </xf>
    <xf borderId="10" fillId="0" fontId="26" numFmtId="0" xfId="0" applyAlignment="1" applyBorder="1" applyFont="1">
      <alignment horizontal="center" shrinkToFit="0" vertical="center" wrapText="1"/>
    </xf>
    <xf borderId="7" fillId="0" fontId="26" numFmtId="0" xfId="0" applyAlignment="1" applyBorder="1" applyFont="1">
      <alignment horizontal="left" readingOrder="0" shrinkToFit="0" vertical="center" wrapText="1"/>
    </xf>
    <xf borderId="10" fillId="0" fontId="26" numFmtId="0" xfId="0" applyAlignment="1" applyBorder="1" applyFont="1">
      <alignment horizontal="center" readingOrder="0" shrinkToFit="0" vertical="center" wrapText="1"/>
    </xf>
    <xf borderId="10" fillId="0" fontId="26" numFmtId="170" xfId="0" applyAlignment="1" applyBorder="1" applyFont="1" applyNumberFormat="1">
      <alignment readingOrder="0" shrinkToFit="0" vertical="center" wrapText="1"/>
    </xf>
    <xf borderId="10" fillId="2" fontId="26" numFmtId="170" xfId="0" applyAlignment="1" applyBorder="1" applyFont="1" applyNumberFormat="1">
      <alignment readingOrder="0" shrinkToFit="0" vertical="center" wrapText="1"/>
    </xf>
    <xf borderId="10" fillId="0" fontId="26" numFmtId="0" xfId="0" applyAlignment="1" applyBorder="1" applyFont="1">
      <alignment horizontal="left" readingOrder="0" shrinkToFit="0" vertical="center" wrapText="1"/>
    </xf>
    <xf borderId="0" fillId="10" fontId="26" numFmtId="0" xfId="0" applyAlignment="1" applyFont="1">
      <alignment horizontal="center" vertical="center"/>
    </xf>
    <xf borderId="7" fillId="11" fontId="27" numFmtId="170" xfId="0" applyAlignment="1" applyBorder="1" applyFont="1" applyNumberFormat="1">
      <alignment horizontal="right" readingOrder="0" vertical="center"/>
    </xf>
    <xf borderId="10" fillId="11" fontId="27" numFmtId="170" xfId="0" applyAlignment="1" applyBorder="1" applyFont="1" applyNumberFormat="1">
      <alignment vertical="center"/>
    </xf>
    <xf borderId="39" fillId="10" fontId="20" numFmtId="0" xfId="0" applyAlignment="1" applyBorder="1" applyFont="1">
      <alignment horizontal="left" shrinkToFit="0" vertical="center" wrapText="0"/>
    </xf>
    <xf borderId="3" fillId="0" fontId="26" numFmtId="0" xfId="0" applyAlignment="1" applyBorder="1" applyFont="1">
      <alignment horizontal="left" readingOrder="0" shrinkToFit="0" vertical="center" wrapText="0"/>
    </xf>
    <xf borderId="4" fillId="0" fontId="26" numFmtId="0" xfId="0" applyAlignment="1" applyBorder="1" applyFont="1">
      <alignment horizontal="left" readingOrder="0" shrinkToFit="0" vertical="center" wrapText="0"/>
    </xf>
    <xf borderId="5" fillId="0" fontId="26" numFmtId="0" xfId="0" applyAlignment="1" applyBorder="1" applyFont="1">
      <alignment horizontal="left" readingOrder="0" shrinkToFit="0" vertical="center" wrapText="0"/>
    </xf>
    <xf borderId="39" fillId="10" fontId="20" numFmtId="0" xfId="0" applyAlignment="1" applyBorder="1" applyFont="1">
      <alignment horizontal="left" readingOrder="0" shrinkToFit="0" vertical="center" wrapText="1"/>
    </xf>
    <xf borderId="39" fillId="0" fontId="5" numFmtId="0" xfId="0" applyBorder="1" applyFont="1"/>
    <xf borderId="39" fillId="10" fontId="20" numFmtId="0" xfId="0" applyAlignment="1" applyBorder="1" applyFont="1">
      <alignment horizontal="left" shrinkToFit="0" vertical="center" wrapText="1"/>
    </xf>
    <xf borderId="0" fillId="3" fontId="3" numFmtId="0" xfId="0" applyAlignment="1" applyFont="1">
      <alignment horizontal="center" shrinkToFit="0" vertical="center" wrapText="1"/>
    </xf>
    <xf borderId="0" fillId="9" fontId="3" numFmtId="0" xfId="0" applyAlignment="1" applyFont="1">
      <alignment horizontal="center" shrinkToFit="0" vertical="center" wrapText="1"/>
    </xf>
    <xf borderId="0" fillId="0" fontId="28" numFmtId="0" xfId="0" applyFont="1"/>
    <xf borderId="0" fillId="0" fontId="29" numFmtId="0" xfId="0" applyAlignment="1" applyFont="1">
      <alignment horizontal="center" shrinkToFit="0" vertical="center" wrapText="1"/>
    </xf>
    <xf borderId="40" fillId="12" fontId="30" numFmtId="0" xfId="0" applyAlignment="1" applyBorder="1" applyFill="1" applyFont="1">
      <alignment horizontal="center" shrinkToFit="0" vertical="center" wrapText="1"/>
    </xf>
    <xf borderId="41" fillId="0" fontId="5" numFmtId="0" xfId="0" applyBorder="1" applyFont="1"/>
    <xf borderId="42" fillId="0" fontId="5" numFmtId="0" xfId="0" applyBorder="1" applyFont="1"/>
    <xf borderId="0" fillId="0" fontId="31" numFmtId="0" xfId="0" applyAlignment="1" applyFont="1">
      <alignment horizontal="left" shrinkToFit="0" vertical="center" wrapText="1"/>
    </xf>
    <xf borderId="0" fillId="0" fontId="32" numFmtId="0" xfId="0" applyAlignment="1" applyFont="1">
      <alignment horizontal="center" shrinkToFit="0" vertical="center" wrapText="1"/>
    </xf>
    <xf borderId="43" fillId="0" fontId="33" numFmtId="0" xfId="0" applyAlignment="1" applyBorder="1" applyFont="1">
      <alignment horizontal="left" shrinkToFit="0" vertical="center" wrapText="1"/>
    </xf>
    <xf borderId="43" fillId="0" fontId="5" numFmtId="0" xfId="0" applyBorder="1" applyFont="1"/>
    <xf borderId="0" fillId="0" fontId="34" numFmtId="0" xfId="0" applyFont="1"/>
    <xf borderId="10" fillId="4" fontId="28" numFmtId="0" xfId="0" applyAlignment="1" applyBorder="1" applyFont="1">
      <alignment horizontal="center" shrinkToFit="0" vertical="center" wrapText="1"/>
    </xf>
    <xf borderId="7" fillId="0" fontId="28" numFmtId="0" xfId="0" applyAlignment="1" applyBorder="1" applyFont="1">
      <alignment horizontal="left" shrinkToFit="0" vertical="center" wrapText="1"/>
    </xf>
    <xf borderId="7" fillId="0" fontId="34" numFmtId="164" xfId="0" applyAlignment="1" applyBorder="1" applyFont="1" applyNumberFormat="1">
      <alignment horizontal="center" vertical="center"/>
    </xf>
    <xf borderId="7" fillId="0" fontId="34" numFmtId="165" xfId="0" applyAlignment="1" applyBorder="1" applyFont="1" applyNumberFormat="1">
      <alignment horizontal="center" vertical="center"/>
    </xf>
    <xf borderId="7" fillId="0" fontId="28" numFmtId="0" xfId="0" applyAlignment="1" applyBorder="1" applyFont="1">
      <alignment horizontal="center" shrinkToFit="0" vertical="center" wrapText="1"/>
    </xf>
    <xf borderId="7" fillId="0" fontId="34" numFmtId="0" xfId="0" applyAlignment="1" applyBorder="1" applyFont="1">
      <alignment horizontal="center" vertical="center"/>
    </xf>
    <xf borderId="7" fillId="4" fontId="12" numFmtId="0" xfId="0" applyAlignment="1" applyBorder="1" applyFont="1">
      <alignment horizontal="center" shrinkToFit="0" vertical="center" wrapText="1"/>
    </xf>
    <xf borderId="10" fillId="4" fontId="12" numFmtId="0" xfId="0" applyAlignment="1" applyBorder="1" applyFont="1">
      <alignment horizontal="center" shrinkToFit="0" vertical="center" wrapText="1"/>
    </xf>
    <xf borderId="7" fillId="0" fontId="34" numFmtId="0" xfId="0" applyAlignment="1" applyBorder="1" applyFont="1">
      <alignment horizontal="left" shrinkToFit="0" vertical="center" wrapText="1"/>
    </xf>
    <xf borderId="10" fillId="0" fontId="34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left" shrinkToFit="0" vertical="center" wrapText="1"/>
    </xf>
    <xf borderId="0" fillId="0" fontId="35" numFmtId="0" xfId="0" applyAlignment="1" applyFont="1">
      <alignment horizontal="center" shrinkToFit="0" vertical="center" wrapText="1"/>
    </xf>
    <xf borderId="0" fillId="0" fontId="31" numFmtId="0" xfId="0" applyFont="1"/>
    <xf borderId="44" fillId="0" fontId="12" numFmtId="0" xfId="0" applyAlignment="1" applyBorder="1" applyFont="1">
      <alignment horizontal="left" shrinkToFit="0" vertical="center" wrapText="1"/>
    </xf>
    <xf borderId="44" fillId="0" fontId="5" numFmtId="0" xfId="0" applyBorder="1" applyFont="1"/>
    <xf borderId="0" fillId="0" fontId="34" numFmtId="0" xfId="0" applyAlignment="1" applyFont="1">
      <alignment shrinkToFit="0" textRotation="90" vertical="center" wrapText="1"/>
    </xf>
    <xf borderId="10" fillId="4" fontId="34" numFmtId="0" xfId="0" applyAlignment="1" applyBorder="1" applyFont="1">
      <alignment horizontal="center" shrinkToFit="0" vertical="center" wrapText="1"/>
    </xf>
    <xf borderId="10" fillId="0" fontId="34" numFmtId="166" xfId="0" applyAlignment="1" applyBorder="1" applyFont="1" applyNumberFormat="1">
      <alignment vertical="center"/>
    </xf>
    <xf borderId="0" fillId="0" fontId="34" numFmtId="166" xfId="0" applyFont="1" applyNumberFormat="1"/>
    <xf borderId="18" fillId="4" fontId="34" numFmtId="0" xfId="0" applyAlignment="1" applyBorder="1" applyFont="1">
      <alignment horizontal="center" vertical="center"/>
    </xf>
    <xf borderId="15" fillId="0" fontId="34" numFmtId="0" xfId="0" applyAlignment="1" applyBorder="1" applyFont="1">
      <alignment horizontal="left" shrinkToFit="0" vertical="center" wrapText="1"/>
    </xf>
    <xf borderId="19" fillId="0" fontId="34" numFmtId="166" xfId="0" applyAlignment="1" applyBorder="1" applyFont="1" applyNumberFormat="1">
      <alignment horizontal="center" vertical="center"/>
    </xf>
    <xf borderId="3" fillId="0" fontId="15" numFmtId="0" xfId="0" applyAlignment="1" applyBorder="1" applyFont="1">
      <alignment horizontal="left" vertical="center"/>
    </xf>
    <xf borderId="6" fillId="0" fontId="16" numFmtId="166" xfId="0" applyAlignment="1" applyBorder="1" applyFont="1" applyNumberFormat="1">
      <alignment vertical="center"/>
    </xf>
    <xf borderId="11" fillId="4" fontId="34" numFmtId="0" xfId="0" applyAlignment="1" applyBorder="1" applyFont="1">
      <alignment horizontal="center" vertical="center"/>
    </xf>
    <xf borderId="45" fillId="0" fontId="34" numFmtId="0" xfId="0" applyAlignment="1" applyBorder="1" applyFont="1">
      <alignment horizontal="left" vertical="center"/>
    </xf>
    <xf borderId="8" fillId="0" fontId="34" numFmtId="0" xfId="0" applyAlignment="1" applyBorder="1" applyFont="1">
      <alignment horizontal="left" shrinkToFit="0" vertical="center" wrapText="1"/>
    </xf>
    <xf borderId="10" fillId="0" fontId="34" numFmtId="166" xfId="0" applyAlignment="1" applyBorder="1" applyFont="1" applyNumberFormat="1">
      <alignment horizontal="center" vertical="center"/>
    </xf>
    <xf borderId="45" fillId="4" fontId="34" numFmtId="166" xfId="0" applyAlignment="1" applyBorder="1" applyFont="1" applyNumberFormat="1">
      <alignment horizontal="center" vertical="center"/>
    </xf>
    <xf borderId="10" fillId="0" fontId="34" numFmtId="3" xfId="0" applyAlignment="1" applyBorder="1" applyFont="1" applyNumberFormat="1">
      <alignment horizontal="center" vertical="center"/>
    </xf>
    <xf borderId="15" fillId="0" fontId="15" numFmtId="0" xfId="0" applyAlignment="1" applyBorder="1" applyFont="1">
      <alignment horizontal="left" vertical="center"/>
    </xf>
    <xf borderId="22" fillId="0" fontId="34" numFmtId="0" xfId="0" applyAlignment="1" applyBorder="1" applyFont="1">
      <alignment horizontal="left" shrinkToFit="0" vertical="center" wrapText="1"/>
    </xf>
    <xf borderId="11" fillId="0" fontId="34" numFmtId="164" xfId="0" applyAlignment="1" applyBorder="1" applyFont="1" applyNumberFormat="1">
      <alignment horizontal="center" vertical="center"/>
    </xf>
    <xf borderId="46" fillId="4" fontId="34" numFmtId="166" xfId="0" applyAlignment="1" applyBorder="1" applyFont="1" applyNumberFormat="1">
      <alignment horizontal="center" vertical="center"/>
    </xf>
    <xf borderId="47" fillId="0" fontId="5" numFmtId="0" xfId="0" applyBorder="1" applyFont="1"/>
    <xf borderId="10" fillId="0" fontId="16" numFmtId="166" xfId="0" applyAlignment="1" applyBorder="1" applyFont="1" applyNumberFormat="1">
      <alignment vertical="center"/>
    </xf>
    <xf borderId="48" fillId="4" fontId="34" numFmtId="0" xfId="0" applyAlignment="1" applyBorder="1" applyFont="1">
      <alignment horizontal="center" vertical="center"/>
    </xf>
    <xf borderId="21" fillId="0" fontId="34" numFmtId="0" xfId="0" applyAlignment="1" applyBorder="1" applyFont="1">
      <alignment horizontal="left" shrinkToFit="0" vertical="center" wrapText="1"/>
    </xf>
    <xf borderId="19" fillId="0" fontId="34" numFmtId="0" xfId="0" applyAlignment="1" applyBorder="1" applyFont="1">
      <alignment horizontal="left" shrinkToFit="0" vertical="center" wrapText="1"/>
    </xf>
    <xf borderId="10" fillId="4" fontId="34" numFmtId="0" xfId="0" applyAlignment="1" applyBorder="1" applyFont="1">
      <alignment horizontal="center" vertical="center"/>
    </xf>
    <xf borderId="0" fillId="0" fontId="36" numFmtId="0" xfId="0" applyFont="1"/>
    <xf borderId="0" fillId="0" fontId="34" numFmtId="0" xfId="0" applyAlignment="1" applyFont="1">
      <alignment horizontal="center" shrinkToFit="0" textRotation="90" vertical="center" wrapText="1"/>
    </xf>
    <xf borderId="10" fillId="0" fontId="34" numFmtId="10" xfId="0" applyAlignment="1" applyBorder="1" applyFont="1" applyNumberFormat="1">
      <alignment horizontal="right" vertical="center"/>
    </xf>
    <xf borderId="10" fillId="0" fontId="34" numFmtId="166" xfId="0" applyAlignment="1" applyBorder="1" applyFont="1" applyNumberFormat="1">
      <alignment horizontal="right" vertical="center"/>
    </xf>
    <xf borderId="49" fillId="4" fontId="34" numFmtId="0" xfId="0" applyAlignment="1" applyBorder="1" applyFont="1">
      <alignment horizontal="center" shrinkToFit="0" vertical="center" wrapText="1"/>
    </xf>
    <xf borderId="11" fillId="4" fontId="34" numFmtId="167" xfId="0" applyAlignment="1" applyBorder="1" applyFont="1" applyNumberFormat="1">
      <alignment horizontal="right" vertical="center"/>
    </xf>
    <xf borderId="11" fillId="0" fontId="34" numFmtId="166" xfId="0" applyAlignment="1" applyBorder="1" applyFont="1" applyNumberFormat="1">
      <alignment horizontal="center" vertical="center"/>
    </xf>
    <xf borderId="50" fillId="0" fontId="5" numFmtId="0" xfId="0" applyBorder="1" applyFont="1"/>
    <xf borderId="15" fillId="0" fontId="5" numFmtId="0" xfId="0" applyBorder="1" applyFont="1"/>
    <xf borderId="6" fillId="0" fontId="34" numFmtId="9" xfId="0" applyAlignment="1" applyBorder="1" applyFont="1" applyNumberFormat="1">
      <alignment horizontal="center" shrinkToFit="0" vertical="center" wrapText="1"/>
    </xf>
    <xf borderId="6" fillId="0" fontId="34" numFmtId="171" xfId="0" applyAlignment="1" applyBorder="1" applyFont="1" applyNumberFormat="1">
      <alignment horizontal="center" shrinkToFit="0" vertical="center" wrapText="1"/>
    </xf>
    <xf borderId="0" fillId="0" fontId="37" numFmtId="0" xfId="0" applyAlignment="1" applyFont="1">
      <alignment horizontal="left" shrinkToFit="0" wrapText="1"/>
    </xf>
    <xf borderId="0" fillId="0" fontId="15" numFmtId="0" xfId="0" applyAlignment="1" applyFont="1">
      <alignment horizontal="left" shrinkToFit="0" wrapText="1"/>
    </xf>
    <xf borderId="3" fillId="0" fontId="34" numFmtId="0" xfId="0" applyAlignment="1" applyBorder="1" applyFont="1">
      <alignment horizontal="left" shrinkToFit="0" vertical="center" wrapText="1"/>
    </xf>
    <xf borderId="46" fillId="13" fontId="34" numFmtId="166" xfId="0" applyAlignment="1" applyBorder="1" applyFill="1" applyFont="1" applyNumberFormat="1">
      <alignment horizontal="center" vertical="center"/>
    </xf>
    <xf borderId="51" fillId="13" fontId="15" numFmtId="0" xfId="0" applyAlignment="1" applyBorder="1" applyFont="1">
      <alignment horizontal="left" shrinkToFit="0" vertical="center" wrapText="1"/>
    </xf>
    <xf borderId="52" fillId="0" fontId="5" numFmtId="0" xfId="0" applyBorder="1" applyFont="1"/>
    <xf borderId="21" fillId="0" fontId="38" numFmtId="0" xfId="0" applyAlignment="1" applyBorder="1" applyFont="1">
      <alignment horizontal="right" shrinkToFit="0" vertical="center" wrapText="1"/>
    </xf>
    <xf borderId="10" fillId="4" fontId="39" numFmtId="166" xfId="0" applyAlignment="1" applyBorder="1" applyFont="1" applyNumberFormat="1">
      <alignment vertical="center"/>
    </xf>
    <xf borderId="0" fillId="0" fontId="34" numFmtId="0" xfId="0" applyAlignment="1" applyFont="1">
      <alignment horizontal="right" vertical="center"/>
    </xf>
    <xf borderId="23" fillId="0" fontId="34" numFmtId="167" xfId="0" applyAlignment="1" applyBorder="1" applyFont="1" applyNumberFormat="1">
      <alignment horizontal="right" vertical="center"/>
    </xf>
    <xf borderId="23" fillId="0" fontId="34" numFmtId="4" xfId="0" applyAlignment="1" applyBorder="1" applyFont="1" applyNumberFormat="1">
      <alignment horizontal="right" vertical="center"/>
    </xf>
    <xf borderId="0" fillId="0" fontId="34" numFmtId="167" xfId="0" applyAlignment="1" applyFont="1" applyNumberFormat="1">
      <alignment horizontal="right" vertical="center"/>
    </xf>
    <xf borderId="0" fillId="0" fontId="34" numFmtId="4" xfId="0" applyAlignment="1" applyFont="1" applyNumberFormat="1">
      <alignment horizontal="right" vertical="center"/>
    </xf>
    <xf borderId="4" fillId="0" fontId="12" numFmtId="0" xfId="0" applyAlignment="1" applyBorder="1" applyFont="1">
      <alignment horizontal="left" shrinkToFit="0" vertical="center" wrapText="1"/>
    </xf>
    <xf borderId="10" fillId="4" fontId="34" numFmtId="168" xfId="0" applyAlignment="1" applyBorder="1" applyFont="1" applyNumberFormat="1">
      <alignment horizontal="center" vertical="center"/>
    </xf>
    <xf borderId="10" fillId="4" fontId="40" numFmtId="0" xfId="0" applyAlignment="1" applyBorder="1" applyFont="1">
      <alignment horizontal="center" shrinkToFit="0" vertical="center" wrapText="1"/>
    </xf>
    <xf borderId="22" fillId="0" fontId="34" numFmtId="0" xfId="0" applyAlignment="1" applyBorder="1" applyFont="1">
      <alignment vertical="center"/>
    </xf>
    <xf borderId="21" fillId="0" fontId="34" numFmtId="0" xfId="0" applyAlignment="1" applyBorder="1" applyFont="1">
      <alignment vertical="center"/>
    </xf>
    <xf borderId="19" fillId="0" fontId="34" numFmtId="0" xfId="0" applyAlignment="1" applyBorder="1" applyFont="1">
      <alignment vertical="center"/>
    </xf>
    <xf borderId="11" fillId="0" fontId="34" numFmtId="10" xfId="0" applyAlignment="1" applyBorder="1" applyFont="1" applyNumberFormat="1">
      <alignment horizontal="center" vertical="center"/>
    </xf>
    <xf borderId="53" fillId="0" fontId="5" numFmtId="0" xfId="0" applyBorder="1" applyFont="1"/>
    <xf borderId="8" fillId="0" fontId="34" numFmtId="0" xfId="0" applyAlignment="1" applyBorder="1" applyFont="1">
      <alignment vertical="center"/>
    </xf>
    <xf borderId="10" fillId="4" fontId="34" numFmtId="10" xfId="0" applyAlignment="1" applyBorder="1" applyFont="1" applyNumberFormat="1">
      <alignment horizontal="center" vertical="center"/>
    </xf>
    <xf borderId="10" fillId="4" fontId="34" numFmtId="166" xfId="0" applyAlignment="1" applyBorder="1" applyFont="1" applyNumberFormat="1">
      <alignment vertical="center"/>
    </xf>
    <xf borderId="0" fillId="0" fontId="34" numFmtId="0" xfId="0" applyAlignment="1" applyFont="1">
      <alignment horizontal="center" vertical="center"/>
    </xf>
    <xf borderId="22" fillId="4" fontId="34" numFmtId="0" xfId="0" applyAlignment="1" applyBorder="1" applyFont="1">
      <alignment horizontal="left" vertical="center"/>
    </xf>
    <xf borderId="3" fillId="0" fontId="34" numFmtId="0" xfId="0" applyAlignment="1" applyBorder="1" applyFont="1">
      <alignment horizontal="left" vertical="center"/>
    </xf>
    <xf borderId="6" fillId="0" fontId="34" numFmtId="10" xfId="0" applyAlignment="1" applyBorder="1" applyFont="1" applyNumberFormat="1">
      <alignment horizontal="center" vertical="center"/>
    </xf>
    <xf borderId="6" fillId="0" fontId="34" numFmtId="166" xfId="0" applyAlignment="1" applyBorder="1" applyFont="1" applyNumberFormat="1">
      <alignment horizontal="right" vertical="center"/>
    </xf>
    <xf borderId="7" fillId="0" fontId="34" numFmtId="0" xfId="0" applyAlignment="1" applyBorder="1" applyFont="1">
      <alignment horizontal="left" vertical="center"/>
    </xf>
    <xf borderId="10" fillId="0" fontId="34" numFmtId="10" xfId="0" applyAlignment="1" applyBorder="1" applyFont="1" applyNumberFormat="1">
      <alignment horizontal="center" vertical="center"/>
    </xf>
    <xf borderId="10" fillId="4" fontId="34" numFmtId="0" xfId="0" applyAlignment="1" applyBorder="1" applyFont="1">
      <alignment horizontal="left" vertical="center"/>
    </xf>
    <xf borderId="10" fillId="0" fontId="16" numFmtId="10" xfId="0" applyAlignment="1" applyBorder="1" applyFont="1" applyNumberFormat="1">
      <alignment horizontal="center" vertical="center"/>
    </xf>
    <xf borderId="0" fillId="0" fontId="19" numFmtId="0" xfId="0" applyAlignment="1" applyFont="1">
      <alignment horizontal="left" shrinkToFit="0" wrapText="1"/>
    </xf>
    <xf borderId="54" fillId="5" fontId="34" numFmtId="0" xfId="0" applyBorder="1" applyFont="1"/>
    <xf borderId="7" fillId="4" fontId="41" numFmtId="0" xfId="0" applyAlignment="1" applyBorder="1" applyFont="1">
      <alignment horizontal="center" shrinkToFit="0" vertical="center" wrapText="1"/>
    </xf>
    <xf borderId="10" fillId="4" fontId="41" numFmtId="0" xfId="0" applyAlignment="1" applyBorder="1" applyFont="1">
      <alignment horizontal="center" shrinkToFit="0" vertical="center" wrapText="1"/>
    </xf>
    <xf borderId="10" fillId="0" fontId="34" numFmtId="166" xfId="0" applyAlignment="1" applyBorder="1" applyFont="1" applyNumberFormat="1">
      <alignment shrinkToFit="0" vertical="center" wrapText="1"/>
    </xf>
    <xf borderId="55" fillId="4" fontId="42" numFmtId="0" xfId="0" applyAlignment="1" applyBorder="1" applyFont="1">
      <alignment horizontal="left" shrinkToFit="0" vertical="center" wrapText="1"/>
    </xf>
    <xf borderId="56" fillId="0" fontId="5" numFmtId="0" xfId="0" applyBorder="1" applyFont="1"/>
    <xf borderId="57" fillId="0" fontId="5" numFmtId="0" xfId="0" applyBorder="1" applyFont="1"/>
    <xf borderId="44" fillId="0" fontId="42" numFmtId="166" xfId="0" applyAlignment="1" applyBorder="1" applyFont="1" applyNumberFormat="1">
      <alignment horizontal="right" shrinkToFit="0" vertical="center" wrapText="1"/>
    </xf>
    <xf borderId="58" fillId="4" fontId="42" numFmtId="0" xfId="0" applyAlignment="1" applyBorder="1" applyFont="1">
      <alignment horizontal="left" shrinkToFit="0" vertical="center" wrapText="1"/>
    </xf>
    <xf borderId="59" fillId="0" fontId="5" numFmtId="0" xfId="0" applyBorder="1" applyFont="1"/>
    <xf borderId="60" fillId="0" fontId="5" numFmtId="0" xfId="0" applyBorder="1" applyFont="1"/>
    <xf borderId="59" fillId="0" fontId="42" numFmtId="0" xfId="0" applyAlignment="1" applyBorder="1" applyFont="1">
      <alignment horizontal="right" shrinkToFit="0" vertical="center" wrapText="1"/>
    </xf>
    <xf borderId="59" fillId="0" fontId="42" numFmtId="166" xfId="0" applyAlignment="1" applyBorder="1" applyFont="1" applyNumberFormat="1">
      <alignment horizontal="right" shrinkToFit="0" vertical="center" wrapText="1"/>
    </xf>
    <xf borderId="10" fillId="4" fontId="28" numFmtId="0" xfId="0" applyAlignment="1" applyBorder="1" applyFont="1">
      <alignment horizontal="center"/>
    </xf>
    <xf borderId="7" fillId="4" fontId="28" numFmtId="0" xfId="0" applyAlignment="1" applyBorder="1" applyFont="1">
      <alignment horizontal="center"/>
    </xf>
    <xf borderId="10" fillId="4" fontId="28" numFmtId="0" xfId="0" applyAlignment="1" applyBorder="1" applyFont="1">
      <alignment horizontal="center" shrinkToFit="0" wrapText="1"/>
    </xf>
    <xf borderId="10" fillId="4" fontId="28" numFmtId="170" xfId="0" applyAlignment="1" applyBorder="1" applyFont="1" applyNumberFormat="1">
      <alignment horizontal="center"/>
    </xf>
    <xf borderId="10" fillId="14" fontId="28" numFmtId="0" xfId="0" applyAlignment="1" applyBorder="1" applyFill="1" applyFont="1">
      <alignment horizontal="center"/>
    </xf>
    <xf borderId="7" fillId="0" fontId="28" numFmtId="0" xfId="0" applyAlignment="1" applyBorder="1" applyFont="1">
      <alignment horizontal="left"/>
    </xf>
    <xf borderId="10" fillId="0" fontId="28" numFmtId="0" xfId="0" applyAlignment="1" applyBorder="1" applyFont="1">
      <alignment horizontal="center"/>
    </xf>
    <xf borderId="10" fillId="0" fontId="28" numFmtId="170" xfId="0" applyBorder="1" applyFont="1" applyNumberFormat="1"/>
    <xf borderId="0" fillId="0" fontId="28" numFmtId="0" xfId="0" applyAlignment="1" applyFont="1">
      <alignment horizontal="center"/>
    </xf>
    <xf borderId="7" fillId="15" fontId="28" numFmtId="170" xfId="0" applyAlignment="1" applyBorder="1" applyFill="1" applyFont="1" applyNumberFormat="1">
      <alignment horizontal="right"/>
    </xf>
    <xf borderId="10" fillId="15" fontId="28" numFmtId="170" xfId="0" applyBorder="1" applyFont="1" applyNumberFormat="1"/>
    <xf borderId="10" fillId="0" fontId="31" numFmtId="170" xfId="0" applyBorder="1" applyFont="1" applyNumberFormat="1"/>
    <xf borderId="0" fillId="0" fontId="28" numFmtId="170" xfId="0" applyFont="1" applyNumberFormat="1"/>
    <xf borderId="55" fillId="13" fontId="12" numFmtId="0" xfId="0" applyAlignment="1" applyBorder="1" applyFont="1">
      <alignment horizontal="left" shrinkToFit="0" vertical="center" wrapText="1"/>
    </xf>
    <xf borderId="61" fillId="4" fontId="28" numFmtId="0" xfId="0" applyAlignment="1" applyBorder="1" applyFont="1">
      <alignment horizontal="center"/>
    </xf>
    <xf borderId="62" fillId="0" fontId="5" numFmtId="0" xfId="0" applyBorder="1" applyFont="1"/>
    <xf borderId="63" fillId="0" fontId="5" numFmtId="0" xfId="0" applyBorder="1" applyFont="1"/>
    <xf borderId="0" fillId="0" fontId="3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00"/>
    <outlinePr summaryBelow="0" summaryRight="0"/>
  </sheetPr>
  <sheetViews>
    <sheetView workbookViewId="0"/>
  </sheetViews>
  <sheetFormatPr customHeight="1" defaultColWidth="12.63" defaultRowHeight="15.0"/>
  <cols>
    <col customWidth="1" min="2" max="2" width="33.5"/>
  </cols>
  <sheetData>
    <row r="3">
      <c r="B3" s="1"/>
      <c r="C3" s="2" t="s">
        <v>0</v>
      </c>
      <c r="D3" s="2" t="s">
        <v>1</v>
      </c>
      <c r="E3" s="2" t="s">
        <v>2</v>
      </c>
    </row>
    <row r="4">
      <c r="B4" s="3" t="s">
        <v>3</v>
      </c>
      <c r="C4" s="4">
        <f>'Zeladoria Diurna'!I122</f>
        <v>12287.68</v>
      </c>
      <c r="D4" s="4">
        <f t="shared" ref="D4:D8" si="1">C4*12</f>
        <v>147452.16</v>
      </c>
      <c r="E4" s="4">
        <f t="shared" ref="E4:E8" si="2">C4*60</f>
        <v>737260.8</v>
      </c>
    </row>
    <row r="5">
      <c r="B5" s="3" t="s">
        <v>4</v>
      </c>
      <c r="C5" s="4">
        <f>'Zeladoria Noturna'!I126</f>
        <v>6159.99</v>
      </c>
      <c r="D5" s="4">
        <f t="shared" si="1"/>
        <v>73919.88</v>
      </c>
      <c r="E5" s="4">
        <f t="shared" si="2"/>
        <v>369599.4</v>
      </c>
    </row>
    <row r="6">
      <c r="B6" s="3" t="s">
        <v>5</v>
      </c>
      <c r="C6" s="4">
        <f>Limpeza!I120</f>
        <v>48449.07</v>
      </c>
      <c r="D6" s="4">
        <f t="shared" si="1"/>
        <v>581388.84</v>
      </c>
      <c r="E6" s="4">
        <f t="shared" si="2"/>
        <v>2906944.2</v>
      </c>
    </row>
    <row r="7">
      <c r="B7" s="3" t="s">
        <v>6</v>
      </c>
      <c r="C7" s="4">
        <f>Jardinagem!I120</f>
        <v>5635.92</v>
      </c>
      <c r="D7" s="4">
        <f t="shared" si="1"/>
        <v>67631.04</v>
      </c>
      <c r="E7" s="4">
        <f t="shared" si="2"/>
        <v>338155.2</v>
      </c>
    </row>
    <row r="8">
      <c r="B8" s="5" t="s">
        <v>7</v>
      </c>
      <c r="C8" s="6">
        <f>'Manutenção Predial'!I120</f>
        <v>17459.55</v>
      </c>
      <c r="D8" s="6">
        <f t="shared" si="1"/>
        <v>209514.6</v>
      </c>
      <c r="E8" s="6">
        <f t="shared" si="2"/>
        <v>1047573</v>
      </c>
    </row>
    <row r="9">
      <c r="B9" s="7" t="s">
        <v>8</v>
      </c>
      <c r="C9" s="8">
        <f t="shared" ref="C9:E9" si="3">sum(C4:C8)</f>
        <v>89992.21</v>
      </c>
      <c r="D9" s="8">
        <f t="shared" si="3"/>
        <v>1079906.52</v>
      </c>
      <c r="E9" s="8">
        <f t="shared" si="3"/>
        <v>5399532.6</v>
      </c>
    </row>
    <row r="10">
      <c r="B10" s="9" t="s">
        <v>9</v>
      </c>
      <c r="C10" s="6">
        <f t="shared" ref="C10:E10" si="4">round(C8/2,2)</f>
        <v>8729.78</v>
      </c>
      <c r="D10" s="6">
        <f t="shared" si="4"/>
        <v>104757.3</v>
      </c>
      <c r="E10" s="6">
        <f t="shared" si="4"/>
        <v>523786.5</v>
      </c>
    </row>
    <row r="11">
      <c r="B11" s="9" t="s">
        <v>10</v>
      </c>
      <c r="C11" s="4">
        <f t="shared" ref="C11:E11" si="5">C9+C10</f>
        <v>98721.99</v>
      </c>
      <c r="D11" s="4">
        <f t="shared" si="5"/>
        <v>1184663.82</v>
      </c>
      <c r="E11" s="4">
        <f t="shared" si="5"/>
        <v>5923319.1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25"/>
    <col customWidth="1" min="2" max="2" width="3.63"/>
    <col customWidth="1" min="3" max="3" width="11.75"/>
    <col customWidth="1" min="4" max="4" width="11.88"/>
    <col customWidth="1" min="5" max="5" width="12.38"/>
    <col customWidth="1" min="6" max="6" width="5.88"/>
    <col customWidth="1" min="7" max="7" width="7.5"/>
    <col customWidth="1" min="8" max="8" width="7.63"/>
    <col customWidth="1" min="9" max="9" width="12.38"/>
  </cols>
  <sheetData>
    <row r="1">
      <c r="A1" s="10" t="s">
        <v>11</v>
      </c>
    </row>
    <row r="2">
      <c r="A2" s="11" t="s">
        <v>263</v>
      </c>
    </row>
    <row r="3">
      <c r="A3" s="12" t="s">
        <v>13</v>
      </c>
      <c r="B3" s="13"/>
      <c r="C3" s="13"/>
      <c r="D3" s="13"/>
      <c r="E3" s="13"/>
      <c r="F3" s="13"/>
      <c r="G3" s="13"/>
      <c r="H3" s="13"/>
      <c r="I3" s="14"/>
    </row>
    <row r="4">
      <c r="A4" s="15"/>
      <c r="B4" s="15"/>
      <c r="C4" s="15"/>
      <c r="D4" s="16" t="s">
        <v>14</v>
      </c>
      <c r="E4" s="17"/>
      <c r="F4" s="17"/>
      <c r="G4" s="17"/>
      <c r="H4" s="18"/>
      <c r="I4" s="19" t="s">
        <v>264</v>
      </c>
    </row>
    <row r="5">
      <c r="A5" s="15"/>
      <c r="B5" s="15"/>
      <c r="C5" s="15"/>
      <c r="D5" s="20" t="s">
        <v>16</v>
      </c>
      <c r="E5" s="21"/>
      <c r="F5" s="21"/>
      <c r="G5" s="21"/>
      <c r="H5" s="22"/>
      <c r="I5" s="23" t="s">
        <v>17</v>
      </c>
    </row>
    <row r="6">
      <c r="A6" s="15"/>
      <c r="B6" s="15"/>
      <c r="C6" s="15"/>
      <c r="D6" s="20" t="s">
        <v>18</v>
      </c>
      <c r="E6" s="21"/>
      <c r="F6" s="21"/>
      <c r="G6" s="21"/>
      <c r="H6" s="22"/>
      <c r="I6" s="23" t="s">
        <v>19</v>
      </c>
    </row>
    <row r="7">
      <c r="A7" s="15"/>
      <c r="B7" s="15"/>
      <c r="C7" s="15"/>
      <c r="D7" s="20" t="s">
        <v>20</v>
      </c>
      <c r="E7" s="21"/>
      <c r="F7" s="21"/>
      <c r="G7" s="21"/>
      <c r="H7" s="22"/>
      <c r="I7" s="24" t="s">
        <v>21</v>
      </c>
    </row>
    <row r="8">
      <c r="A8" s="15"/>
      <c r="B8" s="15"/>
      <c r="C8" s="15"/>
      <c r="D8" s="20" t="s">
        <v>22</v>
      </c>
      <c r="E8" s="21"/>
      <c r="F8" s="21"/>
      <c r="G8" s="21"/>
      <c r="H8" s="22"/>
      <c r="I8" s="24" t="s">
        <v>23</v>
      </c>
    </row>
    <row r="9">
      <c r="A9" s="15"/>
      <c r="B9" s="15"/>
      <c r="C9" s="15"/>
      <c r="D9" s="20" t="s">
        <v>24</v>
      </c>
      <c r="E9" s="21"/>
      <c r="F9" s="21"/>
      <c r="G9" s="21"/>
      <c r="H9" s="22"/>
      <c r="I9" s="25" t="s">
        <v>25</v>
      </c>
    </row>
    <row r="10" ht="7.5" customHeight="1">
      <c r="A10" s="26"/>
      <c r="B10" s="26"/>
      <c r="C10" s="26"/>
      <c r="D10" s="26"/>
      <c r="E10" s="26"/>
      <c r="F10" s="27"/>
      <c r="G10" s="27"/>
      <c r="H10" s="27"/>
      <c r="I10" s="27"/>
    </row>
    <row r="11">
      <c r="A11" s="28"/>
      <c r="B11" s="15"/>
      <c r="C11" s="15"/>
      <c r="D11" s="29" t="s">
        <v>26</v>
      </c>
      <c r="E11" s="30" t="s">
        <v>27</v>
      </c>
      <c r="F11" s="31" t="s">
        <v>28</v>
      </c>
      <c r="G11" s="21"/>
      <c r="H11" s="22"/>
      <c r="I11" s="32">
        <v>3.0</v>
      </c>
    </row>
    <row r="12">
      <c r="A12" s="28"/>
      <c r="B12" s="15"/>
      <c r="C12" s="15"/>
      <c r="D12" s="33"/>
      <c r="E12" s="30" t="s">
        <v>29</v>
      </c>
      <c r="F12" s="31" t="s">
        <v>30</v>
      </c>
      <c r="G12" s="21"/>
      <c r="H12" s="22"/>
      <c r="I12" s="32">
        <v>30.0</v>
      </c>
    </row>
    <row r="13">
      <c r="A13" s="28"/>
      <c r="B13" s="15"/>
      <c r="C13" s="15"/>
      <c r="D13" s="33"/>
      <c r="E13" s="30" t="s">
        <v>31</v>
      </c>
      <c r="F13" s="31" t="s">
        <v>32</v>
      </c>
      <c r="G13" s="21"/>
      <c r="H13" s="22"/>
      <c r="I13" s="34">
        <v>1653.58</v>
      </c>
    </row>
    <row r="14">
      <c r="A14" s="28"/>
      <c r="B14" s="15"/>
      <c r="C14" s="15"/>
      <c r="D14" s="35"/>
      <c r="E14" s="30" t="s">
        <v>33</v>
      </c>
      <c r="F14" s="36" t="s">
        <v>265</v>
      </c>
      <c r="G14" s="21"/>
      <c r="H14" s="22"/>
      <c r="I14" s="30">
        <f>ROUND((365.25/7*5)-10,2)</f>
        <v>250.89</v>
      </c>
    </row>
    <row r="15">
      <c r="A15" s="37"/>
      <c r="B15" s="37"/>
      <c r="C15" s="37"/>
      <c r="D15" s="37"/>
      <c r="E15" s="37"/>
      <c r="F15" s="38"/>
      <c r="G15" s="38"/>
      <c r="H15" s="38"/>
      <c r="I15" s="38"/>
    </row>
    <row r="16">
      <c r="A16" s="39" t="s">
        <v>35</v>
      </c>
      <c r="B16" s="40"/>
      <c r="C16" s="40"/>
      <c r="D16" s="40"/>
      <c r="E16" s="40"/>
      <c r="F16" s="40"/>
      <c r="G16" s="40"/>
      <c r="H16" s="40"/>
      <c r="I16" s="40"/>
    </row>
    <row r="17">
      <c r="A17" s="41"/>
      <c r="B17" s="42" t="s">
        <v>36</v>
      </c>
      <c r="C17" s="43" t="s">
        <v>183</v>
      </c>
      <c r="H17" s="44"/>
      <c r="I17" s="45">
        <f>ROUND(I13/44*I12,2)</f>
        <v>1127.44</v>
      </c>
    </row>
    <row r="18">
      <c r="A18" s="41"/>
      <c r="B18" s="46"/>
      <c r="C18" s="47" t="s">
        <v>38</v>
      </c>
      <c r="D18" s="17"/>
      <c r="E18" s="17"/>
      <c r="F18" s="17"/>
      <c r="G18" s="17"/>
      <c r="H18" s="18"/>
      <c r="I18" s="18"/>
    </row>
    <row r="19">
      <c r="A19" s="41"/>
      <c r="B19" s="48" t="s">
        <v>39</v>
      </c>
      <c r="C19" s="43" t="s">
        <v>266</v>
      </c>
      <c r="H19" s="44"/>
      <c r="I19" s="50">
        <f>ROUND(I17*0.4,2)</f>
        <v>450.98</v>
      </c>
    </row>
    <row r="20">
      <c r="A20" s="41"/>
      <c r="B20" s="46"/>
      <c r="C20" s="47" t="s">
        <v>196</v>
      </c>
      <c r="D20" s="17"/>
      <c r="E20" s="17"/>
      <c r="F20" s="17"/>
      <c r="G20" s="17"/>
      <c r="H20" s="18"/>
      <c r="I20" s="18"/>
    </row>
    <row r="21">
      <c r="A21" s="52"/>
      <c r="B21" s="53" t="s">
        <v>45</v>
      </c>
      <c r="I21" s="54">
        <f>SUM(I17:I20)</f>
        <v>1578.42</v>
      </c>
    </row>
    <row r="22">
      <c r="A22" s="37"/>
      <c r="B22" s="37"/>
      <c r="C22" s="37"/>
      <c r="D22" s="37"/>
      <c r="E22" s="37"/>
      <c r="F22" s="38"/>
      <c r="G22" s="38"/>
      <c r="H22" s="38"/>
      <c r="I22" s="38"/>
    </row>
    <row r="23">
      <c r="A23" s="39" t="s">
        <v>46</v>
      </c>
      <c r="B23" s="40"/>
      <c r="C23" s="40"/>
      <c r="D23" s="40"/>
      <c r="E23" s="40"/>
      <c r="F23" s="40"/>
      <c r="G23" s="40"/>
      <c r="H23" s="40"/>
      <c r="I23" s="40"/>
    </row>
    <row r="24">
      <c r="A24" s="37"/>
      <c r="B24" s="37"/>
      <c r="C24" s="37"/>
      <c r="D24" s="37"/>
      <c r="E24" s="37"/>
      <c r="F24" s="38"/>
      <c r="G24" s="38"/>
      <c r="H24" s="38"/>
      <c r="I24" s="38"/>
    </row>
    <row r="25">
      <c r="A25" s="55"/>
      <c r="B25" s="56" t="s">
        <v>47</v>
      </c>
      <c r="C25" s="57"/>
      <c r="D25" s="57"/>
      <c r="E25" s="57"/>
      <c r="F25" s="57"/>
      <c r="G25" s="57"/>
      <c r="H25" s="57"/>
      <c r="I25" s="57"/>
    </row>
    <row r="26">
      <c r="A26" s="58"/>
      <c r="B26" s="59" t="s">
        <v>48</v>
      </c>
      <c r="C26" s="60" t="s">
        <v>49</v>
      </c>
      <c r="D26" s="61"/>
      <c r="E26" s="62" t="s">
        <v>50</v>
      </c>
      <c r="F26" s="17"/>
      <c r="G26" s="17"/>
      <c r="H26" s="17"/>
      <c r="I26" s="63">
        <v>8.65</v>
      </c>
    </row>
    <row r="27">
      <c r="A27" s="58"/>
      <c r="B27" s="33"/>
      <c r="E27" s="64" t="s">
        <v>51</v>
      </c>
      <c r="F27" s="21"/>
      <c r="G27" s="21"/>
      <c r="H27" s="21"/>
      <c r="I27" s="65">
        <v>2.0</v>
      </c>
    </row>
    <row r="28">
      <c r="A28" s="58"/>
      <c r="B28" s="35"/>
      <c r="C28" s="66" t="s">
        <v>52</v>
      </c>
      <c r="D28" s="17"/>
      <c r="E28" s="17"/>
      <c r="F28" s="17"/>
      <c r="G28" s="67"/>
      <c r="H28" s="68" t="s">
        <v>53</v>
      </c>
      <c r="I28" s="69">
        <f>ROUND(((I26*I27*I14/12)-(I17*0.06)),2)</f>
        <v>294.05</v>
      </c>
    </row>
    <row r="29">
      <c r="A29" s="58"/>
      <c r="B29" s="59" t="s">
        <v>54</v>
      </c>
      <c r="C29" s="49" t="s">
        <v>55</v>
      </c>
      <c r="E29" s="37"/>
      <c r="F29" s="37"/>
      <c r="G29" s="70" t="s">
        <v>56</v>
      </c>
      <c r="I29" s="71">
        <v>12.71</v>
      </c>
    </row>
    <row r="30">
      <c r="A30" s="58"/>
      <c r="B30" s="35"/>
      <c r="C30" s="47" t="s">
        <v>57</v>
      </c>
      <c r="D30" s="17"/>
      <c r="E30" s="17"/>
      <c r="F30" s="17"/>
      <c r="G30" s="70" t="s">
        <v>58</v>
      </c>
      <c r="I30" s="72">
        <f>ROUND(I29*I14/12*0.81,2)</f>
        <v>215.24</v>
      </c>
    </row>
    <row r="31">
      <c r="A31" s="58"/>
      <c r="B31" s="59" t="s">
        <v>59</v>
      </c>
      <c r="C31" s="73" t="s">
        <v>60</v>
      </c>
      <c r="D31" s="61"/>
      <c r="E31" s="61"/>
      <c r="F31" s="61"/>
      <c r="G31" s="61"/>
      <c r="H31" s="74"/>
      <c r="I31" s="75">
        <v>24.1</v>
      </c>
    </row>
    <row r="32">
      <c r="A32" s="58"/>
      <c r="B32" s="35"/>
      <c r="C32" s="47" t="s">
        <v>61</v>
      </c>
      <c r="D32" s="17"/>
      <c r="E32" s="17"/>
      <c r="F32" s="17"/>
      <c r="G32" s="17"/>
      <c r="H32" s="18"/>
      <c r="I32" s="18"/>
    </row>
    <row r="33">
      <c r="A33" s="58"/>
      <c r="B33" s="53" t="s">
        <v>45</v>
      </c>
      <c r="I33" s="54">
        <f>SUM(I28,I30,I31)</f>
        <v>533.39</v>
      </c>
    </row>
    <row r="34">
      <c r="A34" s="37"/>
      <c r="B34" s="37"/>
      <c r="C34" s="37"/>
      <c r="D34" s="37"/>
      <c r="E34" s="37"/>
      <c r="F34" s="38"/>
      <c r="G34" s="38"/>
      <c r="H34" s="38"/>
      <c r="I34" s="38"/>
    </row>
    <row r="35">
      <c r="A35" s="55"/>
      <c r="B35" s="76" t="s">
        <v>62</v>
      </c>
    </row>
    <row r="36">
      <c r="A36" s="58"/>
      <c r="B36" s="48" t="s">
        <v>63</v>
      </c>
      <c r="C36" s="77" t="s">
        <v>64</v>
      </c>
      <c r="D36" s="61"/>
      <c r="E36" s="61"/>
      <c r="F36" s="61"/>
      <c r="G36" s="61"/>
      <c r="H36" s="74"/>
      <c r="I36" s="78">
        <f>ROUND(I21/12,2)</f>
        <v>131.54</v>
      </c>
    </row>
    <row r="37">
      <c r="A37" s="58"/>
      <c r="B37" s="46"/>
      <c r="C37" s="79" t="s">
        <v>65</v>
      </c>
      <c r="D37" s="17"/>
      <c r="E37" s="17"/>
      <c r="F37" s="17"/>
      <c r="G37" s="17"/>
      <c r="H37" s="18"/>
      <c r="I37" s="18"/>
    </row>
    <row r="38">
      <c r="A38" s="58"/>
      <c r="B38" s="48" t="s">
        <v>66</v>
      </c>
      <c r="C38" s="77" t="s">
        <v>67</v>
      </c>
      <c r="D38" s="61"/>
      <c r="E38" s="61"/>
      <c r="F38" s="61"/>
      <c r="G38" s="61"/>
      <c r="H38" s="74"/>
      <c r="I38" s="78">
        <f>ROUND(I21/12,2)</f>
        <v>131.54</v>
      </c>
    </row>
    <row r="39">
      <c r="A39" s="58"/>
      <c r="B39" s="46"/>
      <c r="C39" s="79" t="s">
        <v>65</v>
      </c>
      <c r="D39" s="17"/>
      <c r="E39" s="17"/>
      <c r="F39" s="17"/>
      <c r="G39" s="17"/>
      <c r="H39" s="18"/>
      <c r="I39" s="18"/>
    </row>
    <row r="40">
      <c r="A40" s="58"/>
      <c r="B40" s="48" t="s">
        <v>68</v>
      </c>
      <c r="C40" s="77" t="s">
        <v>69</v>
      </c>
      <c r="D40" s="61"/>
      <c r="E40" s="61"/>
      <c r="F40" s="61"/>
      <c r="G40" s="61"/>
      <c r="H40" s="74"/>
      <c r="I40" s="78">
        <f>ROUND(I21/3/12,2)</f>
        <v>43.85</v>
      </c>
    </row>
    <row r="41">
      <c r="A41" s="58"/>
      <c r="B41" s="46"/>
      <c r="C41" s="79" t="s">
        <v>70</v>
      </c>
      <c r="D41" s="17"/>
      <c r="E41" s="17"/>
      <c r="F41" s="17"/>
      <c r="G41" s="17"/>
      <c r="H41" s="18"/>
      <c r="I41" s="18"/>
    </row>
    <row r="42">
      <c r="A42" s="58"/>
      <c r="B42" s="53" t="s">
        <v>45</v>
      </c>
      <c r="I42" s="54">
        <f>SUM(I36:I41)</f>
        <v>306.93</v>
      </c>
    </row>
    <row r="43">
      <c r="A43" s="28"/>
      <c r="B43" s="28"/>
      <c r="C43" s="28"/>
      <c r="D43" s="28"/>
      <c r="E43" s="28"/>
      <c r="F43" s="28"/>
      <c r="G43" s="28"/>
      <c r="H43" s="28"/>
      <c r="I43" s="28"/>
    </row>
    <row r="44">
      <c r="A44" s="55"/>
      <c r="B44" s="28" t="s">
        <v>71</v>
      </c>
    </row>
    <row r="45">
      <c r="A45" s="80"/>
      <c r="B45" s="81" t="s">
        <v>72</v>
      </c>
      <c r="C45" s="20" t="s">
        <v>73</v>
      </c>
      <c r="D45" s="21"/>
      <c r="E45" s="21"/>
      <c r="F45" s="21"/>
      <c r="G45" s="22"/>
      <c r="H45" s="82">
        <v>0.2</v>
      </c>
      <c r="I45" s="83">
        <f t="shared" ref="I45:I52" si="1">ROUND((I$21+I$42)*$H45,2)</f>
        <v>377.07</v>
      </c>
    </row>
    <row r="46">
      <c r="A46" s="80"/>
      <c r="B46" s="81" t="s">
        <v>74</v>
      </c>
      <c r="C46" s="20" t="s">
        <v>75</v>
      </c>
      <c r="D46" s="21"/>
      <c r="E46" s="21"/>
      <c r="F46" s="21"/>
      <c r="G46" s="22"/>
      <c r="H46" s="82">
        <v>0.015</v>
      </c>
      <c r="I46" s="83">
        <f t="shared" si="1"/>
        <v>28.28</v>
      </c>
    </row>
    <row r="47">
      <c r="A47" s="80"/>
      <c r="B47" s="81" t="s">
        <v>76</v>
      </c>
      <c r="C47" s="20" t="s">
        <v>77</v>
      </c>
      <c r="D47" s="21"/>
      <c r="E47" s="21"/>
      <c r="F47" s="21"/>
      <c r="G47" s="22"/>
      <c r="H47" s="82">
        <v>0.01</v>
      </c>
      <c r="I47" s="83">
        <f t="shared" si="1"/>
        <v>18.85</v>
      </c>
    </row>
    <row r="48">
      <c r="A48" s="80"/>
      <c r="B48" s="81" t="s">
        <v>78</v>
      </c>
      <c r="C48" s="20" t="s">
        <v>79</v>
      </c>
      <c r="D48" s="21"/>
      <c r="E48" s="21"/>
      <c r="F48" s="21"/>
      <c r="G48" s="22"/>
      <c r="H48" s="82">
        <v>0.002</v>
      </c>
      <c r="I48" s="83">
        <f t="shared" si="1"/>
        <v>3.77</v>
      </c>
    </row>
    <row r="49">
      <c r="A49" s="80"/>
      <c r="B49" s="81" t="s">
        <v>80</v>
      </c>
      <c r="C49" s="20" t="s">
        <v>81</v>
      </c>
      <c r="D49" s="21"/>
      <c r="E49" s="21"/>
      <c r="F49" s="21"/>
      <c r="G49" s="22"/>
      <c r="H49" s="82">
        <v>0.025</v>
      </c>
      <c r="I49" s="83">
        <f t="shared" si="1"/>
        <v>47.13</v>
      </c>
    </row>
    <row r="50">
      <c r="A50" s="80"/>
      <c r="B50" s="84" t="s">
        <v>82</v>
      </c>
      <c r="C50" s="20" t="s">
        <v>83</v>
      </c>
      <c r="D50" s="21"/>
      <c r="E50" s="21"/>
      <c r="F50" s="21"/>
      <c r="G50" s="22"/>
      <c r="H50" s="82">
        <v>0.006</v>
      </c>
      <c r="I50" s="83">
        <f t="shared" si="1"/>
        <v>11.31</v>
      </c>
    </row>
    <row r="51">
      <c r="A51" s="80"/>
      <c r="B51" s="84" t="s">
        <v>84</v>
      </c>
      <c r="C51" s="20" t="s">
        <v>85</v>
      </c>
      <c r="D51" s="21"/>
      <c r="E51" s="21"/>
      <c r="F51" s="21"/>
      <c r="G51" s="22"/>
      <c r="H51" s="82">
        <v>0.08</v>
      </c>
      <c r="I51" s="83">
        <f t="shared" si="1"/>
        <v>150.83</v>
      </c>
    </row>
    <row r="52">
      <c r="A52" s="80"/>
      <c r="B52" s="81" t="s">
        <v>86</v>
      </c>
      <c r="C52" s="85" t="s">
        <v>267</v>
      </c>
      <c r="D52" s="21"/>
      <c r="E52" s="21"/>
      <c r="F52" s="21"/>
      <c r="G52" s="22"/>
      <c r="H52" s="86">
        <v>0.03</v>
      </c>
      <c r="I52" s="83">
        <f t="shared" si="1"/>
        <v>56.56</v>
      </c>
    </row>
    <row r="53">
      <c r="A53" s="80"/>
      <c r="B53" s="87" t="s">
        <v>88</v>
      </c>
      <c r="G53" s="88" t="s">
        <v>45</v>
      </c>
      <c r="H53" s="89">
        <f t="shared" ref="H53:I53" si="2">SUM(H45:H52)</f>
        <v>0.368</v>
      </c>
      <c r="I53" s="54">
        <f t="shared" si="2"/>
        <v>693.8</v>
      </c>
    </row>
    <row r="54">
      <c r="A54" s="90"/>
      <c r="B54" s="91"/>
      <c r="C54" s="91"/>
      <c r="D54" s="91"/>
      <c r="E54" s="91"/>
      <c r="F54" s="91"/>
      <c r="G54" s="91"/>
      <c r="H54" s="91"/>
      <c r="I54" s="92"/>
    </row>
    <row r="55">
      <c r="A55" s="15"/>
      <c r="B55" s="93"/>
      <c r="C55" s="53"/>
      <c r="D55" s="53"/>
      <c r="E55" s="53"/>
      <c r="F55" s="53"/>
      <c r="G55" s="94" t="s">
        <v>89</v>
      </c>
      <c r="I55" s="54">
        <f>I33+I42+I53</f>
        <v>1534.12</v>
      </c>
    </row>
    <row r="56" ht="15.75" customHeight="1">
      <c r="A56" s="28"/>
      <c r="B56" s="28"/>
      <c r="C56" s="28"/>
      <c r="D56" s="28"/>
      <c r="E56" s="28"/>
      <c r="F56" s="28"/>
      <c r="G56" s="28"/>
      <c r="H56" s="28"/>
      <c r="I56" s="28"/>
    </row>
    <row r="57">
      <c r="A57" s="39" t="s">
        <v>90</v>
      </c>
      <c r="B57" s="40"/>
      <c r="C57" s="40"/>
      <c r="D57" s="40"/>
      <c r="E57" s="40"/>
      <c r="F57" s="40"/>
      <c r="G57" s="40"/>
      <c r="H57" s="40"/>
      <c r="I57" s="40"/>
    </row>
    <row r="58">
      <c r="A58" s="58"/>
      <c r="B58" s="95">
        <v>43833.0</v>
      </c>
      <c r="C58" s="96" t="s">
        <v>91</v>
      </c>
      <c r="D58" s="97" t="s">
        <v>92</v>
      </c>
      <c r="E58" s="96" t="s">
        <v>93</v>
      </c>
      <c r="F58" s="98" t="s">
        <v>91</v>
      </c>
      <c r="G58" s="99"/>
      <c r="H58" s="100"/>
      <c r="I58" s="101">
        <f>round(((I$21/30*30*$D$64)+(I$21/30*(30+3)*(1-$D$64)))/12*$D$64*$E$61,2)</f>
        <v>13.81</v>
      </c>
    </row>
    <row r="59">
      <c r="A59" s="58"/>
      <c r="B59" s="102"/>
      <c r="C59" s="103"/>
      <c r="D59" s="33"/>
      <c r="E59" s="103"/>
      <c r="F59" s="104" t="s">
        <v>94</v>
      </c>
      <c r="G59" s="57"/>
      <c r="H59" s="105"/>
      <c r="I59" s="105"/>
    </row>
    <row r="60">
      <c r="A60" s="58"/>
      <c r="B60" s="102"/>
      <c r="C60" s="103"/>
      <c r="D60" s="33"/>
      <c r="E60" s="103"/>
      <c r="F60" s="106" t="s">
        <v>95</v>
      </c>
      <c r="H60" s="107"/>
      <c r="I60" s="108">
        <f>ROUND(I58*0.08,2)</f>
        <v>1.1</v>
      </c>
    </row>
    <row r="61">
      <c r="A61" s="58"/>
      <c r="B61" s="102"/>
      <c r="C61" s="103"/>
      <c r="D61" s="33"/>
      <c r="E61" s="109">
        <v>0.2</v>
      </c>
      <c r="F61" s="110" t="s">
        <v>96</v>
      </c>
      <c r="H61" s="107"/>
      <c r="I61" s="105"/>
    </row>
    <row r="62">
      <c r="A62" s="15"/>
      <c r="B62" s="102"/>
      <c r="C62" s="103"/>
      <c r="D62" s="33"/>
      <c r="E62" s="103"/>
      <c r="F62" s="111" t="s">
        <v>97</v>
      </c>
      <c r="G62" s="99"/>
      <c r="H62" s="100"/>
      <c r="I62" s="112">
        <f>ROUND(I$21*0.08*0.4*$D$64*$E$61,2)</f>
        <v>5.05</v>
      </c>
    </row>
    <row r="63">
      <c r="A63" s="15"/>
      <c r="B63" s="113"/>
      <c r="C63" s="114"/>
      <c r="D63" s="33"/>
      <c r="E63" s="114"/>
      <c r="F63" s="115" t="s">
        <v>98</v>
      </c>
      <c r="H63" s="107"/>
      <c r="I63" s="113"/>
    </row>
    <row r="64">
      <c r="A64" s="58"/>
      <c r="B64" s="95">
        <v>43864.0</v>
      </c>
      <c r="C64" s="96" t="s">
        <v>99</v>
      </c>
      <c r="D64" s="116">
        <v>0.5</v>
      </c>
      <c r="E64" s="96" t="s">
        <v>93</v>
      </c>
      <c r="F64" s="73" t="s">
        <v>100</v>
      </c>
      <c r="G64" s="61"/>
      <c r="H64" s="74"/>
      <c r="I64" s="101">
        <f>ROUND(((I$21/30*7*$D$64)+(I$21/30*(7+3)*(1-$D$64)))/12*$D$64*$E$67,2)</f>
        <v>14.91</v>
      </c>
    </row>
    <row r="65">
      <c r="A65" s="58"/>
      <c r="B65" s="102"/>
      <c r="C65" s="103"/>
      <c r="D65" s="33"/>
      <c r="E65" s="103"/>
      <c r="F65" s="117" t="s">
        <v>101</v>
      </c>
      <c r="G65" s="17"/>
      <c r="H65" s="18"/>
      <c r="I65" s="105"/>
    </row>
    <row r="66">
      <c r="A66" s="58"/>
      <c r="B66" s="102"/>
      <c r="C66" s="103"/>
      <c r="D66" s="33"/>
      <c r="E66" s="103"/>
      <c r="F66" s="106" t="s">
        <v>102</v>
      </c>
      <c r="H66" s="107"/>
      <c r="I66" s="118">
        <f>ROUND($H$53*I64,2)</f>
        <v>5.49</v>
      </c>
    </row>
    <row r="67">
      <c r="A67" s="58"/>
      <c r="B67" s="102"/>
      <c r="C67" s="103"/>
      <c r="D67" s="33"/>
      <c r="E67" s="109">
        <v>0.8</v>
      </c>
      <c r="F67" s="77" t="s">
        <v>97</v>
      </c>
      <c r="G67" s="61"/>
      <c r="H67" s="74"/>
      <c r="I67" s="101">
        <f>ROUND(I$21*0.08*0.4*$D$64*$E$67,2)</f>
        <v>20.2</v>
      </c>
    </row>
    <row r="68">
      <c r="A68" s="58"/>
      <c r="B68" s="113"/>
      <c r="C68" s="114"/>
      <c r="D68" s="35"/>
      <c r="E68" s="114"/>
      <c r="F68" s="119" t="s">
        <v>98</v>
      </c>
      <c r="G68" s="17"/>
      <c r="H68" s="18"/>
      <c r="I68" s="105"/>
    </row>
    <row r="69">
      <c r="A69" s="15"/>
      <c r="B69" s="53" t="s">
        <v>45</v>
      </c>
      <c r="H69" s="44"/>
      <c r="I69" s="54">
        <f>SUM(I58:I68)</f>
        <v>60.56</v>
      </c>
    </row>
    <row r="70">
      <c r="A70" s="37"/>
      <c r="B70" s="37"/>
    </row>
    <row r="71">
      <c r="A71" s="39" t="s">
        <v>103</v>
      </c>
      <c r="B71" s="40"/>
      <c r="C71" s="40"/>
      <c r="D71" s="40"/>
      <c r="E71" s="40"/>
      <c r="F71" s="40"/>
      <c r="G71" s="40"/>
      <c r="H71" s="40"/>
      <c r="I71" s="40"/>
    </row>
    <row r="72">
      <c r="A72" s="120"/>
      <c r="B72" s="120"/>
      <c r="C72" s="121" t="s">
        <v>104</v>
      </c>
      <c r="D72" s="99"/>
      <c r="E72" s="99"/>
      <c r="F72" s="99"/>
      <c r="G72" s="99"/>
      <c r="H72" s="100"/>
      <c r="I72" s="122">
        <f>(I21+I55+I69)/(I14/12)</f>
        <v>151.7685041</v>
      </c>
    </row>
    <row r="73">
      <c r="A73" s="120"/>
      <c r="B73" s="120"/>
      <c r="C73" s="123" t="s">
        <v>105</v>
      </c>
      <c r="D73" s="57"/>
      <c r="E73" s="57"/>
      <c r="F73" s="57"/>
      <c r="G73" s="57"/>
      <c r="H73" s="105"/>
      <c r="I73" s="113"/>
    </row>
    <row r="74">
      <c r="A74" s="120"/>
      <c r="B74" s="120"/>
      <c r="C74" s="124" t="s">
        <v>106</v>
      </c>
      <c r="D74" s="125"/>
      <c r="E74" s="126" t="s">
        <v>107</v>
      </c>
      <c r="F74" s="127" t="s">
        <v>108</v>
      </c>
      <c r="G74" s="126" t="s">
        <v>109</v>
      </c>
      <c r="H74" s="126" t="s">
        <v>268</v>
      </c>
      <c r="I74" s="128" t="s">
        <v>269</v>
      </c>
    </row>
    <row r="75">
      <c r="A75" s="58"/>
      <c r="B75" s="120"/>
      <c r="C75" s="129" t="s">
        <v>67</v>
      </c>
      <c r="D75" s="125"/>
      <c r="E75" s="130">
        <v>1.0</v>
      </c>
      <c r="F75" s="131">
        <v>30.0</v>
      </c>
      <c r="G75" s="132">
        <f t="shared" ref="G75:G77" si="3">I$14/365.25</f>
        <v>0.686899384</v>
      </c>
      <c r="H75" s="133">
        <f t="shared" ref="H75:H86" si="4">ROUNDUP(E75*F75*G75/12,2)</f>
        <v>1.72</v>
      </c>
      <c r="I75" s="134">
        <f t="shared" ref="I75:I86" si="5">ROUND($H75*I$72,2)</f>
        <v>261.04</v>
      </c>
    </row>
    <row r="76">
      <c r="A76" s="58"/>
      <c r="B76" s="120"/>
      <c r="C76" s="129" t="s">
        <v>112</v>
      </c>
      <c r="D76" s="125"/>
      <c r="E76" s="135">
        <v>0.0625</v>
      </c>
      <c r="F76" s="131">
        <v>15.0</v>
      </c>
      <c r="G76" s="132">
        <f t="shared" si="3"/>
        <v>0.686899384</v>
      </c>
      <c r="H76" s="133">
        <f t="shared" si="4"/>
        <v>0.06</v>
      </c>
      <c r="I76" s="134">
        <f t="shared" si="5"/>
        <v>9.11</v>
      </c>
    </row>
    <row r="77">
      <c r="A77" s="58"/>
      <c r="B77" s="120"/>
      <c r="C77" s="129" t="s">
        <v>113</v>
      </c>
      <c r="D77" s="125"/>
      <c r="E77" s="135">
        <v>1.0</v>
      </c>
      <c r="F77" s="131">
        <v>5.0</v>
      </c>
      <c r="G77" s="132">
        <f t="shared" si="3"/>
        <v>0.686899384</v>
      </c>
      <c r="H77" s="133">
        <f t="shared" si="4"/>
        <v>0.29</v>
      </c>
      <c r="I77" s="134">
        <f t="shared" si="5"/>
        <v>44.01</v>
      </c>
    </row>
    <row r="78">
      <c r="A78" s="58"/>
      <c r="B78" s="120"/>
      <c r="C78" s="129" t="s">
        <v>114</v>
      </c>
      <c r="D78" s="125"/>
      <c r="E78" s="135">
        <v>0.25</v>
      </c>
      <c r="F78" s="131">
        <v>1.0</v>
      </c>
      <c r="G78" s="132">
        <v>1.0</v>
      </c>
      <c r="H78" s="133">
        <f t="shared" si="4"/>
        <v>0.03</v>
      </c>
      <c r="I78" s="134">
        <f t="shared" si="5"/>
        <v>4.55</v>
      </c>
    </row>
    <row r="79">
      <c r="A79" s="58"/>
      <c r="B79" s="120"/>
      <c r="C79" s="129" t="s">
        <v>115</v>
      </c>
      <c r="D79" s="125"/>
      <c r="E79" s="135">
        <v>0.25</v>
      </c>
      <c r="F79" s="131">
        <v>2.0</v>
      </c>
      <c r="G79" s="132">
        <f>I$14/365.25</f>
        <v>0.686899384</v>
      </c>
      <c r="H79" s="133">
        <f t="shared" si="4"/>
        <v>0.03</v>
      </c>
      <c r="I79" s="134">
        <f t="shared" si="5"/>
        <v>4.55</v>
      </c>
    </row>
    <row r="80">
      <c r="A80" s="58"/>
      <c r="B80" s="120"/>
      <c r="C80" s="129" t="s">
        <v>116</v>
      </c>
      <c r="D80" s="125"/>
      <c r="E80" s="135">
        <v>0.125</v>
      </c>
      <c r="F80" s="131">
        <v>3.0</v>
      </c>
      <c r="G80" s="132">
        <v>1.0</v>
      </c>
      <c r="H80" s="133">
        <f t="shared" si="4"/>
        <v>0.04</v>
      </c>
      <c r="I80" s="134">
        <f t="shared" si="5"/>
        <v>6.07</v>
      </c>
    </row>
    <row r="81">
      <c r="A81" s="58"/>
      <c r="B81" s="120"/>
      <c r="C81" s="129" t="s">
        <v>117</v>
      </c>
      <c r="D81" s="125"/>
      <c r="E81" s="135">
        <v>0.25</v>
      </c>
      <c r="F81" s="131">
        <v>1.0</v>
      </c>
      <c r="G81" s="132">
        <v>1.0</v>
      </c>
      <c r="H81" s="133">
        <f t="shared" si="4"/>
        <v>0.03</v>
      </c>
      <c r="I81" s="134">
        <f t="shared" si="5"/>
        <v>4.55</v>
      </c>
    </row>
    <row r="82">
      <c r="A82" s="58"/>
      <c r="B82" s="120"/>
      <c r="C82" s="129" t="s">
        <v>118</v>
      </c>
      <c r="D82" s="125"/>
      <c r="E82" s="135">
        <v>0.0625</v>
      </c>
      <c r="F82" s="131">
        <v>1.0</v>
      </c>
      <c r="G82" s="132">
        <v>1.0</v>
      </c>
      <c r="H82" s="133">
        <f t="shared" si="4"/>
        <v>0.01</v>
      </c>
      <c r="I82" s="134">
        <f t="shared" si="5"/>
        <v>1.52</v>
      </c>
    </row>
    <row r="83">
      <c r="A83" s="58"/>
      <c r="B83" s="120"/>
      <c r="C83" s="129" t="s">
        <v>119</v>
      </c>
      <c r="D83" s="125"/>
      <c r="E83" s="135">
        <v>0.2</v>
      </c>
      <c r="F83" s="136">
        <v>20.0</v>
      </c>
      <c r="G83" s="132">
        <f t="shared" ref="G83:G84" si="6">I$14/365.25</f>
        <v>0.686899384</v>
      </c>
      <c r="H83" s="133">
        <f t="shared" si="4"/>
        <v>0.23</v>
      </c>
      <c r="I83" s="134">
        <f t="shared" si="5"/>
        <v>34.91</v>
      </c>
    </row>
    <row r="84">
      <c r="A84" s="58"/>
      <c r="B84" s="120"/>
      <c r="C84" s="129" t="s">
        <v>120</v>
      </c>
      <c r="D84" s="125"/>
      <c r="E84" s="135">
        <v>0.01</v>
      </c>
      <c r="F84" s="131">
        <v>180.0</v>
      </c>
      <c r="G84" s="132">
        <f t="shared" si="6"/>
        <v>0.686899384</v>
      </c>
      <c r="H84" s="133">
        <f t="shared" si="4"/>
        <v>0.11</v>
      </c>
      <c r="I84" s="134">
        <f t="shared" si="5"/>
        <v>16.69</v>
      </c>
    </row>
    <row r="85">
      <c r="A85" s="58"/>
      <c r="B85" s="120"/>
      <c r="C85" s="129" t="s">
        <v>121</v>
      </c>
      <c r="D85" s="125"/>
      <c r="E85" s="135">
        <v>0.01</v>
      </c>
      <c r="F85" s="131">
        <v>6.0</v>
      </c>
      <c r="G85" s="132">
        <v>1.0</v>
      </c>
      <c r="H85" s="133">
        <f t="shared" si="4"/>
        <v>0.01</v>
      </c>
      <c r="I85" s="134">
        <f t="shared" si="5"/>
        <v>1.52</v>
      </c>
    </row>
    <row r="86">
      <c r="A86" s="58"/>
      <c r="B86" s="120"/>
      <c r="C86" s="129" t="s">
        <v>122</v>
      </c>
      <c r="D86" s="125"/>
      <c r="E86" s="137">
        <v>0.5</v>
      </c>
      <c r="F86" s="131">
        <v>1.0</v>
      </c>
      <c r="G86" s="132">
        <v>1.0</v>
      </c>
      <c r="H86" s="133">
        <f t="shared" si="4"/>
        <v>0.05</v>
      </c>
      <c r="I86" s="134">
        <f t="shared" si="5"/>
        <v>7.59</v>
      </c>
    </row>
    <row r="87">
      <c r="A87" s="15"/>
      <c r="B87" s="15"/>
      <c r="C87" s="138"/>
      <c r="D87" s="138"/>
      <c r="E87" s="138"/>
      <c r="F87" s="138"/>
      <c r="G87" s="138"/>
      <c r="H87" s="139" t="s">
        <v>45</v>
      </c>
      <c r="I87" s="54">
        <f>SUM(I75:I86)</f>
        <v>396.11</v>
      </c>
    </row>
    <row r="88">
      <c r="A88" s="37"/>
      <c r="B88" s="140"/>
      <c r="C88" s="140"/>
      <c r="D88" s="140"/>
      <c r="E88" s="140"/>
      <c r="F88" s="140"/>
      <c r="G88" s="140"/>
      <c r="H88" s="140"/>
      <c r="I88" s="140"/>
    </row>
    <row r="89">
      <c r="A89" s="39" t="s">
        <v>123</v>
      </c>
      <c r="B89" s="40"/>
      <c r="C89" s="40"/>
      <c r="D89" s="40"/>
      <c r="E89" s="40"/>
      <c r="F89" s="40"/>
      <c r="G89" s="40"/>
      <c r="H89" s="40"/>
      <c r="I89" s="40"/>
    </row>
    <row r="90">
      <c r="A90" s="141"/>
      <c r="B90" s="141"/>
      <c r="C90" s="141"/>
      <c r="D90" s="141"/>
      <c r="E90" s="85" t="s">
        <v>124</v>
      </c>
      <c r="F90" s="21"/>
      <c r="G90" s="21"/>
      <c r="H90" s="22"/>
      <c r="I90" s="134">
        <f>'Insumos_Manutenção Predial'!H25/I11</f>
        <v>168.5876389</v>
      </c>
    </row>
    <row r="91">
      <c r="A91" s="141"/>
      <c r="B91" s="141"/>
      <c r="C91" s="141"/>
      <c r="D91" s="141"/>
      <c r="E91" s="20" t="s">
        <v>125</v>
      </c>
      <c r="F91" s="21"/>
      <c r="G91" s="21"/>
      <c r="H91" s="22"/>
      <c r="I91" s="134">
        <f>'Insumos_Manutenção Predial'!H97/I11</f>
        <v>123.7615185</v>
      </c>
    </row>
    <row r="92">
      <c r="A92" s="141"/>
      <c r="B92" s="141"/>
      <c r="C92" s="141"/>
      <c r="D92" s="141"/>
      <c r="E92" s="20" t="s">
        <v>126</v>
      </c>
      <c r="F92" s="21"/>
      <c r="G92" s="21"/>
      <c r="H92" s="22"/>
      <c r="I92" s="142">
        <v>0.0</v>
      </c>
    </row>
    <row r="93">
      <c r="A93" s="15"/>
      <c r="B93" s="15"/>
      <c r="H93" s="143" t="s">
        <v>45</v>
      </c>
      <c r="I93" s="54">
        <f>sum(I90:I92)</f>
        <v>292.3491574</v>
      </c>
    </row>
    <row r="94">
      <c r="A94" s="144"/>
      <c r="B94" s="144"/>
      <c r="C94" s="144"/>
      <c r="D94" s="144"/>
      <c r="E94" s="144"/>
      <c r="F94" s="144"/>
      <c r="G94" s="144"/>
      <c r="H94" s="144"/>
      <c r="I94" s="144"/>
    </row>
    <row r="95">
      <c r="A95" s="39" t="s">
        <v>127</v>
      </c>
      <c r="B95" s="40"/>
      <c r="C95" s="40"/>
      <c r="D95" s="40"/>
      <c r="E95" s="40"/>
      <c r="F95" s="40"/>
      <c r="G95" s="40"/>
      <c r="H95" s="40"/>
      <c r="I95" s="40"/>
    </row>
    <row r="96">
      <c r="A96" s="58"/>
      <c r="B96" s="145">
        <v>43836.0</v>
      </c>
      <c r="C96" s="146" t="s">
        <v>128</v>
      </c>
      <c r="D96" s="61"/>
      <c r="E96" s="61"/>
      <c r="F96" s="61"/>
      <c r="G96" s="147" t="s">
        <v>129</v>
      </c>
      <c r="H96" s="61"/>
      <c r="I96" s="148">
        <f>SUM(I21+I55+I69+I87+I93)</f>
        <v>3861.559157</v>
      </c>
    </row>
    <row r="97">
      <c r="A97" s="58"/>
      <c r="B97" s="103"/>
      <c r="C97" s="149" t="s">
        <v>130</v>
      </c>
      <c r="G97" s="70" t="s">
        <v>131</v>
      </c>
      <c r="I97" s="150">
        <v>0.15</v>
      </c>
    </row>
    <row r="98">
      <c r="A98" s="58"/>
      <c r="B98" s="114"/>
      <c r="C98" s="151"/>
      <c r="D98" s="17"/>
      <c r="E98" s="17"/>
      <c r="F98" s="17"/>
      <c r="G98" s="70" t="s">
        <v>132</v>
      </c>
      <c r="I98" s="152">
        <f>ROUND(I97*I96,2)</f>
        <v>579.23</v>
      </c>
    </row>
    <row r="99">
      <c r="A99" s="58"/>
      <c r="B99" s="145">
        <v>43867.0</v>
      </c>
      <c r="C99" s="146" t="s">
        <v>133</v>
      </c>
      <c r="D99" s="61"/>
      <c r="E99" s="61"/>
      <c r="F99" s="61"/>
      <c r="G99" s="147" t="s">
        <v>129</v>
      </c>
      <c r="H99" s="61"/>
      <c r="I99" s="148">
        <f>SUM(I21+I55+I69+I87+I93+I98)</f>
        <v>4440.789157</v>
      </c>
    </row>
    <row r="100">
      <c r="A100" s="58"/>
      <c r="B100" s="103"/>
      <c r="C100" s="149" t="s">
        <v>134</v>
      </c>
      <c r="G100" s="70" t="s">
        <v>131</v>
      </c>
      <c r="I100" s="150">
        <v>0.15</v>
      </c>
    </row>
    <row r="101">
      <c r="A101" s="58"/>
      <c r="B101" s="114"/>
      <c r="C101" s="151"/>
      <c r="D101" s="17"/>
      <c r="E101" s="17"/>
      <c r="F101" s="17"/>
      <c r="G101" s="70" t="s">
        <v>132</v>
      </c>
      <c r="I101" s="148">
        <f>ROUND(I100*I99,2)</f>
        <v>666.12</v>
      </c>
    </row>
    <row r="102">
      <c r="A102" s="58"/>
      <c r="B102" s="145">
        <v>43896.0</v>
      </c>
      <c r="C102" s="146" t="s">
        <v>135</v>
      </c>
      <c r="D102" s="153"/>
      <c r="E102" s="153"/>
      <c r="F102" s="153"/>
      <c r="G102" s="154"/>
      <c r="H102" s="154"/>
      <c r="I102" s="155">
        <f>SUM(I21+I55+I69+I87+I93+I98+I101)</f>
        <v>5106.909157</v>
      </c>
    </row>
    <row r="103">
      <c r="A103" s="58"/>
      <c r="B103" s="103"/>
      <c r="C103" s="156" t="s">
        <v>136</v>
      </c>
      <c r="H103" s="157">
        <f t="shared" ref="H103:I103" si="7">SUM(H104:H106)</f>
        <v>0.1225</v>
      </c>
      <c r="I103" s="158">
        <f t="shared" si="7"/>
        <v>712.94</v>
      </c>
    </row>
    <row r="104">
      <c r="A104" s="159"/>
      <c r="B104" s="103"/>
      <c r="C104" s="160"/>
      <c r="D104" s="161" t="s">
        <v>137</v>
      </c>
      <c r="E104" s="74"/>
      <c r="F104" s="162" t="s">
        <v>138</v>
      </c>
      <c r="G104" s="22"/>
      <c r="H104" s="163">
        <v>0.0165</v>
      </c>
      <c r="I104" s="164">
        <f t="shared" ref="I104:I106" si="8">ROUND((I$102/(1-$H$103))*$H104,2)</f>
        <v>96.03</v>
      </c>
    </row>
    <row r="105">
      <c r="A105" s="159"/>
      <c r="B105" s="103"/>
      <c r="C105" s="160"/>
      <c r="D105" s="151"/>
      <c r="E105" s="18"/>
      <c r="F105" s="162" t="s">
        <v>139</v>
      </c>
      <c r="G105" s="22"/>
      <c r="H105" s="163">
        <v>0.076</v>
      </c>
      <c r="I105" s="83">
        <f t="shared" si="8"/>
        <v>442.31</v>
      </c>
    </row>
    <row r="106">
      <c r="A106" s="159"/>
      <c r="B106" s="114"/>
      <c r="C106" s="165"/>
      <c r="D106" s="166" t="s">
        <v>140</v>
      </c>
      <c r="E106" s="166"/>
      <c r="F106" s="162" t="s">
        <v>141</v>
      </c>
      <c r="G106" s="22"/>
      <c r="H106" s="163">
        <v>0.03</v>
      </c>
      <c r="I106" s="83">
        <f t="shared" si="8"/>
        <v>174.6</v>
      </c>
    </row>
    <row r="107">
      <c r="A107" s="15"/>
      <c r="B107" s="88" t="s">
        <v>45</v>
      </c>
      <c r="H107" s="167">
        <f>SUM(I97+I100+H104+H105+H106)</f>
        <v>0.4225</v>
      </c>
      <c r="I107" s="54">
        <f>SUM(I98+I101+I103)</f>
        <v>1958.29</v>
      </c>
    </row>
    <row r="108">
      <c r="A108" s="37"/>
      <c r="B108" s="37"/>
      <c r="C108" s="37"/>
      <c r="D108" s="37"/>
      <c r="E108" s="37"/>
      <c r="F108" s="38"/>
      <c r="G108" s="38"/>
      <c r="H108" s="38"/>
      <c r="I108" s="38"/>
    </row>
    <row r="109">
      <c r="A109" s="168" t="s">
        <v>142</v>
      </c>
      <c r="B109" s="13"/>
      <c r="C109" s="13"/>
      <c r="D109" s="13"/>
      <c r="E109" s="13"/>
      <c r="F109" s="13"/>
      <c r="G109" s="13"/>
      <c r="H109" s="13"/>
      <c r="I109" s="169"/>
    </row>
    <row r="110">
      <c r="A110" s="170"/>
      <c r="B110" s="170"/>
      <c r="C110" s="16" t="str">
        <f>A16</f>
        <v>MÓDULO 1 - COMPOSIÇÃO DA REMUNERAÇÃO</v>
      </c>
      <c r="D110" s="17"/>
      <c r="E110" s="17"/>
      <c r="F110" s="17"/>
      <c r="G110" s="17"/>
      <c r="H110" s="18"/>
      <c r="I110" s="164">
        <f>I21</f>
        <v>1578.42</v>
      </c>
    </row>
    <row r="111">
      <c r="A111" s="170"/>
      <c r="B111" s="170"/>
      <c r="C111" s="20" t="str">
        <f>A23</f>
        <v>MÓDULO 2 - BENEFÍCIOS E ENCARGOS</v>
      </c>
      <c r="D111" s="21"/>
      <c r="E111" s="21"/>
      <c r="F111" s="21"/>
      <c r="G111" s="21"/>
      <c r="H111" s="22"/>
      <c r="I111" s="83">
        <f>I55</f>
        <v>1534.12</v>
      </c>
    </row>
    <row r="112">
      <c r="A112" s="170"/>
      <c r="B112" s="170"/>
      <c r="C112" s="20" t="str">
        <f>A57</f>
        <v>MÓDULO 3 - PROVISÃO PARA RESCISÃO</v>
      </c>
      <c r="D112" s="21"/>
      <c r="E112" s="21"/>
      <c r="F112" s="21"/>
      <c r="G112" s="21"/>
      <c r="H112" s="22"/>
      <c r="I112" s="83">
        <f>I69</f>
        <v>60.56</v>
      </c>
    </row>
    <row r="113">
      <c r="A113" s="170"/>
      <c r="B113" s="170"/>
      <c r="C113" s="20" t="str">
        <f>A71</f>
        <v>MÓDULO 4 - CUSTO DE REPOSIÇÃO DO PROFISSIONAL AUSENTE</v>
      </c>
      <c r="D113" s="21"/>
      <c r="E113" s="21"/>
      <c r="F113" s="21"/>
      <c r="G113" s="21"/>
      <c r="H113" s="22"/>
      <c r="I113" s="83">
        <f>I87</f>
        <v>396.11</v>
      </c>
    </row>
    <row r="114">
      <c r="A114" s="170"/>
      <c r="B114" s="170"/>
      <c r="C114" s="20" t="str">
        <f>A89</f>
        <v>MÓDULO 5 - INSUMOS</v>
      </c>
      <c r="D114" s="21"/>
      <c r="E114" s="21"/>
      <c r="F114" s="21"/>
      <c r="G114" s="21"/>
      <c r="H114" s="22"/>
      <c r="I114" s="83">
        <f>I93</f>
        <v>292.3491574</v>
      </c>
    </row>
    <row r="115">
      <c r="A115" s="170"/>
      <c r="B115" s="170"/>
      <c r="C115" s="20" t="str">
        <f>A95</f>
        <v>MÓDULO 6 - CUSTOS INDIRETOS, LUCRO E TRIBUTOS</v>
      </c>
      <c r="D115" s="21"/>
      <c r="E115" s="21"/>
      <c r="F115" s="21"/>
      <c r="G115" s="21"/>
      <c r="H115" s="22"/>
      <c r="I115" s="83">
        <f>I107</f>
        <v>1958.29</v>
      </c>
    </row>
    <row r="116">
      <c r="A116" s="170"/>
      <c r="B116" s="171"/>
      <c r="C116" s="172" t="s">
        <v>143</v>
      </c>
      <c r="D116" s="61"/>
      <c r="E116" s="61"/>
      <c r="F116" s="61"/>
      <c r="G116" s="61"/>
      <c r="H116" s="74"/>
      <c r="I116" s="54">
        <f>SUM(I110:I115)</f>
        <v>5819.849157</v>
      </c>
    </row>
    <row r="117">
      <c r="A117" s="173"/>
      <c r="B117" s="173"/>
      <c r="C117" s="174" t="s">
        <v>144</v>
      </c>
      <c r="H117" s="44"/>
      <c r="I117" s="175">
        <f>I11</f>
        <v>3</v>
      </c>
    </row>
    <row r="118">
      <c r="A118" s="176"/>
      <c r="B118" s="176"/>
      <c r="C118" s="176"/>
      <c r="D118" s="176"/>
      <c r="E118" s="176"/>
      <c r="F118" s="176"/>
      <c r="G118" s="176"/>
      <c r="H118" s="176"/>
      <c r="I118" s="176"/>
    </row>
    <row r="119">
      <c r="A119" s="177" t="s">
        <v>145</v>
      </c>
      <c r="B119" s="13"/>
      <c r="C119" s="13"/>
      <c r="D119" s="13"/>
      <c r="E119" s="13"/>
      <c r="F119" s="13"/>
      <c r="G119" s="13"/>
      <c r="H119" s="13"/>
      <c r="I119" s="14"/>
    </row>
    <row r="120" ht="30.75" customHeight="1">
      <c r="A120" s="15"/>
      <c r="B120" s="15"/>
      <c r="C120" s="15"/>
      <c r="D120" s="15"/>
      <c r="E120" s="15"/>
      <c r="F120" s="15"/>
      <c r="G120" s="15"/>
      <c r="H120" s="178"/>
      <c r="I120" s="179">
        <f>round(I116*I117,2)</f>
        <v>17459.55</v>
      </c>
    </row>
  </sheetData>
  <mergeCells count="147">
    <mergeCell ref="C39:H39"/>
    <mergeCell ref="C40:H40"/>
    <mergeCell ref="B33:H33"/>
    <mergeCell ref="B35:I35"/>
    <mergeCell ref="C36:H36"/>
    <mergeCell ref="I36:I37"/>
    <mergeCell ref="C37:H37"/>
    <mergeCell ref="C38:H38"/>
    <mergeCell ref="I38:I39"/>
    <mergeCell ref="A1:I1"/>
    <mergeCell ref="A2:I2"/>
    <mergeCell ref="A3:H3"/>
    <mergeCell ref="D4:H4"/>
    <mergeCell ref="D5:H5"/>
    <mergeCell ref="D6:H6"/>
    <mergeCell ref="D7:H7"/>
    <mergeCell ref="D8:H8"/>
    <mergeCell ref="D9:H9"/>
    <mergeCell ref="D11:D14"/>
    <mergeCell ref="F11:H11"/>
    <mergeCell ref="F12:H12"/>
    <mergeCell ref="F13:H13"/>
    <mergeCell ref="F14:H14"/>
    <mergeCell ref="C19:H19"/>
    <mergeCell ref="C20:H20"/>
    <mergeCell ref="A16:I16"/>
    <mergeCell ref="B17:B18"/>
    <mergeCell ref="C17:H17"/>
    <mergeCell ref="I17:I18"/>
    <mergeCell ref="C18:H18"/>
    <mergeCell ref="B19:B20"/>
    <mergeCell ref="I19:I20"/>
    <mergeCell ref="B26:B28"/>
    <mergeCell ref="B29:B30"/>
    <mergeCell ref="B31:B32"/>
    <mergeCell ref="B36:B37"/>
    <mergeCell ref="B38:B39"/>
    <mergeCell ref="B40:B41"/>
    <mergeCell ref="B21:H21"/>
    <mergeCell ref="A23:I23"/>
    <mergeCell ref="B25:I25"/>
    <mergeCell ref="C26:D27"/>
    <mergeCell ref="E26:H26"/>
    <mergeCell ref="E27:H27"/>
    <mergeCell ref="C28:F28"/>
    <mergeCell ref="C29:D29"/>
    <mergeCell ref="G29:H29"/>
    <mergeCell ref="C30:F30"/>
    <mergeCell ref="G30:H30"/>
    <mergeCell ref="C31:H31"/>
    <mergeCell ref="I31:I32"/>
    <mergeCell ref="C32:H32"/>
    <mergeCell ref="I40:I41"/>
    <mergeCell ref="C41:H41"/>
    <mergeCell ref="B42:H42"/>
    <mergeCell ref="B44:I44"/>
    <mergeCell ref="C45:G45"/>
    <mergeCell ref="C46:G46"/>
    <mergeCell ref="C47:G47"/>
    <mergeCell ref="C48:G48"/>
    <mergeCell ref="C49:G49"/>
    <mergeCell ref="C50:G50"/>
    <mergeCell ref="C51:G51"/>
    <mergeCell ref="C52:G52"/>
    <mergeCell ref="G55:H55"/>
    <mergeCell ref="A57:I57"/>
    <mergeCell ref="F58:H58"/>
    <mergeCell ref="I58:I59"/>
    <mergeCell ref="F59:H59"/>
    <mergeCell ref="F60:H60"/>
    <mergeCell ref="I60:I61"/>
    <mergeCell ref="F61:H61"/>
    <mergeCell ref="I62:I63"/>
    <mergeCell ref="C64:C68"/>
    <mergeCell ref="D64:D68"/>
    <mergeCell ref="E64:E66"/>
    <mergeCell ref="E67:E68"/>
    <mergeCell ref="B53:F53"/>
    <mergeCell ref="B58:B63"/>
    <mergeCell ref="C58:C63"/>
    <mergeCell ref="D58:D63"/>
    <mergeCell ref="E58:E60"/>
    <mergeCell ref="E61:E63"/>
    <mergeCell ref="B64:B68"/>
    <mergeCell ref="F62:H62"/>
    <mergeCell ref="F63:H63"/>
    <mergeCell ref="F64:H64"/>
    <mergeCell ref="I64:I65"/>
    <mergeCell ref="F65:H65"/>
    <mergeCell ref="F66:H66"/>
    <mergeCell ref="I67:I68"/>
    <mergeCell ref="C100:F101"/>
    <mergeCell ref="C103:G103"/>
    <mergeCell ref="F105:G105"/>
    <mergeCell ref="F106:G106"/>
    <mergeCell ref="C97:F98"/>
    <mergeCell ref="G97:H97"/>
    <mergeCell ref="G98:H98"/>
    <mergeCell ref="B99:B101"/>
    <mergeCell ref="C99:F99"/>
    <mergeCell ref="G99:H99"/>
    <mergeCell ref="B102:B106"/>
    <mergeCell ref="C115:H115"/>
    <mergeCell ref="C116:H116"/>
    <mergeCell ref="C117:H117"/>
    <mergeCell ref="A119:H119"/>
    <mergeCell ref="B107:G107"/>
    <mergeCell ref="A109:H109"/>
    <mergeCell ref="C110:H110"/>
    <mergeCell ref="C111:H111"/>
    <mergeCell ref="C112:H112"/>
    <mergeCell ref="C113:H113"/>
    <mergeCell ref="C114:H114"/>
    <mergeCell ref="F67:H67"/>
    <mergeCell ref="F68:H68"/>
    <mergeCell ref="B69:H69"/>
    <mergeCell ref="B70:I70"/>
    <mergeCell ref="A71:I71"/>
    <mergeCell ref="C72:H72"/>
    <mergeCell ref="I72:I73"/>
    <mergeCell ref="C73:H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96:F96"/>
    <mergeCell ref="G96:H96"/>
    <mergeCell ref="A89:I89"/>
    <mergeCell ref="E90:H90"/>
    <mergeCell ref="E91:H91"/>
    <mergeCell ref="E92:H92"/>
    <mergeCell ref="C93:G93"/>
    <mergeCell ref="A95:I95"/>
    <mergeCell ref="B96:B98"/>
    <mergeCell ref="G100:H100"/>
    <mergeCell ref="G101:H101"/>
    <mergeCell ref="D104:E105"/>
    <mergeCell ref="F104:G104"/>
  </mergeCells>
  <printOptions/>
  <pageMargins bottom="0.75" footer="0.0" header="0.0" left="0.7" right="0.7" top="0.75"/>
  <pageSetup fitToHeight="0"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.38"/>
    <col customWidth="1" min="2" max="2" width="3.63"/>
    <col customWidth="1" min="3" max="3" width="35.88"/>
    <col customWidth="1" min="4" max="4" width="5.88"/>
    <col customWidth="1" min="5" max="6" width="7.63"/>
    <col customWidth="1" min="7" max="7" width="5.88"/>
    <col customWidth="1" min="8" max="8" width="7.88"/>
  </cols>
  <sheetData>
    <row r="1">
      <c r="A1" s="180" t="s">
        <v>146</v>
      </c>
    </row>
    <row r="2">
      <c r="A2" s="181" t="s">
        <v>263</v>
      </c>
    </row>
    <row r="3">
      <c r="A3" s="182"/>
      <c r="B3" s="182"/>
      <c r="C3" s="182"/>
      <c r="D3" s="182"/>
      <c r="E3" s="182"/>
      <c r="F3" s="182"/>
      <c r="G3" s="182"/>
      <c r="H3" s="182"/>
    </row>
    <row r="4">
      <c r="A4" s="203" t="s">
        <v>124</v>
      </c>
      <c r="B4" s="204"/>
      <c r="C4" s="204"/>
      <c r="D4" s="204"/>
      <c r="E4" s="204"/>
      <c r="F4" s="204"/>
      <c r="G4" s="204"/>
      <c r="H4" s="204"/>
    </row>
    <row r="5">
      <c r="A5" s="184"/>
      <c r="B5" s="185" t="s">
        <v>148</v>
      </c>
      <c r="C5" s="185" t="s">
        <v>149</v>
      </c>
      <c r="D5" s="186" t="s">
        <v>150</v>
      </c>
      <c r="E5" s="187" t="s">
        <v>151</v>
      </c>
      <c r="F5" s="188" t="s">
        <v>152</v>
      </c>
      <c r="G5" s="186" t="s">
        <v>153</v>
      </c>
      <c r="H5" s="188" t="s">
        <v>154</v>
      </c>
    </row>
    <row r="6">
      <c r="A6" s="189"/>
      <c r="B6" s="190">
        <v>1.0</v>
      </c>
      <c r="C6" s="191" t="s">
        <v>155</v>
      </c>
      <c r="D6" s="192">
        <v>15.0</v>
      </c>
      <c r="E6" s="193">
        <v>70.4</v>
      </c>
      <c r="F6" s="194">
        <f t="shared" ref="F6:F24" si="1">D6*E6</f>
        <v>1056</v>
      </c>
      <c r="G6" s="192">
        <v>12.0</v>
      </c>
      <c r="H6" s="194">
        <f t="shared" ref="H6:H24" si="2">F6/G6</f>
        <v>88</v>
      </c>
    </row>
    <row r="7">
      <c r="A7" s="189"/>
      <c r="B7" s="192">
        <v>2.0</v>
      </c>
      <c r="C7" s="195" t="s">
        <v>156</v>
      </c>
      <c r="D7" s="192">
        <v>15.0</v>
      </c>
      <c r="E7" s="193">
        <v>51.25</v>
      </c>
      <c r="F7" s="194">
        <f t="shared" si="1"/>
        <v>768.75</v>
      </c>
      <c r="G7" s="192">
        <v>12.0</v>
      </c>
      <c r="H7" s="194">
        <f t="shared" si="2"/>
        <v>64.0625</v>
      </c>
    </row>
    <row r="8">
      <c r="A8" s="189"/>
      <c r="B8" s="192">
        <v>3.0</v>
      </c>
      <c r="C8" s="195" t="s">
        <v>157</v>
      </c>
      <c r="D8" s="192">
        <v>9.0</v>
      </c>
      <c r="E8" s="193">
        <v>60.68</v>
      </c>
      <c r="F8" s="194">
        <f t="shared" si="1"/>
        <v>546.12</v>
      </c>
      <c r="G8" s="192">
        <v>12.0</v>
      </c>
      <c r="H8" s="194">
        <f t="shared" si="2"/>
        <v>45.51</v>
      </c>
    </row>
    <row r="9">
      <c r="A9" s="189"/>
      <c r="B9" s="192">
        <v>4.0</v>
      </c>
      <c r="C9" s="195" t="s">
        <v>158</v>
      </c>
      <c r="D9" s="192">
        <v>6.0</v>
      </c>
      <c r="E9" s="193">
        <v>84.75</v>
      </c>
      <c r="F9" s="194">
        <f t="shared" si="1"/>
        <v>508.5</v>
      </c>
      <c r="G9" s="192">
        <v>12.0</v>
      </c>
      <c r="H9" s="194">
        <f t="shared" si="2"/>
        <v>42.375</v>
      </c>
    </row>
    <row r="10">
      <c r="A10" s="189"/>
      <c r="B10" s="192">
        <v>5.0</v>
      </c>
      <c r="C10" s="195" t="s">
        <v>159</v>
      </c>
      <c r="D10" s="192">
        <v>3.0</v>
      </c>
      <c r="E10" s="193">
        <v>143.7</v>
      </c>
      <c r="F10" s="194">
        <f t="shared" si="1"/>
        <v>431.1</v>
      </c>
      <c r="G10" s="192">
        <v>24.0</v>
      </c>
      <c r="H10" s="194">
        <f t="shared" si="2"/>
        <v>17.9625</v>
      </c>
    </row>
    <row r="11">
      <c r="A11" s="189"/>
      <c r="B11" s="192">
        <v>6.0</v>
      </c>
      <c r="C11" s="195" t="s">
        <v>160</v>
      </c>
      <c r="D11" s="192">
        <v>9.0</v>
      </c>
      <c r="E11" s="193">
        <v>62.93</v>
      </c>
      <c r="F11" s="194">
        <f t="shared" si="1"/>
        <v>566.37</v>
      </c>
      <c r="G11" s="192">
        <v>12.0</v>
      </c>
      <c r="H11" s="194">
        <f t="shared" si="2"/>
        <v>47.1975</v>
      </c>
    </row>
    <row r="12">
      <c r="A12" s="189"/>
      <c r="B12" s="192">
        <v>7.0</v>
      </c>
      <c r="C12" s="195" t="s">
        <v>161</v>
      </c>
      <c r="D12" s="192">
        <v>3.0</v>
      </c>
      <c r="E12" s="193">
        <v>33.74</v>
      </c>
      <c r="F12" s="194">
        <f t="shared" si="1"/>
        <v>101.22</v>
      </c>
      <c r="G12" s="192">
        <v>36.0</v>
      </c>
      <c r="H12" s="194">
        <f t="shared" si="2"/>
        <v>2.811666667</v>
      </c>
    </row>
    <row r="13">
      <c r="A13" s="189"/>
      <c r="B13" s="192">
        <v>8.0</v>
      </c>
      <c r="C13" s="195" t="s">
        <v>270</v>
      </c>
      <c r="D13" s="192">
        <v>3.0</v>
      </c>
      <c r="E13" s="193">
        <v>133.74</v>
      </c>
      <c r="F13" s="194">
        <f t="shared" si="1"/>
        <v>401.22</v>
      </c>
      <c r="G13" s="192">
        <v>36.0</v>
      </c>
      <c r="H13" s="194">
        <f t="shared" si="2"/>
        <v>11.145</v>
      </c>
    </row>
    <row r="14">
      <c r="A14" s="189"/>
      <c r="B14" s="192">
        <v>9.0</v>
      </c>
      <c r="C14" s="195" t="s">
        <v>162</v>
      </c>
      <c r="D14" s="192">
        <v>12.0</v>
      </c>
      <c r="E14" s="193">
        <v>3.27</v>
      </c>
      <c r="F14" s="194">
        <f t="shared" si="1"/>
        <v>39.24</v>
      </c>
      <c r="G14" s="192">
        <v>1.0</v>
      </c>
      <c r="H14" s="194">
        <f t="shared" si="2"/>
        <v>39.24</v>
      </c>
    </row>
    <row r="15">
      <c r="A15" s="189"/>
      <c r="B15" s="192">
        <v>10.0</v>
      </c>
      <c r="C15" s="195" t="s">
        <v>163</v>
      </c>
      <c r="D15" s="192">
        <v>3.0</v>
      </c>
      <c r="E15" s="193">
        <v>15.76</v>
      </c>
      <c r="F15" s="194">
        <f t="shared" si="1"/>
        <v>47.28</v>
      </c>
      <c r="G15" s="192">
        <v>12.0</v>
      </c>
      <c r="H15" s="194">
        <f t="shared" si="2"/>
        <v>3.94</v>
      </c>
    </row>
    <row r="16">
      <c r="A16" s="189"/>
      <c r="B16" s="192">
        <v>11.0</v>
      </c>
      <c r="C16" s="195" t="s">
        <v>164</v>
      </c>
      <c r="D16" s="192">
        <v>3.0</v>
      </c>
      <c r="E16" s="193">
        <v>5.41</v>
      </c>
      <c r="F16" s="194">
        <f t="shared" si="1"/>
        <v>16.23</v>
      </c>
      <c r="G16" s="192">
        <v>4.0</v>
      </c>
      <c r="H16" s="194">
        <f t="shared" si="2"/>
        <v>4.0575</v>
      </c>
    </row>
    <row r="17">
      <c r="A17" s="189"/>
      <c r="B17" s="192">
        <v>12.0</v>
      </c>
      <c r="C17" s="195" t="s">
        <v>165</v>
      </c>
      <c r="D17" s="192">
        <v>3.0</v>
      </c>
      <c r="E17" s="193">
        <v>3.46</v>
      </c>
      <c r="F17" s="194">
        <f t="shared" si="1"/>
        <v>10.38</v>
      </c>
      <c r="G17" s="192">
        <v>4.0</v>
      </c>
      <c r="H17" s="194">
        <f t="shared" si="2"/>
        <v>2.595</v>
      </c>
    </row>
    <row r="18">
      <c r="A18" s="189"/>
      <c r="B18" s="192">
        <v>13.0</v>
      </c>
      <c r="C18" s="195" t="s">
        <v>166</v>
      </c>
      <c r="D18" s="192">
        <v>3.0</v>
      </c>
      <c r="E18" s="193">
        <v>15.56</v>
      </c>
      <c r="F18" s="194">
        <f t="shared" si="1"/>
        <v>46.68</v>
      </c>
      <c r="G18" s="192">
        <v>3.0</v>
      </c>
      <c r="H18" s="194">
        <f t="shared" si="2"/>
        <v>15.56</v>
      </c>
    </row>
    <row r="19">
      <c r="A19" s="189"/>
      <c r="B19" s="192">
        <v>14.0</v>
      </c>
      <c r="C19" s="195" t="s">
        <v>167</v>
      </c>
      <c r="D19" s="192">
        <v>3.0</v>
      </c>
      <c r="E19" s="193">
        <v>13.34</v>
      </c>
      <c r="F19" s="194">
        <f t="shared" si="1"/>
        <v>40.02</v>
      </c>
      <c r="G19" s="192">
        <v>4.0</v>
      </c>
      <c r="H19" s="194">
        <f t="shared" si="2"/>
        <v>10.005</v>
      </c>
    </row>
    <row r="20">
      <c r="A20" s="189"/>
      <c r="B20" s="192">
        <v>15.0</v>
      </c>
      <c r="C20" s="195" t="s">
        <v>168</v>
      </c>
      <c r="D20" s="192">
        <v>9.0</v>
      </c>
      <c r="E20" s="193">
        <v>2.52</v>
      </c>
      <c r="F20" s="194">
        <f t="shared" si="1"/>
        <v>22.68</v>
      </c>
      <c r="G20" s="192">
        <v>1.0</v>
      </c>
      <c r="H20" s="194">
        <f t="shared" si="2"/>
        <v>22.68</v>
      </c>
    </row>
    <row r="21">
      <c r="A21" s="189"/>
      <c r="B21" s="192">
        <v>16.0</v>
      </c>
      <c r="C21" s="195" t="s">
        <v>169</v>
      </c>
      <c r="D21" s="192">
        <v>6.0</v>
      </c>
      <c r="E21" s="193">
        <v>8.19</v>
      </c>
      <c r="F21" s="194">
        <f t="shared" si="1"/>
        <v>49.14</v>
      </c>
      <c r="G21" s="192">
        <v>1.0</v>
      </c>
      <c r="H21" s="194">
        <f t="shared" si="2"/>
        <v>49.14</v>
      </c>
    </row>
    <row r="22">
      <c r="A22" s="189"/>
      <c r="B22" s="192">
        <v>17.0</v>
      </c>
      <c r="C22" s="195" t="s">
        <v>170</v>
      </c>
      <c r="D22" s="192">
        <v>3.0</v>
      </c>
      <c r="E22" s="193">
        <v>4.01</v>
      </c>
      <c r="F22" s="194">
        <f t="shared" si="1"/>
        <v>12.03</v>
      </c>
      <c r="G22" s="192">
        <v>3.0</v>
      </c>
      <c r="H22" s="194">
        <f t="shared" si="2"/>
        <v>4.01</v>
      </c>
    </row>
    <row r="23">
      <c r="A23" s="189"/>
      <c r="B23" s="192">
        <v>18.0</v>
      </c>
      <c r="C23" s="195" t="s">
        <v>238</v>
      </c>
      <c r="D23" s="192">
        <v>3.0</v>
      </c>
      <c r="E23" s="193">
        <v>43.77</v>
      </c>
      <c r="F23" s="194">
        <f t="shared" si="1"/>
        <v>131.31</v>
      </c>
      <c r="G23" s="192">
        <v>24.0</v>
      </c>
      <c r="H23" s="194">
        <f t="shared" si="2"/>
        <v>5.47125</v>
      </c>
    </row>
    <row r="24">
      <c r="A24" s="189"/>
      <c r="B24" s="192">
        <v>19.0</v>
      </c>
      <c r="C24" s="195" t="s">
        <v>171</v>
      </c>
      <c r="D24" s="192">
        <v>3.0</v>
      </c>
      <c r="E24" s="193">
        <v>10.0</v>
      </c>
      <c r="F24" s="194">
        <f t="shared" si="1"/>
        <v>30</v>
      </c>
      <c r="G24" s="192">
        <v>1.0</v>
      </c>
      <c r="H24" s="194">
        <f t="shared" si="2"/>
        <v>30</v>
      </c>
    </row>
    <row r="25">
      <c r="A25" s="196"/>
      <c r="B25" s="184"/>
      <c r="C25" s="184"/>
      <c r="D25" s="184"/>
      <c r="E25" s="197" t="s">
        <v>172</v>
      </c>
      <c r="F25" s="21"/>
      <c r="G25" s="21"/>
      <c r="H25" s="198">
        <f>SUM(H6:H24)</f>
        <v>505.7629167</v>
      </c>
    </row>
    <row r="26">
      <c r="A26" s="205" t="s">
        <v>125</v>
      </c>
      <c r="B26" s="204"/>
      <c r="C26" s="204"/>
      <c r="D26" s="204"/>
      <c r="E26" s="204"/>
      <c r="F26" s="204"/>
      <c r="G26" s="204"/>
      <c r="H26" s="204"/>
    </row>
    <row r="27">
      <c r="A27" s="184"/>
      <c r="B27" s="185" t="s">
        <v>148</v>
      </c>
      <c r="C27" s="185" t="s">
        <v>149</v>
      </c>
      <c r="D27" s="186" t="s">
        <v>150</v>
      </c>
      <c r="E27" s="187" t="s">
        <v>151</v>
      </c>
      <c r="F27" s="188" t="s">
        <v>152</v>
      </c>
      <c r="G27" s="186" t="s">
        <v>153</v>
      </c>
      <c r="H27" s="188" t="s">
        <v>154</v>
      </c>
    </row>
    <row r="28">
      <c r="A28" s="189"/>
      <c r="B28" s="190">
        <v>1.0</v>
      </c>
      <c r="C28" s="191" t="s">
        <v>271</v>
      </c>
      <c r="D28" s="192">
        <v>3.0</v>
      </c>
      <c r="E28" s="193">
        <v>86.31</v>
      </c>
      <c r="F28" s="194">
        <f t="shared" ref="F28:F96" si="3">D28*E28</f>
        <v>258.93</v>
      </c>
      <c r="G28" s="192">
        <v>60.0</v>
      </c>
      <c r="H28" s="194">
        <f t="shared" ref="H28:H96" si="4">F28/G28</f>
        <v>4.3155</v>
      </c>
    </row>
    <row r="29">
      <c r="A29" s="189"/>
      <c r="B29" s="192">
        <v>2.0</v>
      </c>
      <c r="C29" s="195" t="s">
        <v>272</v>
      </c>
      <c r="D29" s="192">
        <v>3.0</v>
      </c>
      <c r="E29" s="193">
        <v>25.17</v>
      </c>
      <c r="F29" s="194">
        <f t="shared" si="3"/>
        <v>75.51</v>
      </c>
      <c r="G29" s="192">
        <v>60.0</v>
      </c>
      <c r="H29" s="194">
        <f t="shared" si="4"/>
        <v>1.2585</v>
      </c>
    </row>
    <row r="30">
      <c r="A30" s="189"/>
      <c r="B30" s="192">
        <v>3.0</v>
      </c>
      <c r="C30" s="195" t="s">
        <v>273</v>
      </c>
      <c r="D30" s="192">
        <v>3.0</v>
      </c>
      <c r="E30" s="193">
        <v>47.03</v>
      </c>
      <c r="F30" s="194">
        <f t="shared" si="3"/>
        <v>141.09</v>
      </c>
      <c r="G30" s="192">
        <v>60.0</v>
      </c>
      <c r="H30" s="194">
        <f t="shared" si="4"/>
        <v>2.3515</v>
      </c>
    </row>
    <row r="31">
      <c r="A31" s="189"/>
      <c r="B31" s="192">
        <v>4.0</v>
      </c>
      <c r="C31" s="195" t="s">
        <v>274</v>
      </c>
      <c r="D31" s="192">
        <v>3.0</v>
      </c>
      <c r="E31" s="193">
        <v>79.78</v>
      </c>
      <c r="F31" s="194">
        <f t="shared" si="3"/>
        <v>239.34</v>
      </c>
      <c r="G31" s="192">
        <v>60.0</v>
      </c>
      <c r="H31" s="194">
        <f t="shared" si="4"/>
        <v>3.989</v>
      </c>
    </row>
    <row r="32">
      <c r="A32" s="189"/>
      <c r="B32" s="192">
        <v>5.0</v>
      </c>
      <c r="C32" s="195" t="s">
        <v>275</v>
      </c>
      <c r="D32" s="192">
        <v>1.0</v>
      </c>
      <c r="E32" s="193">
        <v>190.37</v>
      </c>
      <c r="F32" s="194">
        <f t="shared" si="3"/>
        <v>190.37</v>
      </c>
      <c r="G32" s="192">
        <v>60.0</v>
      </c>
      <c r="H32" s="194">
        <f t="shared" si="4"/>
        <v>3.172833333</v>
      </c>
    </row>
    <row r="33">
      <c r="A33" s="189"/>
      <c r="B33" s="192">
        <v>6.0</v>
      </c>
      <c r="C33" s="195" t="s">
        <v>276</v>
      </c>
      <c r="D33" s="192">
        <v>3.0</v>
      </c>
      <c r="E33" s="193">
        <v>39.82</v>
      </c>
      <c r="F33" s="194">
        <f t="shared" si="3"/>
        <v>119.46</v>
      </c>
      <c r="G33" s="192">
        <v>60.0</v>
      </c>
      <c r="H33" s="194">
        <f t="shared" si="4"/>
        <v>1.991</v>
      </c>
    </row>
    <row r="34">
      <c r="A34" s="189"/>
      <c r="B34" s="192">
        <v>7.0</v>
      </c>
      <c r="C34" s="195" t="s">
        <v>277</v>
      </c>
      <c r="D34" s="192">
        <v>3.0</v>
      </c>
      <c r="E34" s="193">
        <v>109.93</v>
      </c>
      <c r="F34" s="194">
        <f t="shared" si="3"/>
        <v>329.79</v>
      </c>
      <c r="G34" s="192">
        <v>24.0</v>
      </c>
      <c r="H34" s="194">
        <f t="shared" si="4"/>
        <v>13.74125</v>
      </c>
    </row>
    <row r="35">
      <c r="A35" s="189"/>
      <c r="B35" s="192">
        <v>8.0</v>
      </c>
      <c r="C35" s="195" t="s">
        <v>278</v>
      </c>
      <c r="D35" s="192">
        <v>1.0</v>
      </c>
      <c r="E35" s="193">
        <v>50.47</v>
      </c>
      <c r="F35" s="194">
        <f t="shared" si="3"/>
        <v>50.47</v>
      </c>
      <c r="G35" s="192">
        <v>12.0</v>
      </c>
      <c r="H35" s="194">
        <f t="shared" si="4"/>
        <v>4.205833333</v>
      </c>
    </row>
    <row r="36">
      <c r="A36" s="189"/>
      <c r="B36" s="192">
        <v>9.0</v>
      </c>
      <c r="C36" s="191" t="s">
        <v>279</v>
      </c>
      <c r="D36" s="192">
        <v>1.0</v>
      </c>
      <c r="E36" s="193">
        <v>108.62</v>
      </c>
      <c r="F36" s="194">
        <f t="shared" si="3"/>
        <v>108.62</v>
      </c>
      <c r="G36" s="192">
        <v>24.0</v>
      </c>
      <c r="H36" s="194">
        <f t="shared" si="4"/>
        <v>4.525833333</v>
      </c>
    </row>
    <row r="37">
      <c r="A37" s="189"/>
      <c r="B37" s="192">
        <v>10.0</v>
      </c>
      <c r="C37" s="191" t="s">
        <v>280</v>
      </c>
      <c r="D37" s="192">
        <v>1.0</v>
      </c>
      <c r="E37" s="193">
        <v>38.78</v>
      </c>
      <c r="F37" s="194">
        <f t="shared" si="3"/>
        <v>38.78</v>
      </c>
      <c r="G37" s="192">
        <v>24.0</v>
      </c>
      <c r="H37" s="194">
        <f t="shared" si="4"/>
        <v>1.615833333</v>
      </c>
    </row>
    <row r="38">
      <c r="A38" s="189"/>
      <c r="B38" s="192">
        <v>11.0</v>
      </c>
      <c r="C38" s="191" t="s">
        <v>281</v>
      </c>
      <c r="D38" s="192">
        <v>1.0</v>
      </c>
      <c r="E38" s="193">
        <v>52.34</v>
      </c>
      <c r="F38" s="194">
        <f t="shared" si="3"/>
        <v>52.34</v>
      </c>
      <c r="G38" s="192">
        <v>24.0</v>
      </c>
      <c r="H38" s="194">
        <f t="shared" si="4"/>
        <v>2.180833333</v>
      </c>
    </row>
    <row r="39">
      <c r="A39" s="189"/>
      <c r="B39" s="192">
        <v>12.0</v>
      </c>
      <c r="C39" s="191" t="s">
        <v>282</v>
      </c>
      <c r="D39" s="192">
        <v>3.0</v>
      </c>
      <c r="E39" s="193">
        <v>42.96</v>
      </c>
      <c r="F39" s="194">
        <f t="shared" si="3"/>
        <v>128.88</v>
      </c>
      <c r="G39" s="192">
        <v>60.0</v>
      </c>
      <c r="H39" s="194">
        <f t="shared" si="4"/>
        <v>2.148</v>
      </c>
    </row>
    <row r="40">
      <c r="A40" s="189"/>
      <c r="B40" s="192">
        <v>13.0</v>
      </c>
      <c r="C40" s="191" t="s">
        <v>283</v>
      </c>
      <c r="D40" s="192">
        <v>3.0</v>
      </c>
      <c r="E40" s="193">
        <v>27.93</v>
      </c>
      <c r="F40" s="194">
        <f t="shared" si="3"/>
        <v>83.79</v>
      </c>
      <c r="G40" s="192">
        <v>60.0</v>
      </c>
      <c r="H40" s="194">
        <f t="shared" si="4"/>
        <v>1.3965</v>
      </c>
    </row>
    <row r="41">
      <c r="A41" s="189"/>
      <c r="B41" s="192">
        <v>14.0</v>
      </c>
      <c r="C41" s="191" t="s">
        <v>284</v>
      </c>
      <c r="D41" s="192">
        <v>3.0</v>
      </c>
      <c r="E41" s="193">
        <v>34.51</v>
      </c>
      <c r="F41" s="194">
        <f t="shared" si="3"/>
        <v>103.53</v>
      </c>
      <c r="G41" s="192">
        <v>60.0</v>
      </c>
      <c r="H41" s="194">
        <f t="shared" si="4"/>
        <v>1.7255</v>
      </c>
    </row>
    <row r="42">
      <c r="A42" s="189"/>
      <c r="B42" s="192">
        <v>15.0</v>
      </c>
      <c r="C42" s="191" t="s">
        <v>285</v>
      </c>
      <c r="D42" s="192">
        <v>3.0</v>
      </c>
      <c r="E42" s="193">
        <v>21.88</v>
      </c>
      <c r="F42" s="194">
        <f t="shared" si="3"/>
        <v>65.64</v>
      </c>
      <c r="G42" s="192">
        <v>60.0</v>
      </c>
      <c r="H42" s="194">
        <f t="shared" si="4"/>
        <v>1.094</v>
      </c>
    </row>
    <row r="43">
      <c r="A43" s="189"/>
      <c r="B43" s="192">
        <v>16.0</v>
      </c>
      <c r="C43" s="191" t="s">
        <v>286</v>
      </c>
      <c r="D43" s="192">
        <v>1.0</v>
      </c>
      <c r="E43" s="193">
        <v>301.53</v>
      </c>
      <c r="F43" s="194">
        <f t="shared" si="3"/>
        <v>301.53</v>
      </c>
      <c r="G43" s="192">
        <v>60.0</v>
      </c>
      <c r="H43" s="194">
        <f t="shared" si="4"/>
        <v>5.0255</v>
      </c>
    </row>
    <row r="44">
      <c r="A44" s="189"/>
      <c r="B44" s="192">
        <v>17.0</v>
      </c>
      <c r="C44" s="191" t="s">
        <v>287</v>
      </c>
      <c r="D44" s="192">
        <v>1.0</v>
      </c>
      <c r="E44" s="193">
        <v>340.21</v>
      </c>
      <c r="F44" s="194">
        <f t="shared" si="3"/>
        <v>340.21</v>
      </c>
      <c r="G44" s="192">
        <v>60.0</v>
      </c>
      <c r="H44" s="194">
        <f t="shared" si="4"/>
        <v>5.670166667</v>
      </c>
    </row>
    <row r="45">
      <c r="A45" s="189"/>
      <c r="B45" s="192">
        <v>18.0</v>
      </c>
      <c r="C45" s="191" t="s">
        <v>288</v>
      </c>
      <c r="D45" s="192">
        <v>1.0</v>
      </c>
      <c r="E45" s="193">
        <v>870.88</v>
      </c>
      <c r="F45" s="194">
        <f t="shared" si="3"/>
        <v>870.88</v>
      </c>
      <c r="G45" s="192">
        <v>60.0</v>
      </c>
      <c r="H45" s="194">
        <f t="shared" si="4"/>
        <v>14.51466667</v>
      </c>
    </row>
    <row r="46">
      <c r="A46" s="189"/>
      <c r="B46" s="192">
        <v>19.0</v>
      </c>
      <c r="C46" s="191" t="s">
        <v>289</v>
      </c>
      <c r="D46" s="192">
        <v>1.0</v>
      </c>
      <c r="E46" s="193">
        <v>201.92</v>
      </c>
      <c r="F46" s="194">
        <f t="shared" si="3"/>
        <v>201.92</v>
      </c>
      <c r="G46" s="192">
        <v>60.0</v>
      </c>
      <c r="H46" s="194">
        <f t="shared" si="4"/>
        <v>3.365333333</v>
      </c>
    </row>
    <row r="47">
      <c r="A47" s="189"/>
      <c r="B47" s="192">
        <v>20.0</v>
      </c>
      <c r="C47" s="191" t="s">
        <v>290</v>
      </c>
      <c r="D47" s="192">
        <v>1.0</v>
      </c>
      <c r="E47" s="193">
        <v>119.37</v>
      </c>
      <c r="F47" s="194">
        <f t="shared" si="3"/>
        <v>119.37</v>
      </c>
      <c r="G47" s="192">
        <v>60.0</v>
      </c>
      <c r="H47" s="194">
        <f t="shared" si="4"/>
        <v>1.9895</v>
      </c>
    </row>
    <row r="48">
      <c r="A48" s="189"/>
      <c r="B48" s="192">
        <v>21.0</v>
      </c>
      <c r="C48" s="191" t="s">
        <v>291</v>
      </c>
      <c r="D48" s="192">
        <v>3.0</v>
      </c>
      <c r="E48" s="193">
        <v>50.8</v>
      </c>
      <c r="F48" s="194">
        <f t="shared" si="3"/>
        <v>152.4</v>
      </c>
      <c r="G48" s="192">
        <v>60.0</v>
      </c>
      <c r="H48" s="194">
        <f t="shared" si="4"/>
        <v>2.54</v>
      </c>
    </row>
    <row r="49">
      <c r="A49" s="189"/>
      <c r="B49" s="192">
        <v>22.0</v>
      </c>
      <c r="C49" s="191" t="s">
        <v>292</v>
      </c>
      <c r="D49" s="192">
        <v>3.0</v>
      </c>
      <c r="E49" s="193">
        <v>22.78</v>
      </c>
      <c r="F49" s="194">
        <f t="shared" si="3"/>
        <v>68.34</v>
      </c>
      <c r="G49" s="192">
        <v>60.0</v>
      </c>
      <c r="H49" s="194">
        <f t="shared" si="4"/>
        <v>1.139</v>
      </c>
    </row>
    <row r="50">
      <c r="A50" s="189"/>
      <c r="B50" s="192">
        <v>23.0</v>
      </c>
      <c r="C50" s="191" t="s">
        <v>293</v>
      </c>
      <c r="D50" s="192">
        <v>10.0</v>
      </c>
      <c r="E50" s="193">
        <v>10.03</v>
      </c>
      <c r="F50" s="194">
        <f t="shared" si="3"/>
        <v>100.3</v>
      </c>
      <c r="G50" s="192">
        <v>12.0</v>
      </c>
      <c r="H50" s="194">
        <f t="shared" si="4"/>
        <v>8.358333333</v>
      </c>
    </row>
    <row r="51">
      <c r="A51" s="189"/>
      <c r="B51" s="192">
        <v>24.0</v>
      </c>
      <c r="C51" s="191" t="s">
        <v>294</v>
      </c>
      <c r="D51" s="192">
        <v>1.0</v>
      </c>
      <c r="E51" s="193">
        <v>39.57</v>
      </c>
      <c r="F51" s="194">
        <f t="shared" si="3"/>
        <v>39.57</v>
      </c>
      <c r="G51" s="192">
        <v>12.0</v>
      </c>
      <c r="H51" s="194">
        <f t="shared" si="4"/>
        <v>3.2975</v>
      </c>
    </row>
    <row r="52">
      <c r="A52" s="189"/>
      <c r="B52" s="192">
        <v>25.0</v>
      </c>
      <c r="C52" s="191" t="s">
        <v>295</v>
      </c>
      <c r="D52" s="192">
        <v>2.0</v>
      </c>
      <c r="E52" s="193">
        <v>354.46</v>
      </c>
      <c r="F52" s="194">
        <f t="shared" si="3"/>
        <v>708.92</v>
      </c>
      <c r="G52" s="192">
        <v>36.0</v>
      </c>
      <c r="H52" s="194">
        <f t="shared" si="4"/>
        <v>19.69222222</v>
      </c>
    </row>
    <row r="53">
      <c r="A53" s="189"/>
      <c r="B53" s="192">
        <v>26.0</v>
      </c>
      <c r="C53" s="191" t="s">
        <v>296</v>
      </c>
      <c r="D53" s="192">
        <v>1.0</v>
      </c>
      <c r="E53" s="193">
        <v>1076.83</v>
      </c>
      <c r="F53" s="194">
        <f t="shared" si="3"/>
        <v>1076.83</v>
      </c>
      <c r="G53" s="192">
        <v>120.0</v>
      </c>
      <c r="H53" s="194">
        <f t="shared" si="4"/>
        <v>8.973583333</v>
      </c>
    </row>
    <row r="54">
      <c r="A54" s="189"/>
      <c r="B54" s="192">
        <v>27.0</v>
      </c>
      <c r="C54" s="191" t="s">
        <v>245</v>
      </c>
      <c r="D54" s="192">
        <v>1.0</v>
      </c>
      <c r="E54" s="193">
        <v>459.64</v>
      </c>
      <c r="F54" s="194">
        <f t="shared" si="3"/>
        <v>459.64</v>
      </c>
      <c r="G54" s="192">
        <v>120.0</v>
      </c>
      <c r="H54" s="194">
        <f t="shared" si="4"/>
        <v>3.830333333</v>
      </c>
    </row>
    <row r="55">
      <c r="A55" s="189"/>
      <c r="B55" s="192">
        <v>28.0</v>
      </c>
      <c r="C55" s="191" t="s">
        <v>201</v>
      </c>
      <c r="D55" s="192">
        <v>1.0</v>
      </c>
      <c r="E55" s="193">
        <v>1212.17</v>
      </c>
      <c r="F55" s="194">
        <f t="shared" si="3"/>
        <v>1212.17</v>
      </c>
      <c r="G55" s="192">
        <v>60.0</v>
      </c>
      <c r="H55" s="194">
        <f t="shared" si="4"/>
        <v>20.20283333</v>
      </c>
    </row>
    <row r="56">
      <c r="A56" s="189"/>
      <c r="B56" s="192">
        <v>29.0</v>
      </c>
      <c r="C56" s="191" t="s">
        <v>297</v>
      </c>
      <c r="D56" s="192">
        <v>1.0</v>
      </c>
      <c r="E56" s="193">
        <v>150.28</v>
      </c>
      <c r="F56" s="194">
        <f t="shared" si="3"/>
        <v>150.28</v>
      </c>
      <c r="G56" s="192">
        <v>36.0</v>
      </c>
      <c r="H56" s="194">
        <f t="shared" si="4"/>
        <v>4.174444444</v>
      </c>
    </row>
    <row r="57">
      <c r="A57" s="189"/>
      <c r="B57" s="192">
        <v>30.0</v>
      </c>
      <c r="C57" s="191" t="s">
        <v>298</v>
      </c>
      <c r="D57" s="192">
        <v>3.0</v>
      </c>
      <c r="E57" s="193">
        <v>83.74</v>
      </c>
      <c r="F57" s="194">
        <f t="shared" si="3"/>
        <v>251.22</v>
      </c>
      <c r="G57" s="192">
        <v>36.0</v>
      </c>
      <c r="H57" s="194">
        <f t="shared" si="4"/>
        <v>6.978333333</v>
      </c>
    </row>
    <row r="58">
      <c r="A58" s="189"/>
      <c r="B58" s="192">
        <v>31.0</v>
      </c>
      <c r="C58" s="191" t="s">
        <v>299</v>
      </c>
      <c r="D58" s="192">
        <v>3.0</v>
      </c>
      <c r="E58" s="193">
        <v>76.06</v>
      </c>
      <c r="F58" s="194">
        <f t="shared" si="3"/>
        <v>228.18</v>
      </c>
      <c r="G58" s="192">
        <v>36.0</v>
      </c>
      <c r="H58" s="194">
        <f t="shared" si="4"/>
        <v>6.338333333</v>
      </c>
    </row>
    <row r="59">
      <c r="A59" s="189"/>
      <c r="B59" s="192">
        <v>32.0</v>
      </c>
      <c r="C59" s="191" t="s">
        <v>300</v>
      </c>
      <c r="D59" s="192">
        <v>3.0</v>
      </c>
      <c r="E59" s="193">
        <v>6.79</v>
      </c>
      <c r="F59" s="194">
        <f t="shared" si="3"/>
        <v>20.37</v>
      </c>
      <c r="G59" s="192">
        <v>60.0</v>
      </c>
      <c r="H59" s="194">
        <f t="shared" si="4"/>
        <v>0.3395</v>
      </c>
    </row>
    <row r="60">
      <c r="A60" s="189"/>
      <c r="B60" s="192">
        <v>33.0</v>
      </c>
      <c r="C60" s="191" t="s">
        <v>301</v>
      </c>
      <c r="D60" s="192">
        <v>1.0</v>
      </c>
      <c r="E60" s="193">
        <v>542.42</v>
      </c>
      <c r="F60" s="194">
        <f t="shared" si="3"/>
        <v>542.42</v>
      </c>
      <c r="G60" s="192">
        <v>60.0</v>
      </c>
      <c r="H60" s="194">
        <f t="shared" si="4"/>
        <v>9.040333333</v>
      </c>
    </row>
    <row r="61">
      <c r="A61" s="189"/>
      <c r="B61" s="192">
        <v>34.0</v>
      </c>
      <c r="C61" s="191" t="s">
        <v>302</v>
      </c>
      <c r="D61" s="192">
        <v>1.0</v>
      </c>
      <c r="E61" s="193">
        <v>153.14</v>
      </c>
      <c r="F61" s="194">
        <f t="shared" si="3"/>
        <v>153.14</v>
      </c>
      <c r="G61" s="192">
        <v>60.0</v>
      </c>
      <c r="H61" s="194">
        <f t="shared" si="4"/>
        <v>2.552333333</v>
      </c>
    </row>
    <row r="62">
      <c r="A62" s="189"/>
      <c r="B62" s="192">
        <v>35.0</v>
      </c>
      <c r="C62" s="191" t="s">
        <v>303</v>
      </c>
      <c r="D62" s="192">
        <v>1.0</v>
      </c>
      <c r="E62" s="193">
        <v>397.18</v>
      </c>
      <c r="F62" s="194">
        <f t="shared" si="3"/>
        <v>397.18</v>
      </c>
      <c r="G62" s="192">
        <v>60.0</v>
      </c>
      <c r="H62" s="194">
        <f t="shared" si="4"/>
        <v>6.619666667</v>
      </c>
    </row>
    <row r="63">
      <c r="A63" s="189"/>
      <c r="B63" s="192">
        <v>36.0</v>
      </c>
      <c r="C63" s="191" t="s">
        <v>304</v>
      </c>
      <c r="D63" s="192">
        <v>1.0</v>
      </c>
      <c r="E63" s="193">
        <v>64.79</v>
      </c>
      <c r="F63" s="194">
        <f t="shared" si="3"/>
        <v>64.79</v>
      </c>
      <c r="G63" s="192">
        <v>60.0</v>
      </c>
      <c r="H63" s="194">
        <f t="shared" si="4"/>
        <v>1.079833333</v>
      </c>
    </row>
    <row r="64">
      <c r="A64" s="189"/>
      <c r="B64" s="192">
        <v>37.0</v>
      </c>
      <c r="C64" s="191" t="s">
        <v>305</v>
      </c>
      <c r="D64" s="192">
        <v>1.0</v>
      </c>
      <c r="E64" s="193">
        <v>312.79</v>
      </c>
      <c r="F64" s="194">
        <f t="shared" si="3"/>
        <v>312.79</v>
      </c>
      <c r="G64" s="192">
        <v>60.0</v>
      </c>
      <c r="H64" s="194">
        <f t="shared" si="4"/>
        <v>5.213166667</v>
      </c>
    </row>
    <row r="65">
      <c r="A65" s="189"/>
      <c r="B65" s="192">
        <v>38.0</v>
      </c>
      <c r="C65" s="191" t="s">
        <v>306</v>
      </c>
      <c r="D65" s="192">
        <v>1.0</v>
      </c>
      <c r="E65" s="193">
        <v>452.78</v>
      </c>
      <c r="F65" s="194">
        <f t="shared" si="3"/>
        <v>452.78</v>
      </c>
      <c r="G65" s="192">
        <v>60.0</v>
      </c>
      <c r="H65" s="194">
        <f t="shared" si="4"/>
        <v>7.546333333</v>
      </c>
    </row>
    <row r="66">
      <c r="A66" s="189"/>
      <c r="B66" s="192">
        <v>39.0</v>
      </c>
      <c r="C66" s="191" t="s">
        <v>307</v>
      </c>
      <c r="D66" s="192">
        <v>1.0</v>
      </c>
      <c r="E66" s="193">
        <v>54.36</v>
      </c>
      <c r="F66" s="194">
        <f t="shared" si="3"/>
        <v>54.36</v>
      </c>
      <c r="G66" s="192">
        <v>60.0</v>
      </c>
      <c r="H66" s="194">
        <f t="shared" si="4"/>
        <v>0.906</v>
      </c>
    </row>
    <row r="67">
      <c r="A67" s="189"/>
      <c r="B67" s="192">
        <v>40.0</v>
      </c>
      <c r="C67" s="191" t="s">
        <v>308</v>
      </c>
      <c r="D67" s="192">
        <v>1.0</v>
      </c>
      <c r="E67" s="193">
        <v>803.28</v>
      </c>
      <c r="F67" s="194">
        <f t="shared" si="3"/>
        <v>803.28</v>
      </c>
      <c r="G67" s="192">
        <v>60.0</v>
      </c>
      <c r="H67" s="194">
        <f t="shared" si="4"/>
        <v>13.388</v>
      </c>
    </row>
    <row r="68">
      <c r="A68" s="189"/>
      <c r="B68" s="192">
        <v>41.0</v>
      </c>
      <c r="C68" s="191" t="s">
        <v>309</v>
      </c>
      <c r="D68" s="192">
        <v>1.0</v>
      </c>
      <c r="E68" s="193">
        <v>708.27</v>
      </c>
      <c r="F68" s="194">
        <f t="shared" si="3"/>
        <v>708.27</v>
      </c>
      <c r="G68" s="192">
        <v>60.0</v>
      </c>
      <c r="H68" s="194">
        <f t="shared" si="4"/>
        <v>11.8045</v>
      </c>
    </row>
    <row r="69">
      <c r="A69" s="189"/>
      <c r="B69" s="192">
        <v>42.0</v>
      </c>
      <c r="C69" s="191" t="s">
        <v>310</v>
      </c>
      <c r="D69" s="192">
        <v>1.0</v>
      </c>
      <c r="E69" s="193">
        <v>754.37</v>
      </c>
      <c r="F69" s="194">
        <f t="shared" si="3"/>
        <v>754.37</v>
      </c>
      <c r="G69" s="192">
        <v>60.0</v>
      </c>
      <c r="H69" s="194">
        <f t="shared" si="4"/>
        <v>12.57283333</v>
      </c>
    </row>
    <row r="70">
      <c r="A70" s="189"/>
      <c r="B70" s="192">
        <v>43.0</v>
      </c>
      <c r="C70" s="191" t="s">
        <v>311</v>
      </c>
      <c r="D70" s="192">
        <v>1.0</v>
      </c>
      <c r="E70" s="193">
        <v>532.65</v>
      </c>
      <c r="F70" s="194">
        <f t="shared" si="3"/>
        <v>532.65</v>
      </c>
      <c r="G70" s="192">
        <v>60.0</v>
      </c>
      <c r="H70" s="194">
        <f t="shared" si="4"/>
        <v>8.8775</v>
      </c>
    </row>
    <row r="71">
      <c r="A71" s="189"/>
      <c r="B71" s="192">
        <v>44.0</v>
      </c>
      <c r="C71" s="191" t="s">
        <v>312</v>
      </c>
      <c r="D71" s="192">
        <v>1.0</v>
      </c>
      <c r="E71" s="193">
        <v>54.91</v>
      </c>
      <c r="F71" s="194">
        <f t="shared" si="3"/>
        <v>54.91</v>
      </c>
      <c r="G71" s="192">
        <v>36.0</v>
      </c>
      <c r="H71" s="194">
        <f t="shared" si="4"/>
        <v>1.525277778</v>
      </c>
    </row>
    <row r="72">
      <c r="A72" s="189"/>
      <c r="B72" s="192">
        <v>45.0</v>
      </c>
      <c r="C72" s="191" t="s">
        <v>313</v>
      </c>
      <c r="D72" s="192">
        <v>1.0</v>
      </c>
      <c r="E72" s="193">
        <v>582.25</v>
      </c>
      <c r="F72" s="194">
        <f t="shared" si="3"/>
        <v>582.25</v>
      </c>
      <c r="G72" s="192">
        <v>60.0</v>
      </c>
      <c r="H72" s="194">
        <f t="shared" si="4"/>
        <v>9.704166667</v>
      </c>
    </row>
    <row r="73">
      <c r="A73" s="189"/>
      <c r="B73" s="192">
        <v>46.0</v>
      </c>
      <c r="C73" s="191" t="s">
        <v>314</v>
      </c>
      <c r="D73" s="192">
        <v>3.0</v>
      </c>
      <c r="E73" s="193">
        <v>56.93</v>
      </c>
      <c r="F73" s="194">
        <f t="shared" si="3"/>
        <v>170.79</v>
      </c>
      <c r="G73" s="192">
        <v>60.0</v>
      </c>
      <c r="H73" s="194">
        <f t="shared" si="4"/>
        <v>2.8465</v>
      </c>
    </row>
    <row r="74">
      <c r="A74" s="189"/>
      <c r="B74" s="192">
        <v>47.0</v>
      </c>
      <c r="C74" s="191" t="s">
        <v>315</v>
      </c>
      <c r="D74" s="192">
        <v>3.0</v>
      </c>
      <c r="E74" s="193">
        <v>2.03</v>
      </c>
      <c r="F74" s="194">
        <f t="shared" si="3"/>
        <v>6.09</v>
      </c>
      <c r="G74" s="192">
        <v>12.0</v>
      </c>
      <c r="H74" s="194">
        <f t="shared" si="4"/>
        <v>0.5075</v>
      </c>
    </row>
    <row r="75">
      <c r="A75" s="189"/>
      <c r="B75" s="192">
        <v>48.0</v>
      </c>
      <c r="C75" s="191" t="s">
        <v>316</v>
      </c>
      <c r="D75" s="192">
        <v>3.0</v>
      </c>
      <c r="E75" s="193">
        <v>21.83</v>
      </c>
      <c r="F75" s="194">
        <f t="shared" si="3"/>
        <v>65.49</v>
      </c>
      <c r="G75" s="192">
        <v>60.0</v>
      </c>
      <c r="H75" s="194">
        <f t="shared" si="4"/>
        <v>1.0915</v>
      </c>
    </row>
    <row r="76">
      <c r="A76" s="189"/>
      <c r="B76" s="192">
        <v>49.0</v>
      </c>
      <c r="C76" s="191" t="s">
        <v>317</v>
      </c>
      <c r="D76" s="192">
        <v>1.0</v>
      </c>
      <c r="E76" s="193">
        <v>453.8</v>
      </c>
      <c r="F76" s="194">
        <f t="shared" si="3"/>
        <v>453.8</v>
      </c>
      <c r="G76" s="192">
        <v>60.0</v>
      </c>
      <c r="H76" s="194">
        <f t="shared" si="4"/>
        <v>7.563333333</v>
      </c>
    </row>
    <row r="77">
      <c r="A77" s="189"/>
      <c r="B77" s="192">
        <v>50.0</v>
      </c>
      <c r="C77" s="191" t="s">
        <v>318</v>
      </c>
      <c r="D77" s="192">
        <v>1.0</v>
      </c>
      <c r="E77" s="193">
        <v>399.47</v>
      </c>
      <c r="F77" s="194">
        <f t="shared" si="3"/>
        <v>399.47</v>
      </c>
      <c r="G77" s="192">
        <v>60.0</v>
      </c>
      <c r="H77" s="194">
        <f t="shared" si="4"/>
        <v>6.657833333</v>
      </c>
    </row>
    <row r="78">
      <c r="A78" s="189"/>
      <c r="B78" s="192">
        <v>51.0</v>
      </c>
      <c r="C78" s="191" t="s">
        <v>319</v>
      </c>
      <c r="D78" s="192">
        <v>2.0</v>
      </c>
      <c r="E78" s="193">
        <v>33.09</v>
      </c>
      <c r="F78" s="194">
        <f t="shared" si="3"/>
        <v>66.18</v>
      </c>
      <c r="G78" s="192">
        <v>60.0</v>
      </c>
      <c r="H78" s="194">
        <f t="shared" si="4"/>
        <v>1.103</v>
      </c>
    </row>
    <row r="79">
      <c r="A79" s="189"/>
      <c r="B79" s="192">
        <v>52.0</v>
      </c>
      <c r="C79" s="191" t="s">
        <v>320</v>
      </c>
      <c r="D79" s="192">
        <v>1.0</v>
      </c>
      <c r="E79" s="193">
        <v>26.13</v>
      </c>
      <c r="F79" s="194">
        <f t="shared" si="3"/>
        <v>26.13</v>
      </c>
      <c r="G79" s="192">
        <v>12.0</v>
      </c>
      <c r="H79" s="194">
        <f t="shared" si="4"/>
        <v>2.1775</v>
      </c>
    </row>
    <row r="80">
      <c r="A80" s="189"/>
      <c r="B80" s="192">
        <v>53.0</v>
      </c>
      <c r="C80" s="191" t="s">
        <v>321</v>
      </c>
      <c r="D80" s="192">
        <v>1.0</v>
      </c>
      <c r="E80" s="193">
        <v>49.15</v>
      </c>
      <c r="F80" s="194">
        <f t="shared" si="3"/>
        <v>49.15</v>
      </c>
      <c r="G80" s="192">
        <v>60.0</v>
      </c>
      <c r="H80" s="194">
        <f t="shared" si="4"/>
        <v>0.8191666667</v>
      </c>
    </row>
    <row r="81">
      <c r="A81" s="189"/>
      <c r="B81" s="192">
        <v>54.0</v>
      </c>
      <c r="C81" s="191" t="s">
        <v>322</v>
      </c>
      <c r="D81" s="192">
        <v>2.0</v>
      </c>
      <c r="E81" s="193">
        <v>12.63</v>
      </c>
      <c r="F81" s="194">
        <f t="shared" si="3"/>
        <v>25.26</v>
      </c>
      <c r="G81" s="192">
        <v>60.0</v>
      </c>
      <c r="H81" s="194">
        <f t="shared" si="4"/>
        <v>0.421</v>
      </c>
    </row>
    <row r="82">
      <c r="A82" s="189"/>
      <c r="B82" s="192">
        <v>55.0</v>
      </c>
      <c r="C82" s="191" t="s">
        <v>323</v>
      </c>
      <c r="D82" s="192">
        <v>3.0</v>
      </c>
      <c r="E82" s="193">
        <v>43.27</v>
      </c>
      <c r="F82" s="194">
        <f t="shared" si="3"/>
        <v>129.81</v>
      </c>
      <c r="G82" s="192">
        <v>60.0</v>
      </c>
      <c r="H82" s="194">
        <f t="shared" si="4"/>
        <v>2.1635</v>
      </c>
    </row>
    <row r="83">
      <c r="A83" s="189"/>
      <c r="B83" s="192">
        <v>56.0</v>
      </c>
      <c r="C83" s="191" t="s">
        <v>324</v>
      </c>
      <c r="D83" s="192">
        <v>2.0</v>
      </c>
      <c r="E83" s="193">
        <v>17.04</v>
      </c>
      <c r="F83" s="194">
        <f t="shared" si="3"/>
        <v>34.08</v>
      </c>
      <c r="G83" s="192">
        <v>12.0</v>
      </c>
      <c r="H83" s="194">
        <f t="shared" si="4"/>
        <v>2.84</v>
      </c>
    </row>
    <row r="84">
      <c r="A84" s="189"/>
      <c r="B84" s="192">
        <v>57.0</v>
      </c>
      <c r="C84" s="191" t="s">
        <v>325</v>
      </c>
      <c r="D84" s="192">
        <v>3.0</v>
      </c>
      <c r="E84" s="193">
        <v>13.7</v>
      </c>
      <c r="F84" s="194">
        <f t="shared" si="3"/>
        <v>41.1</v>
      </c>
      <c r="G84" s="192">
        <v>12.0</v>
      </c>
      <c r="H84" s="194">
        <f t="shared" si="4"/>
        <v>3.425</v>
      </c>
    </row>
    <row r="85">
      <c r="A85" s="189"/>
      <c r="B85" s="192">
        <v>58.0</v>
      </c>
      <c r="C85" s="191" t="s">
        <v>254</v>
      </c>
      <c r="D85" s="192">
        <v>2.0</v>
      </c>
      <c r="E85" s="193">
        <v>38.42</v>
      </c>
      <c r="F85" s="194">
        <f t="shared" si="3"/>
        <v>76.84</v>
      </c>
      <c r="G85" s="192">
        <v>36.0</v>
      </c>
      <c r="H85" s="194">
        <f t="shared" si="4"/>
        <v>2.134444444</v>
      </c>
    </row>
    <row r="86">
      <c r="A86" s="189"/>
      <c r="B86" s="192">
        <v>59.0</v>
      </c>
      <c r="C86" s="191" t="s">
        <v>255</v>
      </c>
      <c r="D86" s="192">
        <v>2.0</v>
      </c>
      <c r="E86" s="193">
        <v>38.18</v>
      </c>
      <c r="F86" s="194">
        <f t="shared" si="3"/>
        <v>76.36</v>
      </c>
      <c r="G86" s="192">
        <v>36.0</v>
      </c>
      <c r="H86" s="194">
        <f t="shared" si="4"/>
        <v>2.121111111</v>
      </c>
    </row>
    <row r="87">
      <c r="A87" s="189"/>
      <c r="B87" s="192">
        <v>60.0</v>
      </c>
      <c r="C87" s="191" t="s">
        <v>256</v>
      </c>
      <c r="D87" s="192">
        <v>2.0</v>
      </c>
      <c r="E87" s="193">
        <v>44.48</v>
      </c>
      <c r="F87" s="194">
        <f t="shared" si="3"/>
        <v>88.96</v>
      </c>
      <c r="G87" s="192">
        <v>36.0</v>
      </c>
      <c r="H87" s="194">
        <f t="shared" si="4"/>
        <v>2.471111111</v>
      </c>
    </row>
    <row r="88">
      <c r="A88" s="189"/>
      <c r="B88" s="192">
        <v>61.0</v>
      </c>
      <c r="C88" s="191" t="s">
        <v>326</v>
      </c>
      <c r="D88" s="192">
        <v>2.0</v>
      </c>
      <c r="E88" s="193">
        <v>84.42</v>
      </c>
      <c r="F88" s="194">
        <f t="shared" si="3"/>
        <v>168.84</v>
      </c>
      <c r="G88" s="192">
        <v>36.0</v>
      </c>
      <c r="H88" s="194">
        <f t="shared" si="4"/>
        <v>4.69</v>
      </c>
    </row>
    <row r="89">
      <c r="A89" s="189"/>
      <c r="B89" s="192">
        <v>62.0</v>
      </c>
      <c r="C89" s="191" t="s">
        <v>257</v>
      </c>
      <c r="D89" s="192">
        <v>2.0</v>
      </c>
      <c r="E89" s="193">
        <v>42.93</v>
      </c>
      <c r="F89" s="194">
        <f t="shared" si="3"/>
        <v>85.86</v>
      </c>
      <c r="G89" s="192">
        <v>36.0</v>
      </c>
      <c r="H89" s="194">
        <f t="shared" si="4"/>
        <v>2.385</v>
      </c>
    </row>
    <row r="90">
      <c r="A90" s="189"/>
      <c r="B90" s="192">
        <v>63.0</v>
      </c>
      <c r="C90" s="191" t="s">
        <v>258</v>
      </c>
      <c r="D90" s="192">
        <v>2.0</v>
      </c>
      <c r="E90" s="193">
        <v>66.32</v>
      </c>
      <c r="F90" s="194">
        <f t="shared" si="3"/>
        <v>132.64</v>
      </c>
      <c r="G90" s="192">
        <v>36.0</v>
      </c>
      <c r="H90" s="194">
        <f t="shared" si="4"/>
        <v>3.684444444</v>
      </c>
    </row>
    <row r="91">
      <c r="A91" s="189"/>
      <c r="B91" s="192">
        <v>64.0</v>
      </c>
      <c r="C91" s="191" t="s">
        <v>327</v>
      </c>
      <c r="D91" s="192">
        <v>1.0</v>
      </c>
      <c r="E91" s="193">
        <v>32.34</v>
      </c>
      <c r="F91" s="194">
        <f t="shared" si="3"/>
        <v>32.34</v>
      </c>
      <c r="G91" s="192">
        <v>24.0</v>
      </c>
      <c r="H91" s="194">
        <f t="shared" si="4"/>
        <v>1.3475</v>
      </c>
    </row>
    <row r="92">
      <c r="A92" s="189"/>
      <c r="B92" s="192">
        <v>65.0</v>
      </c>
      <c r="C92" s="191" t="s">
        <v>252</v>
      </c>
      <c r="D92" s="192">
        <v>1.0</v>
      </c>
      <c r="E92" s="193">
        <v>23.47</v>
      </c>
      <c r="F92" s="194">
        <f t="shared" si="3"/>
        <v>23.47</v>
      </c>
      <c r="G92" s="192">
        <v>60.0</v>
      </c>
      <c r="H92" s="194">
        <f t="shared" si="4"/>
        <v>0.3911666667</v>
      </c>
    </row>
    <row r="93">
      <c r="A93" s="189"/>
      <c r="B93" s="192">
        <v>66.0</v>
      </c>
      <c r="C93" s="191" t="s">
        <v>328</v>
      </c>
      <c r="D93" s="192">
        <v>1.0</v>
      </c>
      <c r="E93" s="193">
        <v>34.64</v>
      </c>
      <c r="F93" s="194">
        <f t="shared" si="3"/>
        <v>34.64</v>
      </c>
      <c r="G93" s="192">
        <v>60.0</v>
      </c>
      <c r="H93" s="194">
        <f t="shared" si="4"/>
        <v>0.5773333333</v>
      </c>
    </row>
    <row r="94">
      <c r="A94" s="189"/>
      <c r="B94" s="192">
        <v>67.0</v>
      </c>
      <c r="C94" s="191" t="s">
        <v>329</v>
      </c>
      <c r="D94" s="192">
        <v>1.0</v>
      </c>
      <c r="E94" s="193">
        <v>38.21</v>
      </c>
      <c r="F94" s="194">
        <f t="shared" si="3"/>
        <v>38.21</v>
      </c>
      <c r="G94" s="192">
        <v>60.0</v>
      </c>
      <c r="H94" s="194">
        <f t="shared" si="4"/>
        <v>0.6368333333</v>
      </c>
    </row>
    <row r="95">
      <c r="A95" s="189"/>
      <c r="B95" s="192">
        <v>68.0</v>
      </c>
      <c r="C95" s="191" t="s">
        <v>330</v>
      </c>
      <c r="D95" s="192">
        <v>20.0</v>
      </c>
      <c r="E95" s="193">
        <v>193.55</v>
      </c>
      <c r="F95" s="194">
        <f t="shared" si="3"/>
        <v>3871</v>
      </c>
      <c r="G95" s="192">
        <v>120.0</v>
      </c>
      <c r="H95" s="194">
        <f t="shared" si="4"/>
        <v>32.25833333</v>
      </c>
    </row>
    <row r="96">
      <c r="A96" s="189"/>
      <c r="B96" s="192">
        <v>69.0</v>
      </c>
      <c r="C96" s="191" t="s">
        <v>175</v>
      </c>
      <c r="D96" s="192">
        <v>1.0</v>
      </c>
      <c r="E96" s="193">
        <v>30.0</v>
      </c>
      <c r="F96" s="194">
        <f t="shared" si="3"/>
        <v>30</v>
      </c>
      <c r="G96" s="192">
        <v>1.0</v>
      </c>
      <c r="H96" s="194">
        <f t="shared" si="4"/>
        <v>30</v>
      </c>
    </row>
    <row r="97">
      <c r="A97" s="196"/>
      <c r="B97" s="184"/>
      <c r="C97" s="184"/>
      <c r="D97" s="184"/>
      <c r="E97" s="197" t="s">
        <v>172</v>
      </c>
      <c r="F97" s="21"/>
      <c r="G97" s="21"/>
      <c r="H97" s="198">
        <f>SUM(H28:H96)</f>
        <v>371.2845556</v>
      </c>
    </row>
    <row r="98">
      <c r="A98" s="203" t="s">
        <v>126</v>
      </c>
      <c r="B98" s="204"/>
      <c r="C98" s="204"/>
      <c r="D98" s="204"/>
      <c r="E98" s="204"/>
      <c r="F98" s="204"/>
      <c r="G98" s="204"/>
      <c r="H98" s="204"/>
    </row>
    <row r="99">
      <c r="A99" s="189"/>
      <c r="B99" s="191" t="s">
        <v>176</v>
      </c>
      <c r="C99" s="21"/>
      <c r="D99" s="21"/>
      <c r="E99" s="21"/>
      <c r="F99" s="21"/>
      <c r="G99" s="21"/>
      <c r="H99" s="22"/>
    </row>
    <row r="100">
      <c r="A100" s="182"/>
      <c r="B100" s="182"/>
      <c r="C100" s="182"/>
      <c r="D100" s="182"/>
      <c r="E100" s="182"/>
      <c r="F100" s="182"/>
      <c r="G100" s="182"/>
      <c r="H100" s="182"/>
    </row>
  </sheetData>
  <mergeCells count="8">
    <mergeCell ref="A1:H1"/>
    <mergeCell ref="A2:H2"/>
    <mergeCell ref="A4:H4"/>
    <mergeCell ref="E25:G25"/>
    <mergeCell ref="A26:H26"/>
    <mergeCell ref="E97:G97"/>
    <mergeCell ref="A98:H98"/>
    <mergeCell ref="B99:H99"/>
  </mergeCells>
  <printOptions/>
  <pageMargins bottom="0.75" footer="0.0" header="0.0" left="0.7" right="0.7" top="0.75"/>
  <pageSetup paperSize="9" scale="90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showGridLines="0" workbookViewId="0"/>
  </sheetViews>
  <sheetFormatPr customHeight="1" defaultColWidth="12.63" defaultRowHeight="15.0"/>
  <cols>
    <col customWidth="1" min="1" max="1" width="6.38"/>
    <col customWidth="1" min="2" max="2" width="11.0"/>
    <col customWidth="1" min="3" max="3" width="6.0"/>
    <col customWidth="1" min="4" max="4" width="11.75"/>
    <col customWidth="1" min="5" max="5" width="10.13"/>
    <col customWidth="1" min="6" max="6" width="12.38"/>
    <col customWidth="1" min="7" max="7" width="12.13"/>
    <col customWidth="1" min="8" max="8" width="12.25"/>
    <col customWidth="1" min="9" max="9" width="12.38"/>
    <col customWidth="1" min="10" max="11" width="14.88"/>
    <col customWidth="1" min="12" max="26" width="14.38"/>
  </cols>
  <sheetData>
    <row r="1" ht="34.5" customHeight="1">
      <c r="A1" s="208"/>
      <c r="B1" s="209" t="s">
        <v>331</v>
      </c>
      <c r="K1" s="208"/>
    </row>
    <row r="2" ht="42.75" customHeight="1">
      <c r="A2" s="210" t="s">
        <v>332</v>
      </c>
      <c r="B2" s="211"/>
      <c r="C2" s="211"/>
      <c r="D2" s="211"/>
      <c r="E2" s="211"/>
      <c r="F2" s="211"/>
      <c r="G2" s="211"/>
      <c r="H2" s="211"/>
      <c r="I2" s="211"/>
      <c r="J2" s="212"/>
      <c r="K2" s="208"/>
    </row>
    <row r="3" ht="15.75" customHeight="1">
      <c r="A3" s="208"/>
      <c r="B3" s="213"/>
      <c r="C3" s="213"/>
      <c r="D3" s="213"/>
      <c r="E3" s="213"/>
      <c r="F3" s="213"/>
      <c r="G3" s="214"/>
      <c r="H3" s="214"/>
      <c r="I3" s="214"/>
      <c r="J3" s="214"/>
      <c r="K3" s="208"/>
    </row>
    <row r="4" ht="15.75" customHeight="1">
      <c r="A4" s="208"/>
      <c r="B4" s="213"/>
      <c r="C4" s="213"/>
      <c r="D4" s="213"/>
      <c r="E4" s="213"/>
      <c r="F4" s="213"/>
      <c r="G4" s="214"/>
      <c r="H4" s="214"/>
      <c r="I4" s="214"/>
      <c r="J4" s="214"/>
      <c r="K4" s="208"/>
    </row>
    <row r="5" ht="15.75" customHeight="1">
      <c r="A5" s="215" t="s">
        <v>333</v>
      </c>
      <c r="B5" s="216"/>
      <c r="C5" s="216"/>
      <c r="D5" s="216"/>
      <c r="E5" s="216"/>
      <c r="F5" s="216"/>
      <c r="G5" s="216"/>
      <c r="H5" s="216"/>
      <c r="I5" s="216"/>
      <c r="J5" s="216"/>
      <c r="K5" s="217"/>
    </row>
    <row r="6" ht="15.75" customHeight="1">
      <c r="A6" s="208"/>
      <c r="B6" s="213"/>
      <c r="C6" s="213"/>
      <c r="D6" s="213"/>
      <c r="E6" s="213"/>
      <c r="F6" s="213"/>
      <c r="G6" s="214"/>
      <c r="H6" s="214"/>
      <c r="I6" s="214"/>
      <c r="J6" s="214"/>
      <c r="K6" s="208"/>
    </row>
    <row r="7" ht="15.75" customHeight="1">
      <c r="A7" s="208"/>
      <c r="B7" s="208"/>
      <c r="C7" s="218" t="s">
        <v>334</v>
      </c>
      <c r="D7" s="219" t="s">
        <v>335</v>
      </c>
      <c r="E7" s="21"/>
      <c r="F7" s="21"/>
      <c r="G7" s="21"/>
      <c r="H7" s="22"/>
      <c r="I7" s="220" t="s">
        <v>336</v>
      </c>
      <c r="J7" s="22"/>
      <c r="K7" s="208"/>
    </row>
    <row r="8" ht="15.75" customHeight="1">
      <c r="A8" s="208"/>
      <c r="B8" s="208"/>
      <c r="C8" s="218" t="s">
        <v>337</v>
      </c>
      <c r="D8" s="219" t="s">
        <v>14</v>
      </c>
      <c r="E8" s="21"/>
      <c r="F8" s="21"/>
      <c r="G8" s="21"/>
      <c r="H8" s="22"/>
      <c r="I8" s="220" t="s">
        <v>338</v>
      </c>
      <c r="J8" s="22"/>
      <c r="K8" s="208"/>
    </row>
    <row r="9" ht="15.75" customHeight="1">
      <c r="A9" s="208"/>
      <c r="B9" s="208"/>
      <c r="C9" s="218" t="s">
        <v>339</v>
      </c>
      <c r="D9" s="219" t="s">
        <v>16</v>
      </c>
      <c r="E9" s="21"/>
      <c r="F9" s="21"/>
      <c r="G9" s="21"/>
      <c r="H9" s="22"/>
      <c r="I9" s="220" t="s">
        <v>17</v>
      </c>
      <c r="J9" s="22"/>
      <c r="K9" s="208"/>
    </row>
    <row r="10" ht="15.75" customHeight="1">
      <c r="A10" s="208"/>
      <c r="B10" s="208"/>
      <c r="C10" s="218" t="s">
        <v>340</v>
      </c>
      <c r="D10" s="219" t="s">
        <v>18</v>
      </c>
      <c r="E10" s="21"/>
      <c r="F10" s="21"/>
      <c r="G10" s="21"/>
      <c r="H10" s="22"/>
      <c r="I10" s="220" t="s">
        <v>19</v>
      </c>
      <c r="J10" s="22"/>
      <c r="K10" s="208"/>
    </row>
    <row r="11" ht="15.75" customHeight="1">
      <c r="A11" s="208"/>
      <c r="B11" s="208"/>
      <c r="C11" s="218" t="s">
        <v>341</v>
      </c>
      <c r="D11" s="219" t="s">
        <v>20</v>
      </c>
      <c r="E11" s="21"/>
      <c r="F11" s="21"/>
      <c r="G11" s="21"/>
      <c r="H11" s="22"/>
      <c r="I11" s="220" t="s">
        <v>342</v>
      </c>
      <c r="J11" s="22"/>
      <c r="K11" s="208"/>
    </row>
    <row r="12" ht="15.75" customHeight="1">
      <c r="A12" s="208"/>
      <c r="B12" s="208"/>
      <c r="C12" s="218" t="s">
        <v>343</v>
      </c>
      <c r="D12" s="219" t="s">
        <v>22</v>
      </c>
      <c r="E12" s="21"/>
      <c r="F12" s="21"/>
      <c r="G12" s="21"/>
      <c r="H12" s="22"/>
      <c r="I12" s="220" t="s">
        <v>344</v>
      </c>
      <c r="J12" s="22"/>
      <c r="K12" s="208"/>
    </row>
    <row r="13" ht="15.75" customHeight="1">
      <c r="A13" s="208"/>
      <c r="B13" s="208"/>
      <c r="C13" s="218" t="s">
        <v>345</v>
      </c>
      <c r="D13" s="219" t="s">
        <v>346</v>
      </c>
      <c r="E13" s="21"/>
      <c r="F13" s="21"/>
      <c r="G13" s="21"/>
      <c r="H13" s="22"/>
      <c r="I13" s="221">
        <v>1358.81</v>
      </c>
      <c r="J13" s="22"/>
      <c r="K13" s="208"/>
    </row>
    <row r="14" ht="15.75" customHeight="1">
      <c r="A14" s="208"/>
      <c r="B14" s="208"/>
      <c r="C14" s="218" t="s">
        <v>347</v>
      </c>
      <c r="D14" s="219" t="s">
        <v>348</v>
      </c>
      <c r="E14" s="21"/>
      <c r="F14" s="21"/>
      <c r="G14" s="21"/>
      <c r="H14" s="22"/>
      <c r="I14" s="222">
        <v>12.0</v>
      </c>
      <c r="J14" s="22"/>
      <c r="K14" s="208"/>
    </row>
    <row r="15" ht="15.75" customHeight="1">
      <c r="A15" s="208"/>
      <c r="B15" s="208"/>
      <c r="C15" s="218" t="s">
        <v>349</v>
      </c>
      <c r="D15" s="219" t="s">
        <v>350</v>
      </c>
      <c r="E15" s="21"/>
      <c r="F15" s="21"/>
      <c r="G15" s="21"/>
      <c r="H15" s="22"/>
      <c r="I15" s="223">
        <v>2.0</v>
      </c>
      <c r="J15" s="22"/>
      <c r="K15" s="208"/>
    </row>
    <row r="16" ht="15.75" customHeight="1">
      <c r="A16" s="208"/>
      <c r="B16" s="208"/>
      <c r="C16" s="218" t="s">
        <v>351</v>
      </c>
      <c r="D16" s="219" t="s">
        <v>24</v>
      </c>
      <c r="E16" s="21"/>
      <c r="F16" s="21"/>
      <c r="G16" s="21"/>
      <c r="H16" s="22"/>
      <c r="I16" s="222" t="s">
        <v>25</v>
      </c>
      <c r="J16" s="22"/>
      <c r="K16" s="208"/>
    </row>
    <row r="17" ht="15.75" customHeight="1">
      <c r="A17" s="208"/>
      <c r="B17" s="213"/>
      <c r="C17" s="213"/>
      <c r="D17" s="213"/>
      <c r="E17" s="213"/>
      <c r="F17" s="213"/>
      <c r="G17" s="214"/>
      <c r="H17" s="214"/>
      <c r="I17" s="214"/>
      <c r="J17" s="214"/>
      <c r="K17" s="208"/>
    </row>
    <row r="18" ht="15.75" customHeight="1">
      <c r="A18" s="208"/>
      <c r="B18" s="213"/>
      <c r="C18" s="213"/>
      <c r="D18" s="213"/>
      <c r="E18" s="213"/>
      <c r="F18" s="213"/>
      <c r="G18" s="214"/>
      <c r="H18" s="214"/>
      <c r="I18" s="214"/>
      <c r="J18" s="214"/>
      <c r="K18" s="208"/>
    </row>
    <row r="19" ht="15.75" customHeight="1">
      <c r="A19" s="215" t="s">
        <v>352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ht="15.75" customHeight="1">
      <c r="A20" s="208"/>
      <c r="B20" s="213"/>
      <c r="C20" s="213"/>
      <c r="D20" s="213"/>
      <c r="E20" s="213"/>
      <c r="F20" s="213"/>
      <c r="G20" s="214"/>
      <c r="H20" s="214"/>
      <c r="I20" s="214"/>
      <c r="J20" s="214"/>
      <c r="K20" s="208"/>
    </row>
    <row r="21" ht="29.25" customHeight="1">
      <c r="A21" s="208"/>
      <c r="B21" s="217"/>
      <c r="C21" s="224" t="s">
        <v>353</v>
      </c>
      <c r="D21" s="21"/>
      <c r="E21" s="21"/>
      <c r="F21" s="21"/>
      <c r="G21" s="21"/>
      <c r="H21" s="22"/>
      <c r="I21" s="225" t="s">
        <v>354</v>
      </c>
      <c r="J21" s="225" t="s">
        <v>355</v>
      </c>
      <c r="K21" s="208"/>
    </row>
    <row r="22" ht="48.75" customHeight="1">
      <c r="A22" s="208"/>
      <c r="B22" s="217"/>
      <c r="C22" s="226" t="s">
        <v>356</v>
      </c>
      <c r="D22" s="21"/>
      <c r="E22" s="21"/>
      <c r="F22" s="21"/>
      <c r="G22" s="21"/>
      <c r="H22" s="22"/>
      <c r="I22" s="227" t="s">
        <v>357</v>
      </c>
      <c r="J22" s="227">
        <v>1.0</v>
      </c>
      <c r="K22" s="208"/>
    </row>
    <row r="23" ht="15.75" customHeight="1">
      <c r="A23" s="208"/>
      <c r="B23" s="213"/>
      <c r="C23" s="213"/>
      <c r="D23" s="213"/>
      <c r="E23" s="213"/>
      <c r="F23" s="213"/>
      <c r="G23" s="214"/>
      <c r="H23" s="214"/>
      <c r="I23" s="214"/>
      <c r="J23" s="214"/>
      <c r="K23" s="208"/>
    </row>
    <row r="24" ht="15.75" customHeight="1">
      <c r="A24" s="217"/>
      <c r="B24" s="228"/>
      <c r="C24" s="228"/>
      <c r="D24" s="228"/>
      <c r="E24" s="228"/>
      <c r="F24" s="228"/>
      <c r="G24" s="229"/>
      <c r="H24" s="229"/>
      <c r="I24" s="229"/>
      <c r="J24" s="229"/>
      <c r="K24" s="217"/>
    </row>
    <row r="25" ht="15.75" customHeight="1">
      <c r="A25" s="215" t="s">
        <v>358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7"/>
    </row>
    <row r="26" ht="15.75" customHeight="1">
      <c r="A26" s="208"/>
      <c r="B26" s="213"/>
      <c r="C26" s="213"/>
      <c r="D26" s="213"/>
      <c r="E26" s="213"/>
      <c r="F26" s="213"/>
      <c r="G26" s="214"/>
      <c r="H26" s="214"/>
      <c r="I26" s="214"/>
      <c r="J26" s="214"/>
      <c r="K26" s="208"/>
    </row>
    <row r="27" ht="15.75" customHeight="1">
      <c r="A27" s="230"/>
      <c r="B27" s="231" t="s">
        <v>35</v>
      </c>
      <c r="C27" s="232"/>
      <c r="D27" s="232"/>
      <c r="E27" s="232"/>
      <c r="F27" s="232"/>
      <c r="G27" s="232"/>
      <c r="H27" s="232"/>
      <c r="I27" s="232"/>
      <c r="J27" s="232"/>
      <c r="K27" s="230"/>
    </row>
    <row r="28" ht="15.75" customHeight="1">
      <c r="A28" s="217"/>
      <c r="B28" s="233"/>
      <c r="C28" s="234" t="s">
        <v>334</v>
      </c>
      <c r="D28" s="226" t="s">
        <v>359</v>
      </c>
      <c r="E28" s="21"/>
      <c r="F28" s="21"/>
      <c r="G28" s="21"/>
      <c r="H28" s="21"/>
      <c r="I28" s="22"/>
      <c r="J28" s="235">
        <f>I13</f>
        <v>1358.81</v>
      </c>
      <c r="K28" s="236"/>
    </row>
    <row r="29" ht="15.75" customHeight="1">
      <c r="A29" s="217"/>
      <c r="B29" s="233"/>
      <c r="C29" s="237" t="s">
        <v>337</v>
      </c>
      <c r="D29" s="238" t="s">
        <v>360</v>
      </c>
      <c r="I29" s="44"/>
      <c r="J29" s="239">
        <f>ROUND(((J28)/220*6),2)</f>
        <v>37.06</v>
      </c>
      <c r="K29" s="217"/>
    </row>
    <row r="30" ht="22.5" customHeight="1">
      <c r="A30" s="217"/>
      <c r="B30" s="233"/>
      <c r="C30" s="46"/>
      <c r="D30" s="79" t="s">
        <v>361</v>
      </c>
      <c r="E30" s="17"/>
      <c r="F30" s="17"/>
      <c r="G30" s="17"/>
      <c r="H30" s="17"/>
      <c r="I30" s="18"/>
      <c r="J30" s="18"/>
      <c r="K30" s="217"/>
    </row>
    <row r="31" ht="15.75" customHeight="1">
      <c r="A31" s="217"/>
      <c r="B31" s="233"/>
      <c r="C31" s="237" t="s">
        <v>339</v>
      </c>
      <c r="D31" s="238" t="s">
        <v>362</v>
      </c>
      <c r="I31" s="44"/>
      <c r="J31" s="239">
        <f>ROUND(J28/220*1.5*(365.25/12/2),2)</f>
        <v>141</v>
      </c>
      <c r="K31" s="217"/>
    </row>
    <row r="32" ht="15.75" customHeight="1">
      <c r="A32" s="217"/>
      <c r="B32" s="233"/>
      <c r="C32" s="46"/>
      <c r="D32" s="240" t="s">
        <v>363</v>
      </c>
      <c r="E32" s="17"/>
      <c r="F32" s="17"/>
      <c r="G32" s="17"/>
      <c r="H32" s="17"/>
      <c r="I32" s="18"/>
      <c r="J32" s="18"/>
      <c r="K32" s="217"/>
    </row>
    <row r="33" ht="15.75" customHeight="1">
      <c r="A33" s="217"/>
      <c r="B33" s="233"/>
      <c r="C33" s="53" t="s">
        <v>364</v>
      </c>
      <c r="J33" s="241">
        <f>SUM(J28:J32)</f>
        <v>1536.87</v>
      </c>
      <c r="K33" s="217"/>
    </row>
    <row r="34" ht="15.75" customHeight="1">
      <c r="A34" s="217"/>
      <c r="B34" s="228"/>
      <c r="C34" s="228"/>
      <c r="D34" s="228"/>
      <c r="E34" s="228"/>
      <c r="F34" s="228"/>
      <c r="G34" s="229"/>
      <c r="H34" s="229"/>
      <c r="I34" s="229"/>
      <c r="J34" s="229"/>
      <c r="K34" s="217"/>
    </row>
    <row r="35" ht="15.75" customHeight="1">
      <c r="A35" s="230"/>
      <c r="B35" s="231" t="s">
        <v>365</v>
      </c>
      <c r="C35" s="232"/>
      <c r="D35" s="232"/>
      <c r="E35" s="232"/>
      <c r="F35" s="232"/>
      <c r="G35" s="232"/>
      <c r="H35" s="232"/>
      <c r="I35" s="232"/>
      <c r="J35" s="232"/>
      <c r="K35" s="230"/>
    </row>
    <row r="36" ht="27.75" customHeight="1">
      <c r="A36" s="217"/>
      <c r="B36" s="217"/>
      <c r="C36" s="242" t="s">
        <v>334</v>
      </c>
      <c r="D36" s="243" t="s">
        <v>49</v>
      </c>
      <c r="E36" s="244" t="s">
        <v>366</v>
      </c>
      <c r="F36" s="21"/>
      <c r="G36" s="21"/>
      <c r="H36" s="22"/>
      <c r="I36" s="245">
        <v>6.3</v>
      </c>
      <c r="J36" s="246">
        <f>IF(ROUND((365.25/12/2*I36*I37)-(J28*0.06),2)&lt;0,0,ROUND((365.25/12/2*I36*I37)-(J28*0.06),2))</f>
        <v>110.23</v>
      </c>
      <c r="K36" s="217"/>
    </row>
    <row r="37" ht="27.75" customHeight="1">
      <c r="A37" s="217"/>
      <c r="B37" s="217"/>
      <c r="C37" s="33"/>
      <c r="D37" s="33"/>
      <c r="E37" s="244" t="s">
        <v>367</v>
      </c>
      <c r="F37" s="21"/>
      <c r="G37" s="21"/>
      <c r="H37" s="22"/>
      <c r="I37" s="247">
        <v>2.0</v>
      </c>
      <c r="J37" s="33"/>
      <c r="K37" s="217"/>
    </row>
    <row r="38" ht="15.75" customHeight="1">
      <c r="A38" s="217"/>
      <c r="B38" s="217"/>
      <c r="C38" s="35"/>
      <c r="D38" s="248" t="s">
        <v>368</v>
      </c>
      <c r="I38" s="44"/>
      <c r="J38" s="35"/>
      <c r="K38" s="217"/>
    </row>
    <row r="39" ht="15.75" customHeight="1">
      <c r="A39" s="217"/>
      <c r="B39" s="217"/>
      <c r="C39" s="242" t="s">
        <v>337</v>
      </c>
      <c r="D39" s="249" t="s">
        <v>55</v>
      </c>
      <c r="E39" s="61"/>
      <c r="F39" s="61"/>
      <c r="G39" s="61"/>
      <c r="H39" s="61"/>
      <c r="I39" s="250">
        <v>17.41</v>
      </c>
      <c r="J39" s="251">
        <f>ROUND(365.25/12/2*I39*(1-0.19),2)</f>
        <v>214.62</v>
      </c>
      <c r="K39" s="217"/>
    </row>
    <row r="40" ht="15.75" customHeight="1">
      <c r="A40" s="217"/>
      <c r="B40" s="217"/>
      <c r="C40" s="35"/>
      <c r="D40" s="240" t="s">
        <v>369</v>
      </c>
      <c r="E40" s="17"/>
      <c r="F40" s="17"/>
      <c r="G40" s="17"/>
      <c r="H40" s="18"/>
      <c r="I40" s="35"/>
      <c r="J40" s="252"/>
      <c r="K40" s="217"/>
    </row>
    <row r="41" ht="15.75" customHeight="1">
      <c r="A41" s="217"/>
      <c r="B41" s="217"/>
      <c r="C41" s="242" t="s">
        <v>339</v>
      </c>
      <c r="D41" s="238" t="s">
        <v>60</v>
      </c>
      <c r="I41" s="44"/>
      <c r="J41" s="239">
        <v>15.62</v>
      </c>
      <c r="K41" s="217"/>
    </row>
    <row r="42" ht="15.75" customHeight="1">
      <c r="A42" s="217"/>
      <c r="B42" s="217"/>
      <c r="C42" s="35"/>
      <c r="D42" s="240" t="s">
        <v>370</v>
      </c>
      <c r="E42" s="17"/>
      <c r="F42" s="17"/>
      <c r="G42" s="17"/>
      <c r="H42" s="17"/>
      <c r="I42" s="18"/>
      <c r="J42" s="18"/>
      <c r="K42" s="217"/>
    </row>
    <row r="43" ht="15.75" customHeight="1">
      <c r="A43" s="217"/>
      <c r="B43" s="217"/>
      <c r="C43" s="53" t="s">
        <v>371</v>
      </c>
      <c r="J43" s="253">
        <f>SUM(J36:J42)</f>
        <v>340.47</v>
      </c>
      <c r="K43" s="217"/>
    </row>
    <row r="44" ht="15.75" customHeight="1">
      <c r="A44" s="217"/>
      <c r="B44" s="228"/>
      <c r="C44" s="228"/>
      <c r="D44" s="228"/>
      <c r="E44" s="228"/>
      <c r="F44" s="228"/>
      <c r="G44" s="229"/>
      <c r="H44" s="229"/>
      <c r="I44" s="229"/>
      <c r="J44" s="229"/>
      <c r="K44" s="217"/>
    </row>
    <row r="45" ht="15.75" customHeight="1">
      <c r="A45" s="230"/>
      <c r="B45" s="231" t="s">
        <v>372</v>
      </c>
      <c r="C45" s="232"/>
      <c r="D45" s="232"/>
      <c r="E45" s="232"/>
      <c r="F45" s="232"/>
      <c r="G45" s="232"/>
      <c r="H45" s="232"/>
      <c r="I45" s="232"/>
      <c r="J45" s="232"/>
      <c r="K45" s="230"/>
    </row>
    <row r="46" ht="15.75" customHeight="1">
      <c r="A46" s="217"/>
      <c r="B46" s="217"/>
      <c r="C46" s="254" t="s">
        <v>334</v>
      </c>
      <c r="D46" s="249" t="s">
        <v>373</v>
      </c>
      <c r="E46" s="61"/>
      <c r="F46" s="61"/>
      <c r="G46" s="61"/>
      <c r="H46" s="61"/>
      <c r="I46" s="74"/>
      <c r="J46" s="245">
        <f>J171</f>
        <v>46.66666667</v>
      </c>
      <c r="K46" s="217"/>
    </row>
    <row r="47" ht="15.75" customHeight="1">
      <c r="A47" s="217"/>
      <c r="B47" s="217"/>
      <c r="C47" s="254" t="s">
        <v>337</v>
      </c>
      <c r="D47" s="249" t="s">
        <v>9</v>
      </c>
      <c r="E47" s="255"/>
      <c r="F47" s="255"/>
      <c r="G47" s="255"/>
      <c r="H47" s="255"/>
      <c r="I47" s="256"/>
      <c r="J47" s="245">
        <f>J178</f>
        <v>4.166666667</v>
      </c>
      <c r="K47" s="217"/>
    </row>
    <row r="48" ht="15.75" customHeight="1">
      <c r="A48" s="217"/>
      <c r="B48" s="217"/>
      <c r="C48" s="257" t="s">
        <v>339</v>
      </c>
      <c r="D48" s="226" t="s">
        <v>374</v>
      </c>
      <c r="E48" s="21"/>
      <c r="F48" s="21"/>
      <c r="G48" s="21"/>
      <c r="H48" s="21"/>
      <c r="I48" s="22"/>
      <c r="J48" s="245">
        <f>J187</f>
        <v>7.625</v>
      </c>
      <c r="K48" s="217"/>
    </row>
    <row r="49" ht="15.75" customHeight="1">
      <c r="A49" s="217"/>
      <c r="B49" s="217"/>
      <c r="C49" s="53" t="s">
        <v>375</v>
      </c>
      <c r="J49" s="253">
        <f>ROUND(SUM(J46:J48),2)</f>
        <v>58.46</v>
      </c>
      <c r="K49" s="217"/>
    </row>
    <row r="50" ht="15.75" customHeight="1">
      <c r="A50" s="217"/>
      <c r="B50" s="228"/>
      <c r="C50" s="228"/>
      <c r="D50" s="228"/>
      <c r="E50" s="228"/>
      <c r="F50" s="228"/>
      <c r="G50" s="229"/>
      <c r="H50" s="229"/>
      <c r="I50" s="229"/>
      <c r="J50" s="229"/>
      <c r="K50" s="217"/>
    </row>
    <row r="51" ht="15.75" customHeight="1">
      <c r="A51" s="230"/>
      <c r="B51" s="231" t="s">
        <v>376</v>
      </c>
      <c r="C51" s="232"/>
      <c r="D51" s="232"/>
      <c r="E51" s="232"/>
      <c r="F51" s="232"/>
      <c r="G51" s="232"/>
      <c r="H51" s="232"/>
      <c r="I51" s="232"/>
      <c r="J51" s="232"/>
      <c r="K51" s="230"/>
    </row>
    <row r="52" ht="15.75" customHeight="1">
      <c r="A52" s="217"/>
      <c r="B52" s="228"/>
      <c r="C52" s="228"/>
      <c r="D52" s="228"/>
      <c r="E52" s="228"/>
      <c r="F52" s="228"/>
      <c r="G52" s="229"/>
      <c r="H52" s="229"/>
      <c r="I52" s="229"/>
      <c r="J52" s="229"/>
      <c r="K52" s="217"/>
    </row>
    <row r="53" ht="15.75" customHeight="1">
      <c r="A53" s="258"/>
      <c r="B53" s="258"/>
      <c r="C53" s="28" t="s">
        <v>377</v>
      </c>
      <c r="K53" s="258"/>
    </row>
    <row r="54" ht="15.75" customHeight="1">
      <c r="A54" s="217"/>
      <c r="B54" s="259"/>
      <c r="C54" s="257" t="s">
        <v>334</v>
      </c>
      <c r="D54" s="226" t="s">
        <v>73</v>
      </c>
      <c r="E54" s="21"/>
      <c r="F54" s="21"/>
      <c r="G54" s="21"/>
      <c r="H54" s="22"/>
      <c r="I54" s="260">
        <v>0.2</v>
      </c>
      <c r="J54" s="261">
        <f t="shared" ref="J54:J61" si="1">ROUND($J$33*I54,2)</f>
        <v>307.37</v>
      </c>
      <c r="K54" s="217"/>
    </row>
    <row r="55" ht="15.75" customHeight="1">
      <c r="A55" s="217"/>
      <c r="B55" s="259"/>
      <c r="C55" s="257" t="s">
        <v>337</v>
      </c>
      <c r="D55" s="226" t="s">
        <v>75</v>
      </c>
      <c r="E55" s="21"/>
      <c r="F55" s="21"/>
      <c r="G55" s="21"/>
      <c r="H55" s="22"/>
      <c r="I55" s="260">
        <v>0.015</v>
      </c>
      <c r="J55" s="261">
        <f t="shared" si="1"/>
        <v>23.05</v>
      </c>
      <c r="K55" s="217"/>
    </row>
    <row r="56" ht="15.75" customHeight="1">
      <c r="A56" s="217"/>
      <c r="B56" s="259"/>
      <c r="C56" s="257" t="s">
        <v>339</v>
      </c>
      <c r="D56" s="226" t="s">
        <v>77</v>
      </c>
      <c r="E56" s="21"/>
      <c r="F56" s="21"/>
      <c r="G56" s="21"/>
      <c r="H56" s="22"/>
      <c r="I56" s="260">
        <v>0.01</v>
      </c>
      <c r="J56" s="261">
        <f t="shared" si="1"/>
        <v>15.37</v>
      </c>
      <c r="K56" s="217"/>
    </row>
    <row r="57" ht="15.75" customHeight="1">
      <c r="A57" s="217"/>
      <c r="B57" s="259"/>
      <c r="C57" s="257" t="s">
        <v>340</v>
      </c>
      <c r="D57" s="226" t="s">
        <v>79</v>
      </c>
      <c r="E57" s="21"/>
      <c r="F57" s="21"/>
      <c r="G57" s="21"/>
      <c r="H57" s="22"/>
      <c r="I57" s="260">
        <v>0.002</v>
      </c>
      <c r="J57" s="261">
        <f t="shared" si="1"/>
        <v>3.07</v>
      </c>
      <c r="K57" s="217"/>
    </row>
    <row r="58" ht="15.75" customHeight="1">
      <c r="A58" s="217"/>
      <c r="B58" s="259"/>
      <c r="C58" s="257" t="s">
        <v>341</v>
      </c>
      <c r="D58" s="226" t="s">
        <v>81</v>
      </c>
      <c r="E58" s="21"/>
      <c r="F58" s="21"/>
      <c r="G58" s="21"/>
      <c r="H58" s="22"/>
      <c r="I58" s="260">
        <v>0.025</v>
      </c>
      <c r="J58" s="261">
        <f t="shared" si="1"/>
        <v>38.42</v>
      </c>
      <c r="K58" s="217"/>
    </row>
    <row r="59" ht="15.75" customHeight="1">
      <c r="A59" s="217"/>
      <c r="B59" s="259"/>
      <c r="C59" s="257" t="s">
        <v>343</v>
      </c>
      <c r="D59" s="226" t="s">
        <v>85</v>
      </c>
      <c r="E59" s="21"/>
      <c r="F59" s="21"/>
      <c r="G59" s="21"/>
      <c r="H59" s="22"/>
      <c r="I59" s="260">
        <v>0.08</v>
      </c>
      <c r="J59" s="261">
        <f t="shared" si="1"/>
        <v>122.95</v>
      </c>
      <c r="K59" s="217"/>
    </row>
    <row r="60" ht="15.75" customHeight="1">
      <c r="A60" s="217"/>
      <c r="B60" s="259"/>
      <c r="C60" s="257" t="s">
        <v>347</v>
      </c>
      <c r="D60" s="226" t="s">
        <v>83</v>
      </c>
      <c r="E60" s="21"/>
      <c r="F60" s="21"/>
      <c r="G60" s="21"/>
      <c r="H60" s="22"/>
      <c r="I60" s="260">
        <v>0.006</v>
      </c>
      <c r="J60" s="261">
        <f t="shared" si="1"/>
        <v>9.22</v>
      </c>
      <c r="K60" s="217"/>
    </row>
    <row r="61" ht="15.75" customHeight="1">
      <c r="A61" s="217"/>
      <c r="B61" s="259"/>
      <c r="C61" s="237" t="s">
        <v>345</v>
      </c>
      <c r="D61" s="249" t="s">
        <v>378</v>
      </c>
      <c r="E61" s="61"/>
      <c r="F61" s="61"/>
      <c r="G61" s="262" t="s">
        <v>379</v>
      </c>
      <c r="H61" s="262" t="s">
        <v>380</v>
      </c>
      <c r="I61" s="263">
        <f>ROUND((G62*H62),4)</f>
        <v>0.03</v>
      </c>
      <c r="J61" s="264">
        <f t="shared" si="1"/>
        <v>46.11</v>
      </c>
      <c r="K61" s="217"/>
    </row>
    <row r="62" ht="15.75" customHeight="1">
      <c r="A62" s="217"/>
      <c r="B62" s="259"/>
      <c r="C62" s="265"/>
      <c r="D62" s="266"/>
      <c r="G62" s="267">
        <v>0.03</v>
      </c>
      <c r="H62" s="268">
        <v>1.0</v>
      </c>
      <c r="I62" s="33"/>
      <c r="J62" s="33"/>
      <c r="K62" s="217"/>
    </row>
    <row r="63" ht="15.75" customHeight="1">
      <c r="A63" s="217"/>
      <c r="B63" s="259"/>
      <c r="C63" s="46"/>
      <c r="D63" s="240" t="s">
        <v>381</v>
      </c>
      <c r="E63" s="17"/>
      <c r="F63" s="17"/>
      <c r="G63" s="17"/>
      <c r="H63" s="18"/>
      <c r="I63" s="35"/>
      <c r="J63" s="35"/>
      <c r="K63" s="217"/>
    </row>
    <row r="64" ht="15.75" customHeight="1">
      <c r="A64" s="258"/>
      <c r="B64" s="259"/>
      <c r="C64" s="269" t="s">
        <v>382</v>
      </c>
      <c r="H64" s="88" t="s">
        <v>45</v>
      </c>
      <c r="I64" s="89">
        <f t="shared" ref="I64:J64" si="2">SUM(I54:I63)</f>
        <v>0.368</v>
      </c>
      <c r="J64" s="253">
        <f t="shared" si="2"/>
        <v>565.56</v>
      </c>
      <c r="K64" s="258"/>
    </row>
    <row r="65" ht="15.75" customHeight="1">
      <c r="A65" s="217"/>
      <c r="B65" s="228"/>
      <c r="D65" s="270"/>
      <c r="E65" s="270"/>
      <c r="F65" s="270"/>
      <c r="G65" s="270"/>
      <c r="H65" s="270"/>
      <c r="I65" s="270"/>
      <c r="J65" s="270"/>
      <c r="K65" s="217"/>
    </row>
    <row r="66" ht="15.75" customHeight="1">
      <c r="A66" s="258"/>
      <c r="B66" s="258"/>
      <c r="C66" s="28" t="s">
        <v>383</v>
      </c>
      <c r="K66" s="258"/>
    </row>
    <row r="67" ht="15.75" customHeight="1">
      <c r="A67" s="217"/>
      <c r="B67" s="217"/>
      <c r="C67" s="237" t="s">
        <v>334</v>
      </c>
      <c r="D67" s="249" t="s">
        <v>384</v>
      </c>
      <c r="E67" s="61"/>
      <c r="F67" s="61"/>
      <c r="G67" s="61"/>
      <c r="H67" s="61"/>
      <c r="I67" s="74"/>
      <c r="J67" s="239">
        <f>ROUND($J$33/12,2)</f>
        <v>128.07</v>
      </c>
      <c r="K67" s="217"/>
    </row>
    <row r="68" ht="15.75" customHeight="1">
      <c r="A68" s="217"/>
      <c r="B68" s="217"/>
      <c r="C68" s="46"/>
      <c r="D68" s="79" t="s">
        <v>385</v>
      </c>
      <c r="E68" s="17"/>
      <c r="F68" s="17"/>
      <c r="G68" s="17"/>
      <c r="H68" s="17"/>
      <c r="I68" s="18"/>
      <c r="J68" s="18"/>
      <c r="K68" s="217"/>
    </row>
    <row r="69" ht="15.75" customHeight="1">
      <c r="A69" s="217"/>
      <c r="B69" s="217"/>
      <c r="C69" s="257" t="s">
        <v>337</v>
      </c>
      <c r="D69" s="271" t="s">
        <v>386</v>
      </c>
      <c r="E69" s="17"/>
      <c r="F69" s="17"/>
      <c r="G69" s="17"/>
      <c r="H69" s="17"/>
      <c r="I69" s="18"/>
      <c r="J69" s="261">
        <f>ROUND(I64*J67,2)</f>
        <v>47.13</v>
      </c>
      <c r="K69" s="217"/>
    </row>
    <row r="70" ht="15.75" customHeight="1">
      <c r="A70" s="217"/>
      <c r="B70" s="217"/>
      <c r="C70" s="53" t="s">
        <v>45</v>
      </c>
      <c r="J70" s="253">
        <f>SUM(J67:J69)</f>
        <v>175.2</v>
      </c>
      <c r="K70" s="217"/>
    </row>
    <row r="71" ht="15.75" customHeight="1">
      <c r="A71" s="217"/>
      <c r="B71" s="228"/>
      <c r="C71" s="228"/>
      <c r="D71" s="228"/>
      <c r="E71" s="228"/>
      <c r="F71" s="228"/>
      <c r="G71" s="229"/>
      <c r="H71" s="229"/>
      <c r="I71" s="229"/>
      <c r="J71" s="229"/>
      <c r="K71" s="217"/>
    </row>
    <row r="72" ht="15.75" customHeight="1">
      <c r="A72" s="258"/>
      <c r="B72" s="258"/>
      <c r="C72" s="28" t="s">
        <v>387</v>
      </c>
      <c r="K72" s="258"/>
    </row>
    <row r="73" ht="15.75" customHeight="1">
      <c r="A73" s="217"/>
      <c r="B73" s="217"/>
      <c r="C73" s="237" t="s">
        <v>334</v>
      </c>
      <c r="D73" s="249" t="s">
        <v>388</v>
      </c>
      <c r="E73" s="61"/>
      <c r="F73" s="61"/>
      <c r="G73" s="61"/>
      <c r="H73" s="61"/>
      <c r="I73" s="74"/>
      <c r="J73" s="239">
        <f>ROUND($J$33/30*(30+3)/12*0.1,2)</f>
        <v>14.09</v>
      </c>
      <c r="K73" s="217"/>
    </row>
    <row r="74" ht="15.75" customHeight="1">
      <c r="A74" s="217"/>
      <c r="B74" s="217"/>
      <c r="C74" s="46"/>
      <c r="D74" s="79" t="s">
        <v>389</v>
      </c>
      <c r="E74" s="17"/>
      <c r="F74" s="17"/>
      <c r="G74" s="17"/>
      <c r="H74" s="17"/>
      <c r="I74" s="18"/>
      <c r="J74" s="18"/>
      <c r="K74" s="217"/>
    </row>
    <row r="75" ht="15.75" customHeight="1">
      <c r="A75" s="217"/>
      <c r="B75" s="217"/>
      <c r="C75" s="257" t="s">
        <v>337</v>
      </c>
      <c r="D75" s="238" t="s">
        <v>390</v>
      </c>
      <c r="I75" s="44"/>
      <c r="J75" s="261">
        <f>ROUND($I$59*J73,2)</f>
        <v>1.13</v>
      </c>
      <c r="K75" s="217"/>
    </row>
    <row r="76" ht="15.75" customHeight="1">
      <c r="A76" s="217"/>
      <c r="B76" s="217"/>
      <c r="C76" s="237" t="s">
        <v>339</v>
      </c>
      <c r="D76" s="249" t="s">
        <v>391</v>
      </c>
      <c r="E76" s="61"/>
      <c r="F76" s="61"/>
      <c r="G76" s="61"/>
      <c r="H76" s="61"/>
      <c r="I76" s="74"/>
      <c r="J76" s="264">
        <f>J33/30*(7+(3))/12*0.9</f>
        <v>38.42175</v>
      </c>
      <c r="K76" s="217"/>
    </row>
    <row r="77" ht="15.75" customHeight="1">
      <c r="A77" s="217"/>
      <c r="B77" s="217"/>
      <c r="C77" s="46"/>
      <c r="D77" s="79" t="s">
        <v>392</v>
      </c>
      <c r="E77" s="17"/>
      <c r="F77" s="17"/>
      <c r="G77" s="17"/>
      <c r="H77" s="17"/>
      <c r="I77" s="18"/>
      <c r="J77" s="35"/>
      <c r="K77" s="217"/>
    </row>
    <row r="78" ht="15.75" customHeight="1">
      <c r="A78" s="217"/>
      <c r="B78" s="217"/>
      <c r="C78" s="257" t="s">
        <v>340</v>
      </c>
      <c r="D78" s="238" t="s">
        <v>393</v>
      </c>
      <c r="I78" s="44"/>
      <c r="J78" s="261">
        <f>ROUND($I$64*J76,2)</f>
        <v>14.14</v>
      </c>
      <c r="K78" s="217"/>
    </row>
    <row r="79" ht="15.75" customHeight="1">
      <c r="A79" s="217"/>
      <c r="B79" s="217"/>
      <c r="C79" s="237" t="s">
        <v>341</v>
      </c>
      <c r="D79" s="249" t="s">
        <v>394</v>
      </c>
      <c r="E79" s="61"/>
      <c r="F79" s="61"/>
      <c r="G79" s="61"/>
      <c r="H79" s="61"/>
      <c r="I79" s="74"/>
      <c r="J79" s="239">
        <f>ROUND(J33*0.08*0.4,2)</f>
        <v>49.18</v>
      </c>
      <c r="K79" s="217"/>
    </row>
    <row r="80" ht="15.75" customHeight="1">
      <c r="A80" s="217"/>
      <c r="B80" s="217"/>
      <c r="C80" s="46"/>
      <c r="D80" s="79" t="s">
        <v>395</v>
      </c>
      <c r="E80" s="17"/>
      <c r="F80" s="17"/>
      <c r="G80" s="17"/>
      <c r="H80" s="17"/>
      <c r="I80" s="18"/>
      <c r="J80" s="18"/>
      <c r="K80" s="217"/>
    </row>
    <row r="81" ht="15.75" customHeight="1">
      <c r="A81" s="217"/>
      <c r="B81" s="217"/>
      <c r="C81" s="139" t="s">
        <v>45</v>
      </c>
      <c r="D81" s="61"/>
      <c r="E81" s="61"/>
      <c r="F81" s="61"/>
      <c r="G81" s="61"/>
      <c r="H81" s="61"/>
      <c r="I81" s="74"/>
      <c r="J81" s="253">
        <f>SUM(J73:J80)</f>
        <v>116.96175</v>
      </c>
      <c r="K81" s="217"/>
    </row>
    <row r="82" ht="15.75" customHeight="1">
      <c r="A82" s="217"/>
      <c r="B82" s="228"/>
      <c r="C82" s="228"/>
      <c r="D82" s="228"/>
      <c r="E82" s="228"/>
      <c r="F82" s="228"/>
      <c r="G82" s="229"/>
      <c r="H82" s="229"/>
      <c r="I82" s="229"/>
      <c r="J82" s="229"/>
      <c r="K82" s="217"/>
    </row>
    <row r="83" ht="15.75" customHeight="1">
      <c r="A83" s="258"/>
      <c r="B83" s="258"/>
      <c r="C83" s="28" t="s">
        <v>396</v>
      </c>
      <c r="K83" s="258"/>
    </row>
    <row r="84" ht="15.75" customHeight="1">
      <c r="A84" s="217"/>
      <c r="B84" s="217"/>
      <c r="C84" s="237" t="s">
        <v>334</v>
      </c>
      <c r="D84" s="249" t="s">
        <v>397</v>
      </c>
      <c r="E84" s="61"/>
      <c r="F84" s="61"/>
      <c r="G84" s="61"/>
      <c r="H84" s="61"/>
      <c r="I84" s="74"/>
      <c r="J84" s="272">
        <f>ROUND($J$33*0.121,2)</f>
        <v>185.96</v>
      </c>
      <c r="K84" s="217"/>
    </row>
    <row r="85" ht="25.5" customHeight="1">
      <c r="A85" s="217"/>
      <c r="B85" s="217"/>
      <c r="C85" s="46"/>
      <c r="D85" s="273" t="s">
        <v>398</v>
      </c>
      <c r="E85" s="211"/>
      <c r="F85" s="211"/>
      <c r="G85" s="211"/>
      <c r="H85" s="211"/>
      <c r="I85" s="274"/>
      <c r="J85" s="252"/>
      <c r="K85" s="217">
        <f>((J33/12)+J33/12/3)+((J33/12)+J33/12/3)/12</f>
        <v>184.9936111</v>
      </c>
    </row>
    <row r="86" ht="15.75" customHeight="1">
      <c r="A86" s="217"/>
      <c r="B86" s="217"/>
      <c r="C86" s="237" t="s">
        <v>337</v>
      </c>
      <c r="D86" s="249" t="s">
        <v>399</v>
      </c>
      <c r="E86" s="61"/>
      <c r="F86" s="61"/>
      <c r="G86" s="61"/>
      <c r="H86" s="61"/>
      <c r="I86" s="74"/>
      <c r="J86" s="239">
        <f>ROUND(((5/30)/12)*$J$33,2)</f>
        <v>21.35</v>
      </c>
      <c r="K86" s="217"/>
    </row>
    <row r="87" ht="15.75" customHeight="1">
      <c r="A87" s="217"/>
      <c r="B87" s="217"/>
      <c r="C87" s="46"/>
      <c r="D87" s="156" t="s">
        <v>400</v>
      </c>
      <c r="I87" s="44"/>
      <c r="J87" s="18"/>
      <c r="K87" s="217"/>
    </row>
    <row r="88" ht="15.75" customHeight="1">
      <c r="A88" s="217"/>
      <c r="B88" s="217"/>
      <c r="C88" s="237" t="s">
        <v>339</v>
      </c>
      <c r="D88" s="249" t="s">
        <v>401</v>
      </c>
      <c r="E88" s="61"/>
      <c r="F88" s="61"/>
      <c r="G88" s="61"/>
      <c r="H88" s="61"/>
      <c r="I88" s="74"/>
      <c r="J88" s="239">
        <f>ROUND((5/30)/12*0.05*J33,2)</f>
        <v>1.07</v>
      </c>
      <c r="K88" s="217"/>
    </row>
    <row r="89" ht="15.75" customHeight="1">
      <c r="A89" s="217"/>
      <c r="B89" s="217"/>
      <c r="C89" s="46"/>
      <c r="D89" s="156" t="s">
        <v>402</v>
      </c>
      <c r="I89" s="44"/>
      <c r="J89" s="18"/>
      <c r="K89" s="217"/>
    </row>
    <row r="90" ht="15.75" customHeight="1">
      <c r="A90" s="217"/>
      <c r="B90" s="217"/>
      <c r="C90" s="237" t="s">
        <v>341</v>
      </c>
      <c r="D90" s="249" t="s">
        <v>403</v>
      </c>
      <c r="E90" s="61"/>
      <c r="F90" s="61"/>
      <c r="G90" s="61"/>
      <c r="H90" s="61"/>
      <c r="I90" s="74"/>
      <c r="J90" s="239">
        <f>ROUND((1+1/3)/12*4/12*0.05*$J$33,2)</f>
        <v>2.85</v>
      </c>
      <c r="K90" s="217"/>
    </row>
    <row r="91" ht="15.75" customHeight="1">
      <c r="A91" s="217"/>
      <c r="B91" s="217"/>
      <c r="C91" s="46"/>
      <c r="D91" s="156" t="s">
        <v>404</v>
      </c>
      <c r="I91" s="44"/>
      <c r="J91" s="18"/>
      <c r="K91" s="217"/>
    </row>
    <row r="92" ht="15.75" customHeight="1">
      <c r="A92" s="217"/>
      <c r="B92" s="217"/>
      <c r="C92" s="237" t="s">
        <v>341</v>
      </c>
      <c r="D92" s="249" t="s">
        <v>405</v>
      </c>
      <c r="E92" s="61"/>
      <c r="F92" s="61"/>
      <c r="G92" s="61"/>
      <c r="H92" s="61"/>
      <c r="I92" s="74"/>
      <c r="J92" s="239">
        <f>ROUND((3/30)/12*J33,2)</f>
        <v>12.81</v>
      </c>
      <c r="K92" s="217"/>
    </row>
    <row r="93" ht="15.75" customHeight="1">
      <c r="A93" s="217"/>
      <c r="B93" s="217"/>
      <c r="C93" s="46"/>
      <c r="D93" s="156" t="s">
        <v>406</v>
      </c>
      <c r="I93" s="44"/>
      <c r="J93" s="18"/>
      <c r="K93" s="217"/>
    </row>
    <row r="94" ht="15.75" customHeight="1">
      <c r="A94" s="217"/>
      <c r="B94" s="217"/>
      <c r="C94" s="237" t="s">
        <v>343</v>
      </c>
      <c r="D94" s="249" t="s">
        <v>407</v>
      </c>
      <c r="E94" s="61"/>
      <c r="F94" s="61"/>
      <c r="G94" s="61"/>
      <c r="H94" s="61"/>
      <c r="I94" s="74"/>
      <c r="J94" s="264">
        <f>ROUND(((15/30)/12)*0.01*J33,2)</f>
        <v>0.64</v>
      </c>
      <c r="K94" s="217"/>
    </row>
    <row r="95" ht="15.75" customHeight="1">
      <c r="A95" s="217"/>
      <c r="B95" s="217"/>
      <c r="C95" s="46"/>
      <c r="D95" s="79" t="s">
        <v>408</v>
      </c>
      <c r="E95" s="17"/>
      <c r="F95" s="17"/>
      <c r="G95" s="17"/>
      <c r="H95" s="17"/>
      <c r="I95" s="18"/>
      <c r="J95" s="35"/>
      <c r="K95" s="217"/>
    </row>
    <row r="96" ht="15.75" customHeight="1">
      <c r="A96" s="217"/>
      <c r="B96" s="217"/>
      <c r="C96" s="275" t="s">
        <v>409</v>
      </c>
      <c r="D96" s="61"/>
      <c r="E96" s="61"/>
      <c r="F96" s="61"/>
      <c r="G96" s="61"/>
      <c r="H96" s="61"/>
      <c r="I96" s="74"/>
      <c r="J96" s="276">
        <f>SUM(J84:J95)</f>
        <v>224.68</v>
      </c>
      <c r="K96" s="217"/>
    </row>
    <row r="97" ht="24.75" customHeight="1">
      <c r="A97" s="217"/>
      <c r="B97" s="217"/>
      <c r="C97" s="257" t="s">
        <v>345</v>
      </c>
      <c r="D97" s="226" t="s">
        <v>410</v>
      </c>
      <c r="E97" s="21"/>
      <c r="F97" s="21"/>
      <c r="G97" s="21"/>
      <c r="H97" s="21"/>
      <c r="I97" s="22"/>
      <c r="J97" s="261">
        <f>ROUND(I64*J96,2)</f>
        <v>82.68</v>
      </c>
      <c r="K97" s="217"/>
    </row>
    <row r="98" ht="15.75" customHeight="1">
      <c r="A98" s="217"/>
      <c r="B98" s="217"/>
      <c r="C98" s="139" t="s">
        <v>45</v>
      </c>
      <c r="D98" s="61"/>
      <c r="E98" s="61"/>
      <c r="F98" s="61"/>
      <c r="G98" s="61"/>
      <c r="H98" s="61"/>
      <c r="I98" s="74"/>
      <c r="J98" s="253">
        <f>SUM(J96:J97)</f>
        <v>307.36</v>
      </c>
      <c r="K98" s="217"/>
    </row>
    <row r="99" ht="15.75" customHeight="1">
      <c r="A99" s="217"/>
      <c r="B99" s="277"/>
      <c r="C99" s="278"/>
      <c r="D99" s="278"/>
      <c r="E99" s="278"/>
      <c r="F99" s="278"/>
      <c r="G99" s="278"/>
      <c r="H99" s="278"/>
      <c r="I99" s="278"/>
      <c r="J99" s="279"/>
      <c r="K99" s="217"/>
    </row>
    <row r="100" ht="15.75" customHeight="1">
      <c r="A100" s="217"/>
      <c r="B100" s="277"/>
      <c r="C100" s="280"/>
      <c r="D100" s="280"/>
      <c r="E100" s="280"/>
      <c r="F100" s="280"/>
      <c r="G100" s="280"/>
      <c r="H100" s="280"/>
      <c r="I100" s="280"/>
      <c r="J100" s="281"/>
      <c r="K100" s="217"/>
    </row>
    <row r="101" ht="15.75" customHeight="1">
      <c r="A101" s="258"/>
      <c r="B101" s="258"/>
      <c r="C101" s="282" t="s">
        <v>411</v>
      </c>
      <c r="D101" s="17"/>
      <c r="E101" s="17"/>
      <c r="F101" s="17"/>
      <c r="G101" s="17"/>
      <c r="H101" s="17"/>
      <c r="I101" s="17"/>
      <c r="J101" s="17"/>
      <c r="K101" s="258"/>
    </row>
    <row r="102" ht="15.75" customHeight="1">
      <c r="A102" s="217"/>
      <c r="B102" s="217"/>
      <c r="C102" s="257" t="s">
        <v>412</v>
      </c>
      <c r="D102" s="226" t="s">
        <v>413</v>
      </c>
      <c r="E102" s="21"/>
      <c r="F102" s="21"/>
      <c r="G102" s="21"/>
      <c r="H102" s="21"/>
      <c r="I102" s="22"/>
      <c r="J102" s="261">
        <f>J64</f>
        <v>565.56</v>
      </c>
      <c r="K102" s="217"/>
    </row>
    <row r="103" ht="15.75" customHeight="1">
      <c r="A103" s="217"/>
      <c r="B103" s="217"/>
      <c r="C103" s="257" t="s">
        <v>414</v>
      </c>
      <c r="D103" s="226" t="s">
        <v>415</v>
      </c>
      <c r="E103" s="21"/>
      <c r="F103" s="21"/>
      <c r="G103" s="21"/>
      <c r="H103" s="21"/>
      <c r="I103" s="22"/>
      <c r="J103" s="261">
        <f>J70</f>
        <v>175.2</v>
      </c>
      <c r="K103" s="217"/>
    </row>
    <row r="104" ht="15.75" customHeight="1">
      <c r="A104" s="217"/>
      <c r="B104" s="217"/>
      <c r="C104" s="283">
        <v>43894.0</v>
      </c>
      <c r="D104" s="226" t="s">
        <v>416</v>
      </c>
      <c r="E104" s="21"/>
      <c r="F104" s="21"/>
      <c r="G104" s="21"/>
      <c r="H104" s="21"/>
      <c r="I104" s="22"/>
      <c r="J104" s="261">
        <f>J81</f>
        <v>116.96175</v>
      </c>
      <c r="K104" s="217"/>
    </row>
    <row r="105" ht="15.75" customHeight="1">
      <c r="A105" s="217"/>
      <c r="B105" s="217"/>
      <c r="C105" s="283">
        <v>43925.0</v>
      </c>
      <c r="D105" s="226" t="s">
        <v>417</v>
      </c>
      <c r="E105" s="21"/>
      <c r="F105" s="21"/>
      <c r="G105" s="21"/>
      <c r="H105" s="21"/>
      <c r="I105" s="22"/>
      <c r="J105" s="261">
        <f>J98</f>
        <v>307.36</v>
      </c>
      <c r="K105" s="217"/>
    </row>
    <row r="106" ht="15.75" customHeight="1">
      <c r="A106" s="217"/>
      <c r="B106" s="217"/>
      <c r="C106" s="139" t="s">
        <v>418</v>
      </c>
      <c r="D106" s="61"/>
      <c r="E106" s="61"/>
      <c r="F106" s="61"/>
      <c r="G106" s="61"/>
      <c r="H106" s="61"/>
      <c r="I106" s="74"/>
      <c r="J106" s="253">
        <f>SUM(J102:J105)</f>
        <v>1165.08175</v>
      </c>
      <c r="K106" s="217"/>
    </row>
    <row r="107" ht="15.75" customHeight="1">
      <c r="A107" s="217"/>
      <c r="B107" s="277"/>
      <c r="C107" s="280"/>
      <c r="D107" s="280"/>
      <c r="E107" s="280"/>
      <c r="F107" s="280"/>
      <c r="G107" s="280"/>
      <c r="H107" s="280"/>
      <c r="I107" s="280"/>
      <c r="J107" s="281"/>
      <c r="K107" s="217"/>
    </row>
    <row r="108" ht="15.75" customHeight="1">
      <c r="A108" s="217"/>
      <c r="B108" s="277"/>
      <c r="C108" s="280"/>
      <c r="D108" s="280"/>
      <c r="E108" s="280"/>
      <c r="F108" s="280"/>
      <c r="G108" s="280"/>
      <c r="H108" s="280"/>
      <c r="I108" s="280"/>
      <c r="J108" s="281"/>
      <c r="K108" s="217"/>
    </row>
    <row r="109" ht="15.75" customHeight="1">
      <c r="A109" s="230"/>
      <c r="B109" s="231" t="s">
        <v>419</v>
      </c>
      <c r="C109" s="232"/>
      <c r="D109" s="232"/>
      <c r="E109" s="232"/>
      <c r="F109" s="232"/>
      <c r="G109" s="232"/>
      <c r="H109" s="232"/>
      <c r="I109" s="232"/>
      <c r="J109" s="232"/>
      <c r="K109" s="230"/>
    </row>
    <row r="110" ht="15.75" customHeight="1">
      <c r="A110" s="217"/>
      <c r="B110" s="277"/>
      <c r="C110" s="280"/>
      <c r="D110" s="280"/>
      <c r="E110" s="280"/>
      <c r="F110" s="280"/>
      <c r="G110" s="280"/>
      <c r="H110" s="280"/>
      <c r="I110" s="280"/>
      <c r="J110" s="281"/>
      <c r="K110" s="217"/>
    </row>
    <row r="111" ht="27.75" customHeight="1">
      <c r="A111" s="230"/>
      <c r="B111" s="28"/>
      <c r="C111" s="28"/>
      <c r="D111" s="28"/>
      <c r="E111" s="28"/>
      <c r="F111" s="28"/>
      <c r="G111" s="28"/>
      <c r="H111" s="284" t="s">
        <v>420</v>
      </c>
      <c r="I111" s="284" t="s">
        <v>131</v>
      </c>
      <c r="J111" s="284" t="s">
        <v>421</v>
      </c>
      <c r="K111" s="230"/>
    </row>
    <row r="112" ht="15.75" customHeight="1">
      <c r="A112" s="217"/>
      <c r="B112" s="217"/>
      <c r="C112" s="237" t="s">
        <v>334</v>
      </c>
      <c r="D112" s="285" t="s">
        <v>128</v>
      </c>
      <c r="E112" s="286"/>
      <c r="F112" s="286"/>
      <c r="G112" s="287"/>
      <c r="H112" s="239">
        <f>SUM(J33+J43+J49+J106)</f>
        <v>3100.88175</v>
      </c>
      <c r="I112" s="288">
        <v>0.1</v>
      </c>
      <c r="J112" s="264">
        <f>ROUND(I112*H112,2)</f>
        <v>310.09</v>
      </c>
      <c r="K112" s="217"/>
    </row>
    <row r="113" ht="15.75" customHeight="1">
      <c r="A113" s="217"/>
      <c r="B113" s="217"/>
      <c r="C113" s="46"/>
      <c r="D113" s="79" t="s">
        <v>422</v>
      </c>
      <c r="E113" s="17"/>
      <c r="F113" s="17"/>
      <c r="G113" s="18"/>
      <c r="H113" s="18"/>
      <c r="I113" s="35"/>
      <c r="J113" s="35"/>
      <c r="K113" s="217"/>
    </row>
    <row r="114" ht="15.75" customHeight="1">
      <c r="A114" s="217"/>
      <c r="B114" s="217"/>
      <c r="C114" s="242" t="s">
        <v>337</v>
      </c>
      <c r="D114" s="285" t="s">
        <v>133</v>
      </c>
      <c r="E114" s="286"/>
      <c r="F114" s="286"/>
      <c r="G114" s="287"/>
      <c r="H114" s="239">
        <f>SUM(J33+J43+J49+J106+J112)</f>
        <v>3410.97175</v>
      </c>
      <c r="I114" s="288">
        <v>0.1</v>
      </c>
      <c r="J114" s="264">
        <f>ROUND(I114*H114,2)</f>
        <v>341.1</v>
      </c>
      <c r="K114" s="217"/>
    </row>
    <row r="115" ht="15.75" customHeight="1">
      <c r="A115" s="217"/>
      <c r="B115" s="217"/>
      <c r="C115" s="289"/>
      <c r="D115" s="156" t="s">
        <v>423</v>
      </c>
      <c r="G115" s="44"/>
      <c r="H115" s="18"/>
      <c r="I115" s="35"/>
      <c r="J115" s="35"/>
      <c r="K115" s="217"/>
    </row>
    <row r="116" ht="15.75" customHeight="1">
      <c r="A116" s="217"/>
      <c r="B116" s="217"/>
      <c r="C116" s="242" t="s">
        <v>339</v>
      </c>
      <c r="D116" s="285" t="s">
        <v>135</v>
      </c>
      <c r="E116" s="290"/>
      <c r="F116" s="290"/>
      <c r="G116" s="290"/>
      <c r="H116" s="235">
        <f>SUM(J33+J43+J49+J106+J112+J114)</f>
        <v>3752.07175</v>
      </c>
      <c r="I116" s="291">
        <f t="shared" ref="I116:J116" si="3">SUM(I117:I119)</f>
        <v>0.1225</v>
      </c>
      <c r="J116" s="292">
        <f t="shared" si="3"/>
        <v>523.8</v>
      </c>
      <c r="K116" s="217"/>
    </row>
    <row r="117" ht="15.75" customHeight="1">
      <c r="A117" s="217"/>
      <c r="B117" s="293"/>
      <c r="C117" s="33"/>
      <c r="D117" s="217"/>
      <c r="E117" s="294" t="s">
        <v>424</v>
      </c>
      <c r="F117" s="74"/>
      <c r="G117" s="295" t="s">
        <v>425</v>
      </c>
      <c r="H117" s="18"/>
      <c r="I117" s="296">
        <v>0.0165</v>
      </c>
      <c r="J117" s="297">
        <f t="shared" ref="J117:J119" si="4">ROUND(($H$116/(1-$I$116))*I117,2)</f>
        <v>70.55</v>
      </c>
      <c r="K117" s="217"/>
    </row>
    <row r="118" ht="15.75" customHeight="1">
      <c r="A118" s="217"/>
      <c r="B118" s="293"/>
      <c r="C118" s="33"/>
      <c r="D118" s="217"/>
      <c r="E118" s="151"/>
      <c r="F118" s="18"/>
      <c r="G118" s="298" t="s">
        <v>426</v>
      </c>
      <c r="H118" s="22"/>
      <c r="I118" s="299">
        <v>0.076</v>
      </c>
      <c r="J118" s="261">
        <f t="shared" si="4"/>
        <v>324.97</v>
      </c>
      <c r="K118" s="217"/>
    </row>
    <row r="119" ht="15.75" customHeight="1">
      <c r="A119" s="217"/>
      <c r="B119" s="293"/>
      <c r="C119" s="33"/>
      <c r="D119" s="217"/>
      <c r="E119" s="300" t="s">
        <v>427</v>
      </c>
      <c r="F119" s="300"/>
      <c r="G119" s="298" t="s">
        <v>428</v>
      </c>
      <c r="H119" s="22"/>
      <c r="I119" s="299">
        <v>0.03</v>
      </c>
      <c r="J119" s="261">
        <f t="shared" si="4"/>
        <v>128.28</v>
      </c>
      <c r="K119" s="217"/>
    </row>
    <row r="120" ht="15.75" customHeight="1">
      <c r="A120" s="217"/>
      <c r="B120" s="293"/>
      <c r="C120" s="35"/>
      <c r="D120" s="79" t="s">
        <v>429</v>
      </c>
      <c r="E120" s="17"/>
      <c r="F120" s="17"/>
      <c r="G120" s="17"/>
      <c r="H120" s="17"/>
      <c r="I120" s="17"/>
      <c r="J120" s="18"/>
      <c r="K120" s="217"/>
    </row>
    <row r="121" ht="15.75" customHeight="1">
      <c r="A121" s="258"/>
      <c r="B121" s="217"/>
      <c r="C121" s="88" t="s">
        <v>45</v>
      </c>
      <c r="I121" s="301">
        <f>SUM(I112+I114+I117+I118+I119)</f>
        <v>0.3225</v>
      </c>
      <c r="J121" s="253">
        <f>SUM(J112+J114+J116)</f>
        <v>1174.99</v>
      </c>
      <c r="K121" s="258"/>
    </row>
    <row r="122" ht="15.75" customHeight="1">
      <c r="A122" s="217"/>
      <c r="B122" s="217"/>
      <c r="C122" s="302" t="s">
        <v>430</v>
      </c>
      <c r="K122" s="217"/>
    </row>
    <row r="123" ht="15.75" customHeight="1">
      <c r="A123" s="217"/>
      <c r="B123" s="217"/>
      <c r="C123" s="302" t="s">
        <v>431</v>
      </c>
      <c r="K123" s="217"/>
    </row>
    <row r="124" ht="15.75" customHeight="1">
      <c r="A124" s="217"/>
      <c r="B124" s="217"/>
      <c r="C124" s="302" t="s">
        <v>432</v>
      </c>
      <c r="K124" s="217"/>
    </row>
    <row r="125" ht="15.75" customHeight="1">
      <c r="A125" s="217"/>
      <c r="B125" s="217"/>
      <c r="C125" s="217"/>
      <c r="D125" s="217"/>
      <c r="E125" s="217"/>
      <c r="F125" s="217"/>
      <c r="G125" s="217"/>
      <c r="H125" s="217"/>
      <c r="I125" s="217"/>
      <c r="J125" s="217"/>
      <c r="K125" s="217"/>
    </row>
    <row r="126" ht="15.75" customHeight="1">
      <c r="A126" s="217"/>
      <c r="B126" s="217"/>
      <c r="C126" s="217"/>
      <c r="D126" s="217"/>
      <c r="E126" s="217"/>
      <c r="F126" s="217"/>
      <c r="G126" s="217"/>
      <c r="H126" s="217"/>
      <c r="I126" s="217"/>
      <c r="J126" s="217"/>
      <c r="K126" s="217"/>
    </row>
    <row r="127" ht="15.75" customHeight="1">
      <c r="A127" s="217"/>
      <c r="B127" s="217"/>
      <c r="C127" s="217"/>
      <c r="D127" s="217"/>
      <c r="E127" s="217"/>
      <c r="F127" s="217"/>
      <c r="G127" s="217"/>
      <c r="H127" s="217"/>
      <c r="I127" s="217"/>
      <c r="J127" s="217"/>
      <c r="K127" s="217"/>
    </row>
    <row r="128" ht="15.75" customHeight="1">
      <c r="A128" s="217"/>
      <c r="B128" s="228"/>
      <c r="C128" s="228"/>
      <c r="D128" s="228"/>
      <c r="E128" s="228"/>
      <c r="F128" s="228"/>
      <c r="G128" s="229"/>
      <c r="H128" s="229"/>
      <c r="I128" s="229"/>
      <c r="J128" s="229"/>
      <c r="K128" s="217"/>
    </row>
    <row r="129" ht="15.75" customHeight="1">
      <c r="A129" s="215" t="s">
        <v>433</v>
      </c>
      <c r="B129" s="216"/>
      <c r="C129" s="216"/>
      <c r="D129" s="216"/>
      <c r="E129" s="216"/>
      <c r="F129" s="216"/>
      <c r="G129" s="216"/>
      <c r="H129" s="216"/>
      <c r="I129" s="216"/>
      <c r="J129" s="216"/>
      <c r="K129" s="217"/>
    </row>
    <row r="130" ht="15.75" customHeight="1">
      <c r="A130" s="217"/>
      <c r="B130" s="228"/>
      <c r="C130" s="228"/>
      <c r="D130" s="228"/>
      <c r="E130" s="228"/>
      <c r="F130" s="228"/>
      <c r="G130" s="229"/>
      <c r="H130" s="229"/>
      <c r="I130" s="229"/>
      <c r="J130" s="229"/>
      <c r="K130" s="217"/>
    </row>
    <row r="131" ht="15.75" customHeight="1">
      <c r="A131" s="230"/>
      <c r="B131" s="231" t="s">
        <v>434</v>
      </c>
      <c r="C131" s="232"/>
      <c r="D131" s="232"/>
      <c r="E131" s="232"/>
      <c r="F131" s="232"/>
      <c r="G131" s="232"/>
      <c r="H131" s="232"/>
      <c r="I131" s="232"/>
      <c r="J131" s="232"/>
      <c r="K131" s="230"/>
    </row>
    <row r="132" ht="15.75" customHeight="1">
      <c r="A132" s="217"/>
      <c r="B132" s="217"/>
      <c r="C132" s="257" t="s">
        <v>334</v>
      </c>
      <c r="D132" s="226" t="s">
        <v>435</v>
      </c>
      <c r="E132" s="21"/>
      <c r="F132" s="21"/>
      <c r="G132" s="21"/>
      <c r="H132" s="21"/>
      <c r="I132" s="22"/>
      <c r="J132" s="261">
        <f>J33</f>
        <v>1536.87</v>
      </c>
      <c r="K132" s="217"/>
    </row>
    <row r="133" ht="15.75" customHeight="1">
      <c r="A133" s="217"/>
      <c r="B133" s="217"/>
      <c r="C133" s="257" t="s">
        <v>337</v>
      </c>
      <c r="D133" s="226" t="s">
        <v>436</v>
      </c>
      <c r="E133" s="21"/>
      <c r="F133" s="21"/>
      <c r="G133" s="21"/>
      <c r="H133" s="21"/>
      <c r="I133" s="22"/>
      <c r="J133" s="261">
        <f>J43</f>
        <v>340.47</v>
      </c>
      <c r="K133" s="217"/>
    </row>
    <row r="134" ht="15.75" customHeight="1">
      <c r="A134" s="217"/>
      <c r="B134" s="217"/>
      <c r="C134" s="257" t="s">
        <v>339</v>
      </c>
      <c r="D134" s="226" t="s">
        <v>437</v>
      </c>
      <c r="E134" s="21"/>
      <c r="F134" s="21"/>
      <c r="G134" s="21"/>
      <c r="H134" s="21"/>
      <c r="I134" s="22"/>
      <c r="J134" s="261">
        <f>J49</f>
        <v>58.46</v>
      </c>
      <c r="K134" s="217"/>
    </row>
    <row r="135" ht="15.75" customHeight="1">
      <c r="A135" s="217"/>
      <c r="B135" s="217"/>
      <c r="C135" s="257" t="s">
        <v>340</v>
      </c>
      <c r="D135" s="226" t="s">
        <v>438</v>
      </c>
      <c r="E135" s="21"/>
      <c r="F135" s="21"/>
      <c r="G135" s="21"/>
      <c r="H135" s="21"/>
      <c r="I135" s="22"/>
      <c r="J135" s="261">
        <f>J106</f>
        <v>1165.08175</v>
      </c>
      <c r="K135" s="217"/>
    </row>
    <row r="136" ht="15.75" customHeight="1">
      <c r="A136" s="217"/>
      <c r="B136" s="217"/>
      <c r="C136" s="275" t="s">
        <v>439</v>
      </c>
      <c r="D136" s="61"/>
      <c r="E136" s="61"/>
      <c r="F136" s="61"/>
      <c r="G136" s="61"/>
      <c r="H136" s="61"/>
      <c r="I136" s="74"/>
      <c r="J136" s="276">
        <f>SUM(J132:J135)</f>
        <v>3100.88175</v>
      </c>
      <c r="K136" s="217"/>
    </row>
    <row r="137" ht="15.75" customHeight="1">
      <c r="A137" s="217"/>
      <c r="B137" s="217"/>
      <c r="C137" s="257" t="s">
        <v>341</v>
      </c>
      <c r="D137" s="226" t="s">
        <v>440</v>
      </c>
      <c r="E137" s="21"/>
      <c r="F137" s="21"/>
      <c r="G137" s="21"/>
      <c r="H137" s="21"/>
      <c r="I137" s="22"/>
      <c r="J137" s="261">
        <f>J121</f>
        <v>1174.99</v>
      </c>
      <c r="K137" s="217"/>
    </row>
    <row r="138" ht="15.75" customHeight="1">
      <c r="A138" s="217"/>
      <c r="B138" s="217"/>
      <c r="C138" s="139" t="s">
        <v>441</v>
      </c>
      <c r="D138" s="61"/>
      <c r="E138" s="61"/>
      <c r="F138" s="61"/>
      <c r="G138" s="61"/>
      <c r="H138" s="61"/>
      <c r="I138" s="74"/>
      <c r="J138" s="253">
        <f>SUM(J136:J137)</f>
        <v>4275.87175</v>
      </c>
      <c r="K138" s="217"/>
    </row>
    <row r="139" ht="15.75" customHeight="1">
      <c r="A139" s="217"/>
      <c r="B139" s="217"/>
      <c r="C139" s="53" t="s">
        <v>442</v>
      </c>
      <c r="J139" s="253">
        <f>J138*I15</f>
        <v>8551.7435</v>
      </c>
      <c r="K139" s="217"/>
    </row>
    <row r="140" ht="15.75" customHeight="1">
      <c r="A140" s="217"/>
      <c r="B140" s="228"/>
      <c r="C140" s="228"/>
      <c r="D140" s="228"/>
      <c r="E140" s="228"/>
      <c r="F140" s="228"/>
      <c r="G140" s="229"/>
      <c r="H140" s="229"/>
      <c r="I140" s="229"/>
      <c r="J140" s="229"/>
      <c r="K140" s="217"/>
    </row>
    <row r="141" ht="15.75" customHeight="1">
      <c r="A141" s="217"/>
      <c r="B141" s="228"/>
      <c r="C141" s="228"/>
      <c r="D141" s="228"/>
      <c r="E141" s="228"/>
      <c r="F141" s="228"/>
      <c r="G141" s="229"/>
      <c r="H141" s="229"/>
      <c r="I141" s="229"/>
      <c r="J141" s="229"/>
      <c r="K141" s="217"/>
    </row>
    <row r="142" ht="15.75" customHeight="1">
      <c r="A142" s="217"/>
      <c r="B142" s="228"/>
      <c r="C142" s="228"/>
      <c r="D142" s="228"/>
      <c r="E142" s="228"/>
      <c r="F142" s="228"/>
      <c r="G142" s="229"/>
      <c r="H142" s="229"/>
      <c r="I142" s="229"/>
      <c r="J142" s="229"/>
      <c r="K142" s="217"/>
    </row>
    <row r="143" ht="15.75" customHeight="1">
      <c r="A143" s="215" t="s">
        <v>443</v>
      </c>
      <c r="B143" s="216"/>
      <c r="C143" s="216"/>
      <c r="D143" s="216"/>
      <c r="E143" s="216"/>
      <c r="F143" s="216"/>
      <c r="G143" s="216"/>
      <c r="H143" s="216"/>
      <c r="I143" s="216"/>
      <c r="J143" s="216"/>
      <c r="K143" s="217"/>
    </row>
    <row r="144" ht="15.75" customHeight="1">
      <c r="A144" s="217"/>
      <c r="B144" s="228"/>
      <c r="C144" s="228"/>
      <c r="D144" s="228"/>
      <c r="E144" s="228"/>
      <c r="F144" s="228"/>
      <c r="G144" s="229"/>
      <c r="H144" s="229"/>
      <c r="I144" s="229"/>
      <c r="J144" s="229"/>
      <c r="K144" s="217"/>
    </row>
    <row r="145" ht="15.75" customHeight="1">
      <c r="A145" s="230"/>
      <c r="B145" s="231" t="s">
        <v>444</v>
      </c>
      <c r="C145" s="232"/>
      <c r="D145" s="232"/>
      <c r="E145" s="232"/>
      <c r="F145" s="232"/>
      <c r="G145" s="232"/>
      <c r="H145" s="232"/>
      <c r="I145" s="232"/>
      <c r="J145" s="232"/>
      <c r="K145" s="230"/>
    </row>
    <row r="146" ht="15.75" customHeight="1">
      <c r="A146" s="217"/>
      <c r="B146" s="217"/>
      <c r="C146" s="217"/>
      <c r="D146" s="217"/>
      <c r="E146" s="217"/>
      <c r="F146" s="217"/>
      <c r="G146" s="217"/>
      <c r="H146" s="217"/>
      <c r="I146" s="217"/>
      <c r="J146" s="303"/>
      <c r="K146" s="217"/>
    </row>
    <row r="147" ht="35.25" customHeight="1">
      <c r="A147" s="217"/>
      <c r="B147" s="217"/>
      <c r="C147" s="304" t="s">
        <v>445</v>
      </c>
      <c r="D147" s="21"/>
      <c r="E147" s="21"/>
      <c r="F147" s="21"/>
      <c r="G147" s="22"/>
      <c r="H147" s="305" t="s">
        <v>446</v>
      </c>
      <c r="I147" s="305" t="s">
        <v>447</v>
      </c>
      <c r="J147" s="305" t="s">
        <v>409</v>
      </c>
      <c r="K147" s="217"/>
    </row>
    <row r="148" ht="59.25" customHeight="1">
      <c r="A148" s="217"/>
      <c r="B148" s="217"/>
      <c r="C148" s="226" t="s">
        <v>448</v>
      </c>
      <c r="D148" s="21"/>
      <c r="E148" s="21"/>
      <c r="F148" s="21"/>
      <c r="G148" s="22"/>
      <c r="H148" s="227">
        <v>1.0</v>
      </c>
      <c r="I148" s="306">
        <f>J139</f>
        <v>8551.7435</v>
      </c>
      <c r="J148" s="306">
        <f>ROUND(I148/H148,2)</f>
        <v>8551.74</v>
      </c>
      <c r="K148" s="217"/>
    </row>
    <row r="149" ht="15.75" customHeight="1">
      <c r="A149" s="217"/>
      <c r="B149" s="228"/>
      <c r="C149" s="302"/>
      <c r="K149" s="217"/>
    </row>
    <row r="150" ht="15.75" customHeight="1">
      <c r="A150" s="217"/>
      <c r="B150" s="28"/>
      <c r="C150" s="228"/>
      <c r="D150" s="228"/>
      <c r="E150" s="228"/>
      <c r="F150" s="228"/>
      <c r="G150" s="228"/>
      <c r="H150" s="228"/>
      <c r="I150" s="228"/>
      <c r="J150" s="228"/>
      <c r="K150" s="217"/>
    </row>
    <row r="151" ht="15.75" customHeight="1">
      <c r="A151" s="217"/>
      <c r="B151" s="28"/>
      <c r="C151" s="28"/>
      <c r="D151" s="28"/>
      <c r="E151" s="28"/>
      <c r="F151" s="28"/>
      <c r="G151" s="28"/>
      <c r="H151" s="28"/>
      <c r="I151" s="28"/>
      <c r="J151" s="28"/>
      <c r="K151" s="217"/>
    </row>
    <row r="152" ht="15.75" customHeight="1">
      <c r="A152" s="217"/>
      <c r="B152" s="28"/>
      <c r="C152" s="28"/>
      <c r="D152" s="28"/>
      <c r="E152" s="28"/>
      <c r="F152" s="28"/>
      <c r="G152" s="28"/>
      <c r="H152" s="28"/>
      <c r="I152" s="28"/>
      <c r="J152" s="28"/>
      <c r="K152" s="217"/>
    </row>
    <row r="153" ht="15.75" customHeight="1">
      <c r="A153" s="217"/>
      <c r="B153" s="28"/>
      <c r="C153" s="28"/>
      <c r="D153" s="28"/>
      <c r="E153" s="28"/>
      <c r="F153" s="28"/>
      <c r="G153" s="28"/>
      <c r="H153" s="28"/>
      <c r="I153" s="28"/>
      <c r="J153" s="28"/>
      <c r="K153" s="217"/>
    </row>
    <row r="154" ht="30.0" customHeight="1">
      <c r="A154" s="217"/>
      <c r="B154" s="28"/>
      <c r="C154" s="307" t="s">
        <v>449</v>
      </c>
      <c r="D154" s="308"/>
      <c r="E154" s="308"/>
      <c r="F154" s="308"/>
      <c r="G154" s="309"/>
      <c r="H154" s="310">
        <f>J148</f>
        <v>8551.74</v>
      </c>
      <c r="I154" s="232"/>
      <c r="J154" s="217"/>
      <c r="K154" s="217"/>
    </row>
    <row r="155" ht="30.0" customHeight="1">
      <c r="A155" s="217"/>
      <c r="B155" s="28"/>
      <c r="C155" s="311" t="s">
        <v>450</v>
      </c>
      <c r="D155" s="312"/>
      <c r="E155" s="312"/>
      <c r="F155" s="312"/>
      <c r="G155" s="313"/>
      <c r="H155" s="314">
        <f>I14</f>
        <v>12</v>
      </c>
      <c r="I155" s="312"/>
      <c r="J155" s="217"/>
      <c r="K155" s="217"/>
    </row>
    <row r="156" ht="30.0" customHeight="1">
      <c r="A156" s="217"/>
      <c r="B156" s="28"/>
      <c r="C156" s="307" t="s">
        <v>451</v>
      </c>
      <c r="D156" s="308"/>
      <c r="E156" s="308"/>
      <c r="F156" s="308"/>
      <c r="G156" s="309"/>
      <c r="H156" s="315">
        <f>H154*H155</f>
        <v>102620.88</v>
      </c>
      <c r="I156" s="312"/>
      <c r="J156" s="217"/>
      <c r="K156" s="217"/>
    </row>
    <row r="157" ht="15.75" customHeight="1">
      <c r="A157" s="217"/>
      <c r="B157" s="28"/>
      <c r="C157" s="28"/>
      <c r="D157" s="28"/>
      <c r="E157" s="28"/>
      <c r="F157" s="28"/>
      <c r="G157" s="28"/>
      <c r="H157" s="28"/>
      <c r="I157" s="28"/>
      <c r="J157" s="28"/>
      <c r="K157" s="217"/>
    </row>
    <row r="158" ht="15.75" customHeight="1">
      <c r="A158" s="217"/>
      <c r="B158" s="28"/>
      <c r="C158" s="28"/>
      <c r="D158" s="28"/>
      <c r="E158" s="28"/>
      <c r="F158" s="28"/>
      <c r="G158" s="28"/>
      <c r="H158" s="28"/>
      <c r="I158" s="28"/>
      <c r="J158" s="28"/>
      <c r="K158" s="217"/>
    </row>
    <row r="159" ht="15.75" customHeight="1">
      <c r="A159" s="217"/>
      <c r="B159" s="28"/>
      <c r="C159" s="28"/>
      <c r="D159" s="28"/>
      <c r="E159" s="28"/>
      <c r="F159" s="28"/>
      <c r="G159" s="28"/>
      <c r="H159" s="28"/>
      <c r="I159" s="28"/>
      <c r="J159" s="28"/>
      <c r="K159" s="217"/>
    </row>
    <row r="160" ht="15.75" customHeight="1">
      <c r="A160" s="217"/>
      <c r="B160" s="28"/>
      <c r="C160" s="28"/>
      <c r="D160" s="28"/>
      <c r="E160" s="28"/>
      <c r="F160" s="28"/>
      <c r="G160" s="28"/>
      <c r="H160" s="28"/>
      <c r="I160" s="28"/>
      <c r="J160" s="28"/>
      <c r="K160" s="217"/>
    </row>
    <row r="161" ht="19.5" customHeight="1">
      <c r="A161" s="215" t="s">
        <v>452</v>
      </c>
      <c r="B161" s="216"/>
      <c r="C161" s="216"/>
      <c r="D161" s="216"/>
      <c r="E161" s="216"/>
      <c r="F161" s="216"/>
      <c r="G161" s="216"/>
      <c r="H161" s="216"/>
      <c r="I161" s="216"/>
      <c r="J161" s="216"/>
      <c r="K161" s="217"/>
    </row>
    <row r="162" ht="15.75" customHeight="1">
      <c r="A162" s="217"/>
      <c r="B162" s="217"/>
      <c r="C162" s="217"/>
      <c r="D162" s="217"/>
      <c r="E162" s="217"/>
      <c r="F162" s="217"/>
      <c r="G162" s="217"/>
      <c r="H162" s="217"/>
      <c r="I162" s="217"/>
      <c r="J162" s="303"/>
      <c r="K162" s="217"/>
    </row>
    <row r="163" ht="15.75" customHeight="1">
      <c r="A163" s="230"/>
      <c r="B163" s="231" t="s">
        <v>453</v>
      </c>
      <c r="C163" s="232"/>
      <c r="D163" s="232"/>
      <c r="E163" s="232"/>
      <c r="F163" s="232"/>
      <c r="G163" s="232"/>
      <c r="H163" s="232"/>
      <c r="I163" s="232"/>
      <c r="J163" s="232"/>
      <c r="K163" s="230"/>
    </row>
    <row r="164" ht="39.75" customHeight="1">
      <c r="A164" s="208"/>
      <c r="B164" s="208"/>
      <c r="C164" s="316" t="s">
        <v>148</v>
      </c>
      <c r="D164" s="317" t="s">
        <v>149</v>
      </c>
      <c r="E164" s="21"/>
      <c r="F164" s="22"/>
      <c r="G164" s="318" t="s">
        <v>454</v>
      </c>
      <c r="H164" s="316" t="s">
        <v>354</v>
      </c>
      <c r="I164" s="319" t="s">
        <v>151</v>
      </c>
      <c r="J164" s="319" t="s">
        <v>152</v>
      </c>
      <c r="K164" s="208"/>
    </row>
    <row r="165" ht="15.75" customHeight="1">
      <c r="A165" s="208"/>
      <c r="B165" s="208"/>
      <c r="C165" s="320">
        <v>1.0</v>
      </c>
      <c r="D165" s="321" t="s">
        <v>455</v>
      </c>
      <c r="E165" s="21"/>
      <c r="F165" s="22"/>
      <c r="G165" s="322">
        <v>4.0</v>
      </c>
      <c r="H165" s="322" t="s">
        <v>456</v>
      </c>
      <c r="I165" s="323">
        <v>70.0</v>
      </c>
      <c r="J165" s="323">
        <f t="shared" ref="J165:J168" si="5">SUM(G165*I165)</f>
        <v>280</v>
      </c>
      <c r="K165" s="208"/>
    </row>
    <row r="166" ht="15.75" customHeight="1">
      <c r="A166" s="208"/>
      <c r="B166" s="208"/>
      <c r="C166" s="320">
        <v>2.0</v>
      </c>
      <c r="D166" s="321" t="s">
        <v>457</v>
      </c>
      <c r="E166" s="21"/>
      <c r="F166" s="22"/>
      <c r="G166" s="322">
        <v>4.0</v>
      </c>
      <c r="H166" s="322" t="s">
        <v>456</v>
      </c>
      <c r="I166" s="323">
        <v>70.0</v>
      </c>
      <c r="J166" s="323">
        <f t="shared" si="5"/>
        <v>280</v>
      </c>
      <c r="K166" s="208"/>
    </row>
    <row r="167" ht="15.75" customHeight="1">
      <c r="A167" s="208"/>
      <c r="B167" s="208"/>
      <c r="C167" s="320">
        <v>2.0</v>
      </c>
      <c r="D167" s="321" t="s">
        <v>458</v>
      </c>
      <c r="E167" s="21"/>
      <c r="F167" s="22"/>
      <c r="G167" s="322">
        <v>4.0</v>
      </c>
      <c r="H167" s="322" t="s">
        <v>456</v>
      </c>
      <c r="I167" s="323">
        <v>70.0</v>
      </c>
      <c r="J167" s="323">
        <f t="shared" si="5"/>
        <v>280</v>
      </c>
      <c r="K167" s="208"/>
    </row>
    <row r="168" ht="15.75" customHeight="1">
      <c r="A168" s="208"/>
      <c r="B168" s="208"/>
      <c r="C168" s="320">
        <v>3.0</v>
      </c>
      <c r="D168" s="321" t="s">
        <v>459</v>
      </c>
      <c r="E168" s="21"/>
      <c r="F168" s="22"/>
      <c r="G168" s="322">
        <v>4.0</v>
      </c>
      <c r="H168" s="322" t="s">
        <v>460</v>
      </c>
      <c r="I168" s="323">
        <v>70.0</v>
      </c>
      <c r="J168" s="323">
        <f t="shared" si="5"/>
        <v>280</v>
      </c>
      <c r="K168" s="208"/>
    </row>
    <row r="169" ht="15.75" customHeight="1">
      <c r="A169" s="208"/>
      <c r="B169" s="324"/>
      <c r="D169" s="217"/>
      <c r="E169" s="217"/>
      <c r="F169" s="217"/>
      <c r="G169" s="325" t="s">
        <v>461</v>
      </c>
      <c r="H169" s="21"/>
      <c r="I169" s="22"/>
      <c r="J169" s="326">
        <f>SUM(J165:J168)</f>
        <v>1120</v>
      </c>
      <c r="K169" s="208"/>
    </row>
    <row r="170" ht="15.75" customHeight="1">
      <c r="A170" s="208"/>
      <c r="B170" s="324"/>
      <c r="D170" s="217"/>
      <c r="E170" s="217"/>
      <c r="F170" s="217"/>
      <c r="G170" s="325" t="s">
        <v>172</v>
      </c>
      <c r="H170" s="21"/>
      <c r="I170" s="22"/>
      <c r="J170" s="326">
        <f>J169/12</f>
        <v>93.33333333</v>
      </c>
      <c r="K170" s="208"/>
    </row>
    <row r="171" ht="15.75" customHeight="1">
      <c r="A171" s="208"/>
      <c r="B171" s="324"/>
      <c r="D171" s="217"/>
      <c r="E171" s="217"/>
      <c r="F171" s="217"/>
      <c r="G171" s="325" t="s">
        <v>462</v>
      </c>
      <c r="H171" s="21"/>
      <c r="I171" s="22"/>
      <c r="J171" s="327">
        <f>J170/I$15</f>
        <v>46.66666667</v>
      </c>
      <c r="K171" s="208"/>
    </row>
    <row r="172" ht="15.75" customHeight="1">
      <c r="A172" s="208"/>
      <c r="B172" s="324"/>
      <c r="D172" s="217"/>
      <c r="E172" s="217"/>
      <c r="F172" s="217"/>
      <c r="G172" s="324"/>
      <c r="H172" s="324"/>
      <c r="I172" s="328"/>
      <c r="J172" s="328"/>
      <c r="K172" s="208"/>
    </row>
    <row r="173" ht="15.75" customHeight="1">
      <c r="A173" s="230"/>
      <c r="B173" s="231" t="s">
        <v>126</v>
      </c>
      <c r="C173" s="232"/>
      <c r="D173" s="232"/>
      <c r="E173" s="232"/>
      <c r="F173" s="232"/>
      <c r="G173" s="232"/>
      <c r="H173" s="232"/>
      <c r="I173" s="232"/>
      <c r="J173" s="232"/>
      <c r="K173" s="230"/>
    </row>
    <row r="174" ht="39.75" customHeight="1">
      <c r="A174" s="208"/>
      <c r="B174" s="208"/>
      <c r="C174" s="316" t="s">
        <v>148</v>
      </c>
      <c r="D174" s="317" t="s">
        <v>149</v>
      </c>
      <c r="E174" s="21"/>
      <c r="F174" s="22"/>
      <c r="G174" s="318" t="s">
        <v>454</v>
      </c>
      <c r="H174" s="316" t="s">
        <v>354</v>
      </c>
      <c r="I174" s="319" t="s">
        <v>151</v>
      </c>
      <c r="J174" s="319" t="s">
        <v>152</v>
      </c>
      <c r="K174" s="208"/>
    </row>
    <row r="175" ht="15.75" customHeight="1">
      <c r="A175" s="208"/>
      <c r="B175" s="208"/>
      <c r="C175" s="320">
        <v>1.0</v>
      </c>
      <c r="D175" s="321" t="s">
        <v>463</v>
      </c>
      <c r="E175" s="21"/>
      <c r="F175" s="22"/>
      <c r="G175" s="322">
        <v>4.0</v>
      </c>
      <c r="H175" s="322" t="s">
        <v>456</v>
      </c>
      <c r="I175" s="323">
        <v>25.0</v>
      </c>
      <c r="J175" s="323">
        <f>SUM(G175*I175)</f>
        <v>100</v>
      </c>
      <c r="K175" s="208"/>
    </row>
    <row r="176" ht="15.75" customHeight="1">
      <c r="A176" s="208"/>
      <c r="B176" s="324"/>
      <c r="D176" s="217"/>
      <c r="E176" s="217"/>
      <c r="F176" s="217"/>
      <c r="G176" s="325" t="s">
        <v>461</v>
      </c>
      <c r="H176" s="21"/>
      <c r="I176" s="22"/>
      <c r="J176" s="326">
        <f>SUM(J175)</f>
        <v>100</v>
      </c>
      <c r="K176" s="208"/>
    </row>
    <row r="177" ht="15.75" customHeight="1">
      <c r="A177" s="208"/>
      <c r="B177" s="324"/>
      <c r="D177" s="217"/>
      <c r="E177" s="217"/>
      <c r="F177" s="217"/>
      <c r="G177" s="325" t="s">
        <v>172</v>
      </c>
      <c r="H177" s="21"/>
      <c r="I177" s="22"/>
      <c r="J177" s="326">
        <f>J176/12</f>
        <v>8.333333333</v>
      </c>
      <c r="K177" s="208"/>
    </row>
    <row r="178" ht="15.75" customHeight="1">
      <c r="A178" s="208"/>
      <c r="B178" s="324"/>
      <c r="D178" s="217"/>
      <c r="E178" s="217"/>
      <c r="F178" s="217"/>
      <c r="G178" s="325" t="s">
        <v>462</v>
      </c>
      <c r="H178" s="21"/>
      <c r="I178" s="22"/>
      <c r="J178" s="327">
        <f>J177/I$15</f>
        <v>4.166666667</v>
      </c>
      <c r="K178" s="208"/>
    </row>
    <row r="179" ht="15.75" customHeight="1">
      <c r="A179" s="208"/>
      <c r="B179" s="324"/>
      <c r="D179" s="217"/>
      <c r="E179" s="217"/>
      <c r="F179" s="217"/>
      <c r="G179" s="324"/>
      <c r="H179" s="324"/>
      <c r="I179" s="328"/>
      <c r="J179" s="328"/>
      <c r="K179" s="208"/>
    </row>
    <row r="180" ht="15.75" customHeight="1">
      <c r="A180" s="230"/>
      <c r="B180" s="329" t="s">
        <v>464</v>
      </c>
      <c r="C180" s="308"/>
      <c r="D180" s="308"/>
      <c r="E180" s="308"/>
      <c r="F180" s="308"/>
      <c r="G180" s="308"/>
      <c r="H180" s="308"/>
      <c r="I180" s="308"/>
      <c r="J180" s="309"/>
      <c r="K180" s="230"/>
    </row>
    <row r="181" ht="39.75" customHeight="1">
      <c r="A181" s="208"/>
      <c r="B181" s="208"/>
      <c r="C181" s="316" t="s">
        <v>148</v>
      </c>
      <c r="D181" s="330" t="s">
        <v>149</v>
      </c>
      <c r="E181" s="331"/>
      <c r="F181" s="332"/>
      <c r="G181" s="318" t="s">
        <v>465</v>
      </c>
      <c r="H181" s="316" t="s">
        <v>354</v>
      </c>
      <c r="I181" s="319" t="s">
        <v>151</v>
      </c>
      <c r="J181" s="319" t="s">
        <v>152</v>
      </c>
      <c r="K181" s="208"/>
    </row>
    <row r="182" ht="15.75" customHeight="1">
      <c r="A182" s="208"/>
      <c r="B182" s="208"/>
      <c r="C182" s="320">
        <v>1.0</v>
      </c>
      <c r="D182" s="321" t="s">
        <v>466</v>
      </c>
      <c r="E182" s="21"/>
      <c r="F182" s="22"/>
      <c r="G182" s="322">
        <v>1.0</v>
      </c>
      <c r="H182" s="322" t="s">
        <v>354</v>
      </c>
      <c r="I182" s="323">
        <v>555.0</v>
      </c>
      <c r="J182" s="323">
        <f t="shared" ref="J182:J183" si="6">G182*I182</f>
        <v>555</v>
      </c>
      <c r="K182" s="208"/>
    </row>
    <row r="183" ht="15.75" customHeight="1">
      <c r="A183" s="208"/>
      <c r="B183" s="208"/>
      <c r="C183" s="320">
        <v>2.0</v>
      </c>
      <c r="D183" s="321" t="s">
        <v>467</v>
      </c>
      <c r="E183" s="21"/>
      <c r="F183" s="22"/>
      <c r="G183" s="322">
        <v>1.0</v>
      </c>
      <c r="H183" s="322" t="s">
        <v>354</v>
      </c>
      <c r="I183" s="323">
        <v>360.0</v>
      </c>
      <c r="J183" s="323">
        <f t="shared" si="6"/>
        <v>360</v>
      </c>
      <c r="K183" s="208"/>
    </row>
    <row r="184" ht="15.75" customHeight="1">
      <c r="A184" s="208"/>
      <c r="B184" s="333"/>
      <c r="C184" s="324"/>
      <c r="D184" s="208"/>
      <c r="E184" s="217"/>
      <c r="F184" s="217"/>
      <c r="G184" s="325" t="s">
        <v>8</v>
      </c>
      <c r="H184" s="21"/>
      <c r="I184" s="22"/>
      <c r="J184" s="326">
        <f>SUM(J182:J183)</f>
        <v>915</v>
      </c>
      <c r="K184" s="208"/>
    </row>
    <row r="185" ht="15.75" customHeight="1">
      <c r="A185" s="208"/>
      <c r="B185" s="333"/>
      <c r="C185" s="324"/>
      <c r="D185" s="208"/>
      <c r="E185" s="217"/>
      <c r="F185" s="217"/>
      <c r="G185" s="325" t="s">
        <v>468</v>
      </c>
      <c r="H185" s="21"/>
      <c r="I185" s="22"/>
      <c r="J185" s="326">
        <f>J184*0.2</f>
        <v>183</v>
      </c>
      <c r="K185" s="208"/>
    </row>
    <row r="186" ht="15.75" customHeight="1">
      <c r="A186" s="208"/>
      <c r="B186" s="333"/>
      <c r="C186" s="324"/>
      <c r="D186" s="208"/>
      <c r="E186" s="217"/>
      <c r="F186" s="217"/>
      <c r="G186" s="325" t="s">
        <v>469</v>
      </c>
      <c r="H186" s="21"/>
      <c r="I186" s="22"/>
      <c r="J186" s="326">
        <f>J185/12</f>
        <v>15.25</v>
      </c>
      <c r="K186" s="208"/>
    </row>
    <row r="187" ht="15.75" customHeight="1">
      <c r="A187" s="208"/>
      <c r="B187" s="324"/>
      <c r="D187" s="217"/>
      <c r="E187" s="217"/>
      <c r="F187" s="217"/>
      <c r="G187" s="325" t="s">
        <v>462</v>
      </c>
      <c r="H187" s="21"/>
      <c r="I187" s="22"/>
      <c r="J187" s="327">
        <f>J186/I$15</f>
        <v>7.625</v>
      </c>
      <c r="K187" s="208"/>
    </row>
    <row r="188" ht="15.75" customHeight="1">
      <c r="A188" s="208"/>
      <c r="B188" s="217"/>
      <c r="C188" s="217"/>
      <c r="D188" s="217"/>
      <c r="E188" s="217"/>
      <c r="F188" s="217"/>
      <c r="G188" s="217"/>
      <c r="H188" s="217"/>
      <c r="I188" s="217"/>
      <c r="J188" s="303"/>
      <c r="K188" s="208"/>
    </row>
    <row r="189" ht="15.75" customHeight="1">
      <c r="A189" s="208"/>
      <c r="B189" s="217"/>
      <c r="C189" s="217"/>
      <c r="D189" s="217"/>
      <c r="E189" s="217"/>
      <c r="F189" s="217"/>
      <c r="G189" s="217"/>
      <c r="H189" s="217"/>
      <c r="I189" s="217"/>
      <c r="J189" s="303"/>
      <c r="K189" s="208"/>
    </row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7">
    <mergeCell ref="D28:I28"/>
    <mergeCell ref="C29:C30"/>
    <mergeCell ref="D29:I29"/>
    <mergeCell ref="J29:J30"/>
    <mergeCell ref="D30:I30"/>
    <mergeCell ref="C31:C32"/>
    <mergeCell ref="J31:J32"/>
    <mergeCell ref="C33:I33"/>
    <mergeCell ref="B35:J35"/>
    <mergeCell ref="D36:D37"/>
    <mergeCell ref="E36:H36"/>
    <mergeCell ref="J36:J38"/>
    <mergeCell ref="E37:H37"/>
    <mergeCell ref="D38:I38"/>
    <mergeCell ref="B1:J1"/>
    <mergeCell ref="A2:J2"/>
    <mergeCell ref="A5:J5"/>
    <mergeCell ref="D7:H7"/>
    <mergeCell ref="I7:J7"/>
    <mergeCell ref="D8:H8"/>
    <mergeCell ref="I8:J8"/>
    <mergeCell ref="D9:H9"/>
    <mergeCell ref="I9:J9"/>
    <mergeCell ref="D10:H10"/>
    <mergeCell ref="I10:J10"/>
    <mergeCell ref="D11:H11"/>
    <mergeCell ref="I11:J11"/>
    <mergeCell ref="I12:J12"/>
    <mergeCell ref="D12:H12"/>
    <mergeCell ref="D13:H13"/>
    <mergeCell ref="I13:J13"/>
    <mergeCell ref="D14:H14"/>
    <mergeCell ref="I14:J14"/>
    <mergeCell ref="D15:H15"/>
    <mergeCell ref="I15:J15"/>
    <mergeCell ref="D16:H16"/>
    <mergeCell ref="I16:J16"/>
    <mergeCell ref="A19:J19"/>
    <mergeCell ref="C21:H21"/>
    <mergeCell ref="C22:H22"/>
    <mergeCell ref="A25:J25"/>
    <mergeCell ref="B27:J27"/>
    <mergeCell ref="D31:I31"/>
    <mergeCell ref="D32:I32"/>
    <mergeCell ref="C36:C38"/>
    <mergeCell ref="C39:C40"/>
    <mergeCell ref="C41:C42"/>
    <mergeCell ref="D39:H39"/>
    <mergeCell ref="I39:I40"/>
    <mergeCell ref="J39:J40"/>
    <mergeCell ref="D40:H40"/>
    <mergeCell ref="D41:I41"/>
    <mergeCell ref="J41:J42"/>
    <mergeCell ref="D42:I42"/>
    <mergeCell ref="J67:J68"/>
    <mergeCell ref="D68:I68"/>
    <mergeCell ref="D69:I69"/>
    <mergeCell ref="C70:I70"/>
    <mergeCell ref="C72:J72"/>
    <mergeCell ref="C73:C74"/>
    <mergeCell ref="J73:J74"/>
    <mergeCell ref="D73:I73"/>
    <mergeCell ref="D74:I74"/>
    <mergeCell ref="D75:I75"/>
    <mergeCell ref="D76:I76"/>
    <mergeCell ref="D77:I77"/>
    <mergeCell ref="D78:I78"/>
    <mergeCell ref="D79:I79"/>
    <mergeCell ref="C43:I43"/>
    <mergeCell ref="B45:J45"/>
    <mergeCell ref="D46:I46"/>
    <mergeCell ref="D48:I48"/>
    <mergeCell ref="C49:I49"/>
    <mergeCell ref="B51:J51"/>
    <mergeCell ref="C53:J53"/>
    <mergeCell ref="D54:H54"/>
    <mergeCell ref="D55:H55"/>
    <mergeCell ref="D56:H56"/>
    <mergeCell ref="D57:H57"/>
    <mergeCell ref="D58:H58"/>
    <mergeCell ref="D59:H59"/>
    <mergeCell ref="D60:H60"/>
    <mergeCell ref="C66:J66"/>
    <mergeCell ref="D67:I67"/>
    <mergeCell ref="C61:C63"/>
    <mergeCell ref="D61:F62"/>
    <mergeCell ref="I61:I63"/>
    <mergeCell ref="J61:J63"/>
    <mergeCell ref="D63:H63"/>
    <mergeCell ref="C64:G64"/>
    <mergeCell ref="C67:C68"/>
    <mergeCell ref="C76:C77"/>
    <mergeCell ref="C79:C80"/>
    <mergeCell ref="C84:C85"/>
    <mergeCell ref="C86:C87"/>
    <mergeCell ref="C88:C89"/>
    <mergeCell ref="C90:C91"/>
    <mergeCell ref="C92:C93"/>
    <mergeCell ref="C94:C95"/>
    <mergeCell ref="J76:J77"/>
    <mergeCell ref="J79:J80"/>
    <mergeCell ref="J84:J85"/>
    <mergeCell ref="J86:J87"/>
    <mergeCell ref="J88:J89"/>
    <mergeCell ref="J90:J91"/>
    <mergeCell ref="J92:J93"/>
    <mergeCell ref="J94:J95"/>
    <mergeCell ref="D80:I80"/>
    <mergeCell ref="C81:I81"/>
    <mergeCell ref="C83:J83"/>
    <mergeCell ref="D84:I84"/>
    <mergeCell ref="D85:I85"/>
    <mergeCell ref="D86:I86"/>
    <mergeCell ref="D87:I87"/>
    <mergeCell ref="G119:H119"/>
    <mergeCell ref="D120:J120"/>
    <mergeCell ref="C121:H121"/>
    <mergeCell ref="C122:J122"/>
    <mergeCell ref="C123:J123"/>
    <mergeCell ref="C124:J124"/>
    <mergeCell ref="A129:J129"/>
    <mergeCell ref="B131:J131"/>
    <mergeCell ref="D132:I132"/>
    <mergeCell ref="A143:J143"/>
    <mergeCell ref="B145:J145"/>
    <mergeCell ref="C147:G147"/>
    <mergeCell ref="C148:G148"/>
    <mergeCell ref="C149:J149"/>
    <mergeCell ref="C154:G154"/>
    <mergeCell ref="H154:I154"/>
    <mergeCell ref="C155:G155"/>
    <mergeCell ref="H155:I155"/>
    <mergeCell ref="C156:G156"/>
    <mergeCell ref="H156:I156"/>
    <mergeCell ref="A161:J161"/>
    <mergeCell ref="B163:J163"/>
    <mergeCell ref="D164:F164"/>
    <mergeCell ref="D165:F165"/>
    <mergeCell ref="D166:F166"/>
    <mergeCell ref="D167:F167"/>
    <mergeCell ref="D168:F168"/>
    <mergeCell ref="G169:I169"/>
    <mergeCell ref="G170:I170"/>
    <mergeCell ref="G171:I171"/>
    <mergeCell ref="D181:F181"/>
    <mergeCell ref="D182:F182"/>
    <mergeCell ref="D183:F183"/>
    <mergeCell ref="G184:I184"/>
    <mergeCell ref="G185:I185"/>
    <mergeCell ref="G186:I186"/>
    <mergeCell ref="G187:I187"/>
    <mergeCell ref="B173:J173"/>
    <mergeCell ref="D174:F174"/>
    <mergeCell ref="D175:F175"/>
    <mergeCell ref="G176:I176"/>
    <mergeCell ref="G177:I177"/>
    <mergeCell ref="G178:I178"/>
    <mergeCell ref="B180:J180"/>
    <mergeCell ref="D88:I88"/>
    <mergeCell ref="D89:I89"/>
    <mergeCell ref="D90:I90"/>
    <mergeCell ref="D91:I91"/>
    <mergeCell ref="D92:I92"/>
    <mergeCell ref="D93:I93"/>
    <mergeCell ref="D94:I94"/>
    <mergeCell ref="D95:I95"/>
    <mergeCell ref="C96:I96"/>
    <mergeCell ref="D97:I97"/>
    <mergeCell ref="C98:I98"/>
    <mergeCell ref="C101:J101"/>
    <mergeCell ref="D102:I102"/>
    <mergeCell ref="D103:I103"/>
    <mergeCell ref="D104:I104"/>
    <mergeCell ref="D105:I105"/>
    <mergeCell ref="C106:I106"/>
    <mergeCell ref="B109:J109"/>
    <mergeCell ref="C112:C113"/>
    <mergeCell ref="I112:I113"/>
    <mergeCell ref="J112:J113"/>
    <mergeCell ref="D115:G115"/>
    <mergeCell ref="E117:F118"/>
    <mergeCell ref="G117:H117"/>
    <mergeCell ref="G118:H118"/>
    <mergeCell ref="H112:H113"/>
    <mergeCell ref="D113:G113"/>
    <mergeCell ref="C114:C115"/>
    <mergeCell ref="H114:H115"/>
    <mergeCell ref="I114:I115"/>
    <mergeCell ref="J114:J115"/>
    <mergeCell ref="C116:C120"/>
    <mergeCell ref="D133:I133"/>
    <mergeCell ref="D134:I134"/>
    <mergeCell ref="D135:I135"/>
    <mergeCell ref="C136:I136"/>
    <mergeCell ref="D137:I137"/>
    <mergeCell ref="C138:I138"/>
    <mergeCell ref="C139:I139"/>
  </mergeCells>
  <printOptions/>
  <pageMargins bottom="0.33" footer="0.0" header="0.0" left="0.77" right="0.2755905511811024" top="0.59"/>
  <pageSetup paperSize="9"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25"/>
    <col customWidth="1" min="2" max="2" width="3.63"/>
    <col customWidth="1" min="3" max="3" width="11.75"/>
    <col customWidth="1" min="4" max="4" width="11.88"/>
    <col customWidth="1" min="5" max="5" width="12.38"/>
    <col customWidth="1" min="6" max="6" width="5.88"/>
    <col customWidth="1" min="7" max="7" width="7.5"/>
    <col customWidth="1" min="8" max="8" width="7.63"/>
    <col customWidth="1" min="9" max="9" width="12.38"/>
  </cols>
  <sheetData>
    <row r="1">
      <c r="A1" s="10" t="s">
        <v>11</v>
      </c>
    </row>
    <row r="2">
      <c r="A2" s="11" t="s">
        <v>12</v>
      </c>
    </row>
    <row r="3">
      <c r="A3" s="12" t="s">
        <v>13</v>
      </c>
      <c r="B3" s="13"/>
      <c r="C3" s="13"/>
      <c r="D3" s="13"/>
      <c r="E3" s="13"/>
      <c r="F3" s="13"/>
      <c r="G3" s="13"/>
      <c r="H3" s="13"/>
      <c r="I3" s="14"/>
    </row>
    <row r="4">
      <c r="A4" s="15"/>
      <c r="B4" s="15"/>
      <c r="C4" s="15"/>
      <c r="D4" s="16" t="s">
        <v>14</v>
      </c>
      <c r="E4" s="17"/>
      <c r="F4" s="17"/>
      <c r="G4" s="17"/>
      <c r="H4" s="18"/>
      <c r="I4" s="19" t="s">
        <v>15</v>
      </c>
    </row>
    <row r="5">
      <c r="A5" s="15"/>
      <c r="B5" s="15"/>
      <c r="C5" s="15"/>
      <c r="D5" s="20" t="s">
        <v>16</v>
      </c>
      <c r="E5" s="21"/>
      <c r="F5" s="21"/>
      <c r="G5" s="21"/>
      <c r="H5" s="22"/>
      <c r="I5" s="23" t="s">
        <v>17</v>
      </c>
    </row>
    <row r="6">
      <c r="A6" s="15"/>
      <c r="B6" s="15"/>
      <c r="C6" s="15"/>
      <c r="D6" s="20" t="s">
        <v>18</v>
      </c>
      <c r="E6" s="21"/>
      <c r="F6" s="21"/>
      <c r="G6" s="21"/>
      <c r="H6" s="22"/>
      <c r="I6" s="23" t="s">
        <v>19</v>
      </c>
    </row>
    <row r="7">
      <c r="A7" s="15"/>
      <c r="B7" s="15"/>
      <c r="C7" s="15"/>
      <c r="D7" s="20" t="s">
        <v>20</v>
      </c>
      <c r="E7" s="21"/>
      <c r="F7" s="21"/>
      <c r="G7" s="21"/>
      <c r="H7" s="22"/>
      <c r="I7" s="24" t="s">
        <v>21</v>
      </c>
    </row>
    <row r="8">
      <c r="A8" s="15"/>
      <c r="B8" s="15"/>
      <c r="C8" s="15"/>
      <c r="D8" s="20" t="s">
        <v>22</v>
      </c>
      <c r="E8" s="21"/>
      <c r="F8" s="21"/>
      <c r="G8" s="21"/>
      <c r="H8" s="22"/>
      <c r="I8" s="24" t="s">
        <v>23</v>
      </c>
    </row>
    <row r="9">
      <c r="A9" s="15"/>
      <c r="B9" s="15"/>
      <c r="C9" s="15"/>
      <c r="D9" s="20" t="s">
        <v>24</v>
      </c>
      <c r="E9" s="21"/>
      <c r="F9" s="21"/>
      <c r="G9" s="21"/>
      <c r="H9" s="22"/>
      <c r="I9" s="25" t="s">
        <v>25</v>
      </c>
    </row>
    <row r="10" ht="7.5" customHeight="1">
      <c r="A10" s="26"/>
      <c r="B10" s="26"/>
      <c r="C10" s="26"/>
      <c r="D10" s="26"/>
      <c r="E10" s="26"/>
      <c r="F10" s="27"/>
      <c r="G10" s="27"/>
      <c r="H10" s="27"/>
      <c r="I10" s="27"/>
    </row>
    <row r="11">
      <c r="A11" s="28"/>
      <c r="B11" s="15"/>
      <c r="C11" s="15"/>
      <c r="D11" s="29" t="s">
        <v>26</v>
      </c>
      <c r="E11" s="30" t="s">
        <v>27</v>
      </c>
      <c r="F11" s="31" t="s">
        <v>28</v>
      </c>
      <c r="G11" s="21"/>
      <c r="H11" s="22"/>
      <c r="I11" s="32">
        <v>1.0</v>
      </c>
    </row>
    <row r="12">
      <c r="A12" s="28"/>
      <c r="B12" s="15"/>
      <c r="C12" s="15"/>
      <c r="D12" s="33"/>
      <c r="E12" s="30" t="s">
        <v>29</v>
      </c>
      <c r="F12" s="31" t="s">
        <v>30</v>
      </c>
      <c r="G12" s="21"/>
      <c r="H12" s="22"/>
      <c r="I12" s="32">
        <v>44.0</v>
      </c>
    </row>
    <row r="13">
      <c r="A13" s="28"/>
      <c r="B13" s="15"/>
      <c r="C13" s="15"/>
      <c r="D13" s="33"/>
      <c r="E13" s="30" t="s">
        <v>31</v>
      </c>
      <c r="F13" s="31" t="s">
        <v>32</v>
      </c>
      <c r="G13" s="21"/>
      <c r="H13" s="22"/>
      <c r="I13" s="34">
        <v>2015.07</v>
      </c>
    </row>
    <row r="14">
      <c r="A14" s="28"/>
      <c r="B14" s="15"/>
      <c r="C14" s="15"/>
      <c r="D14" s="35"/>
      <c r="E14" s="30" t="s">
        <v>33</v>
      </c>
      <c r="F14" s="36" t="s">
        <v>34</v>
      </c>
      <c r="G14" s="21"/>
      <c r="H14" s="22"/>
      <c r="I14" s="30">
        <f>ROUND((365.25/7*5)-10,2)</f>
        <v>250.89</v>
      </c>
    </row>
    <row r="15">
      <c r="A15" s="37"/>
      <c r="B15" s="37"/>
      <c r="C15" s="37"/>
      <c r="D15" s="37"/>
      <c r="E15" s="37"/>
      <c r="F15" s="38"/>
      <c r="G15" s="38"/>
      <c r="H15" s="38"/>
      <c r="I15" s="38"/>
    </row>
    <row r="16">
      <c r="A16" s="39" t="s">
        <v>35</v>
      </c>
      <c r="B16" s="40"/>
      <c r="C16" s="40"/>
      <c r="D16" s="40"/>
      <c r="E16" s="40"/>
      <c r="F16" s="40"/>
      <c r="G16" s="40"/>
      <c r="H16" s="40"/>
      <c r="I16" s="40"/>
    </row>
    <row r="17">
      <c r="A17" s="41"/>
      <c r="B17" s="42" t="s">
        <v>36</v>
      </c>
      <c r="C17" s="43" t="s">
        <v>37</v>
      </c>
      <c r="H17" s="44"/>
      <c r="I17" s="45">
        <f>ROUND(I13/44*I12,2)</f>
        <v>2015.07</v>
      </c>
    </row>
    <row r="18">
      <c r="A18" s="41"/>
      <c r="B18" s="46"/>
      <c r="C18" s="47" t="s">
        <v>38</v>
      </c>
      <c r="D18" s="17"/>
      <c r="E18" s="17"/>
      <c r="F18" s="17"/>
      <c r="G18" s="17"/>
      <c r="H18" s="18"/>
      <c r="I18" s="18"/>
    </row>
    <row r="19">
      <c r="A19" s="41"/>
      <c r="B19" s="48" t="s">
        <v>39</v>
      </c>
      <c r="C19" s="49" t="s">
        <v>40</v>
      </c>
      <c r="H19" s="44"/>
      <c r="I19" s="50">
        <f>ROUND(I17*0.2,2)</f>
        <v>403.01</v>
      </c>
    </row>
    <row r="20">
      <c r="A20" s="41"/>
      <c r="B20" s="46"/>
      <c r="C20" s="47" t="s">
        <v>41</v>
      </c>
      <c r="D20" s="17"/>
      <c r="E20" s="17"/>
      <c r="F20" s="17"/>
      <c r="G20" s="17"/>
      <c r="H20" s="18"/>
      <c r="I20" s="18"/>
    </row>
    <row r="21">
      <c r="A21" s="41"/>
      <c r="B21" s="51" t="s">
        <v>42</v>
      </c>
      <c r="C21" s="43" t="s">
        <v>43</v>
      </c>
      <c r="H21" s="44"/>
      <c r="I21" s="50">
        <f>I17*0.7</f>
        <v>1410.549</v>
      </c>
    </row>
    <row r="22">
      <c r="A22" s="41"/>
      <c r="B22" s="46"/>
      <c r="C22" s="47" t="s">
        <v>44</v>
      </c>
      <c r="D22" s="17"/>
      <c r="E22" s="17"/>
      <c r="F22" s="17"/>
      <c r="G22" s="17"/>
      <c r="H22" s="18"/>
      <c r="I22" s="18"/>
    </row>
    <row r="23">
      <c r="A23" s="52"/>
      <c r="B23" s="53" t="s">
        <v>45</v>
      </c>
      <c r="I23" s="54">
        <f>SUM(I17:I22)</f>
        <v>3828.629</v>
      </c>
    </row>
    <row r="24">
      <c r="A24" s="37"/>
      <c r="B24" s="37"/>
      <c r="C24" s="37"/>
      <c r="D24" s="37"/>
      <c r="E24" s="37"/>
      <c r="F24" s="38"/>
      <c r="G24" s="38"/>
      <c r="H24" s="38"/>
      <c r="I24" s="38"/>
    </row>
    <row r="25">
      <c r="A25" s="39" t="s">
        <v>46</v>
      </c>
      <c r="B25" s="40"/>
      <c r="C25" s="40"/>
      <c r="D25" s="40"/>
      <c r="E25" s="40"/>
      <c r="F25" s="40"/>
      <c r="G25" s="40"/>
      <c r="H25" s="40"/>
      <c r="I25" s="40"/>
    </row>
    <row r="26">
      <c r="A26" s="37"/>
      <c r="B26" s="37"/>
      <c r="C26" s="37"/>
      <c r="D26" s="37"/>
      <c r="E26" s="37"/>
      <c r="F26" s="38"/>
      <c r="G26" s="38"/>
      <c r="H26" s="38"/>
      <c r="I26" s="38"/>
    </row>
    <row r="27">
      <c r="A27" s="55"/>
      <c r="B27" s="56" t="s">
        <v>47</v>
      </c>
      <c r="C27" s="57"/>
      <c r="D27" s="57"/>
      <c r="E27" s="57"/>
      <c r="F27" s="57"/>
      <c r="G27" s="57"/>
      <c r="H27" s="57"/>
      <c r="I27" s="57"/>
    </row>
    <row r="28">
      <c r="A28" s="58"/>
      <c r="B28" s="59" t="s">
        <v>48</v>
      </c>
      <c r="C28" s="60" t="s">
        <v>49</v>
      </c>
      <c r="D28" s="61"/>
      <c r="E28" s="62" t="s">
        <v>50</v>
      </c>
      <c r="F28" s="17"/>
      <c r="G28" s="17"/>
      <c r="H28" s="17"/>
      <c r="I28" s="63">
        <v>8.65</v>
      </c>
    </row>
    <row r="29">
      <c r="A29" s="58"/>
      <c r="B29" s="33"/>
      <c r="E29" s="64" t="s">
        <v>51</v>
      </c>
      <c r="F29" s="21"/>
      <c r="G29" s="21"/>
      <c r="H29" s="21"/>
      <c r="I29" s="65">
        <v>2.0</v>
      </c>
    </row>
    <row r="30">
      <c r="A30" s="58"/>
      <c r="B30" s="35"/>
      <c r="C30" s="66" t="s">
        <v>52</v>
      </c>
      <c r="D30" s="17"/>
      <c r="E30" s="17"/>
      <c r="F30" s="17"/>
      <c r="G30" s="67"/>
      <c r="H30" s="68" t="s">
        <v>53</v>
      </c>
      <c r="I30" s="69">
        <f>ROUND(((I28*I29*I14/12)-(I17*0.06)),2)</f>
        <v>240.8</v>
      </c>
    </row>
    <row r="31">
      <c r="A31" s="58"/>
      <c r="B31" s="59" t="s">
        <v>54</v>
      </c>
      <c r="C31" s="49" t="s">
        <v>55</v>
      </c>
      <c r="E31" s="37"/>
      <c r="F31" s="37"/>
      <c r="G31" s="70" t="s">
        <v>56</v>
      </c>
      <c r="I31" s="71">
        <v>25.42</v>
      </c>
    </row>
    <row r="32">
      <c r="A32" s="58"/>
      <c r="B32" s="35"/>
      <c r="C32" s="47" t="s">
        <v>57</v>
      </c>
      <c r="D32" s="17"/>
      <c r="E32" s="17"/>
      <c r="F32" s="17"/>
      <c r="G32" s="70" t="s">
        <v>58</v>
      </c>
      <c r="I32" s="72">
        <f>ROUND(I31*I14/12*0.81,2)</f>
        <v>430.49</v>
      </c>
    </row>
    <row r="33">
      <c r="A33" s="58"/>
      <c r="B33" s="59" t="s">
        <v>59</v>
      </c>
      <c r="C33" s="73" t="s">
        <v>60</v>
      </c>
      <c r="D33" s="61"/>
      <c r="E33" s="61"/>
      <c r="F33" s="61"/>
      <c r="G33" s="61"/>
      <c r="H33" s="74"/>
      <c r="I33" s="75">
        <v>24.1</v>
      </c>
    </row>
    <row r="34">
      <c r="A34" s="58"/>
      <c r="B34" s="35"/>
      <c r="C34" s="47" t="s">
        <v>61</v>
      </c>
      <c r="D34" s="17"/>
      <c r="E34" s="17"/>
      <c r="F34" s="17"/>
      <c r="G34" s="17"/>
      <c r="H34" s="18"/>
      <c r="I34" s="18"/>
    </row>
    <row r="35">
      <c r="A35" s="58"/>
      <c r="B35" s="53" t="s">
        <v>45</v>
      </c>
      <c r="I35" s="54">
        <f>SUM(I30,I32,I33)</f>
        <v>695.39</v>
      </c>
    </row>
    <row r="36">
      <c r="A36" s="37"/>
      <c r="B36" s="37"/>
      <c r="C36" s="37"/>
      <c r="D36" s="37"/>
      <c r="E36" s="37"/>
      <c r="F36" s="38"/>
      <c r="G36" s="38"/>
      <c r="H36" s="38"/>
      <c r="I36" s="38"/>
    </row>
    <row r="37">
      <c r="A37" s="55"/>
      <c r="B37" s="76" t="s">
        <v>62</v>
      </c>
    </row>
    <row r="38">
      <c r="A38" s="58"/>
      <c r="B38" s="48" t="s">
        <v>63</v>
      </c>
      <c r="C38" s="77" t="s">
        <v>64</v>
      </c>
      <c r="D38" s="61"/>
      <c r="E38" s="61"/>
      <c r="F38" s="61"/>
      <c r="G38" s="61"/>
      <c r="H38" s="74"/>
      <c r="I38" s="78">
        <f>ROUND(I23/12,2)</f>
        <v>319.05</v>
      </c>
    </row>
    <row r="39">
      <c r="A39" s="58"/>
      <c r="B39" s="46"/>
      <c r="C39" s="79" t="s">
        <v>65</v>
      </c>
      <c r="D39" s="17"/>
      <c r="E39" s="17"/>
      <c r="F39" s="17"/>
      <c r="G39" s="17"/>
      <c r="H39" s="18"/>
      <c r="I39" s="18"/>
    </row>
    <row r="40">
      <c r="A40" s="58"/>
      <c r="B40" s="48" t="s">
        <v>66</v>
      </c>
      <c r="C40" s="77" t="s">
        <v>67</v>
      </c>
      <c r="D40" s="61"/>
      <c r="E40" s="61"/>
      <c r="F40" s="61"/>
      <c r="G40" s="61"/>
      <c r="H40" s="74"/>
      <c r="I40" s="78">
        <f>ROUND(I23/12,2)</f>
        <v>319.05</v>
      </c>
    </row>
    <row r="41">
      <c r="A41" s="58"/>
      <c r="B41" s="46"/>
      <c r="C41" s="79" t="s">
        <v>65</v>
      </c>
      <c r="D41" s="17"/>
      <c r="E41" s="17"/>
      <c r="F41" s="17"/>
      <c r="G41" s="17"/>
      <c r="H41" s="18"/>
      <c r="I41" s="18"/>
    </row>
    <row r="42">
      <c r="A42" s="58"/>
      <c r="B42" s="48" t="s">
        <v>68</v>
      </c>
      <c r="C42" s="77" t="s">
        <v>69</v>
      </c>
      <c r="D42" s="61"/>
      <c r="E42" s="61"/>
      <c r="F42" s="61"/>
      <c r="G42" s="61"/>
      <c r="H42" s="74"/>
      <c r="I42" s="78">
        <f>ROUND(I23/3/12,2)</f>
        <v>106.35</v>
      </c>
    </row>
    <row r="43">
      <c r="A43" s="58"/>
      <c r="B43" s="46"/>
      <c r="C43" s="79" t="s">
        <v>70</v>
      </c>
      <c r="D43" s="17"/>
      <c r="E43" s="17"/>
      <c r="F43" s="17"/>
      <c r="G43" s="17"/>
      <c r="H43" s="18"/>
      <c r="I43" s="18"/>
    </row>
    <row r="44">
      <c r="A44" s="58"/>
      <c r="B44" s="53" t="s">
        <v>45</v>
      </c>
      <c r="I44" s="54">
        <f>SUM(I38:I43)</f>
        <v>744.45</v>
      </c>
    </row>
    <row r="45">
      <c r="A45" s="28"/>
      <c r="B45" s="28"/>
      <c r="C45" s="28"/>
      <c r="D45" s="28"/>
      <c r="E45" s="28"/>
      <c r="F45" s="28"/>
      <c r="G45" s="28"/>
      <c r="H45" s="28"/>
      <c r="I45" s="28"/>
    </row>
    <row r="46">
      <c r="A46" s="55"/>
      <c r="B46" s="28" t="s">
        <v>71</v>
      </c>
    </row>
    <row r="47">
      <c r="A47" s="80"/>
      <c r="B47" s="81" t="s">
        <v>72</v>
      </c>
      <c r="C47" s="20" t="s">
        <v>73</v>
      </c>
      <c r="D47" s="21"/>
      <c r="E47" s="21"/>
      <c r="F47" s="21"/>
      <c r="G47" s="22"/>
      <c r="H47" s="82">
        <v>0.2</v>
      </c>
      <c r="I47" s="83">
        <f t="shared" ref="I47:I54" si="1">ROUND((I$23+I$44)*$H47,2)</f>
        <v>914.62</v>
      </c>
    </row>
    <row r="48">
      <c r="A48" s="80"/>
      <c r="B48" s="81" t="s">
        <v>74</v>
      </c>
      <c r="C48" s="20" t="s">
        <v>75</v>
      </c>
      <c r="D48" s="21"/>
      <c r="E48" s="21"/>
      <c r="F48" s="21"/>
      <c r="G48" s="22"/>
      <c r="H48" s="82">
        <v>0.015</v>
      </c>
      <c r="I48" s="83">
        <f t="shared" si="1"/>
        <v>68.6</v>
      </c>
    </row>
    <row r="49">
      <c r="A49" s="80"/>
      <c r="B49" s="81" t="s">
        <v>76</v>
      </c>
      <c r="C49" s="20" t="s">
        <v>77</v>
      </c>
      <c r="D49" s="21"/>
      <c r="E49" s="21"/>
      <c r="F49" s="21"/>
      <c r="G49" s="22"/>
      <c r="H49" s="82">
        <v>0.01</v>
      </c>
      <c r="I49" s="83">
        <f t="shared" si="1"/>
        <v>45.73</v>
      </c>
    </row>
    <row r="50">
      <c r="A50" s="80"/>
      <c r="B50" s="81" t="s">
        <v>78</v>
      </c>
      <c r="C50" s="20" t="s">
        <v>79</v>
      </c>
      <c r="D50" s="21"/>
      <c r="E50" s="21"/>
      <c r="F50" s="21"/>
      <c r="G50" s="22"/>
      <c r="H50" s="82">
        <v>0.002</v>
      </c>
      <c r="I50" s="83">
        <f t="shared" si="1"/>
        <v>9.15</v>
      </c>
    </row>
    <row r="51">
      <c r="A51" s="80"/>
      <c r="B51" s="81" t="s">
        <v>80</v>
      </c>
      <c r="C51" s="20" t="s">
        <v>81</v>
      </c>
      <c r="D51" s="21"/>
      <c r="E51" s="21"/>
      <c r="F51" s="21"/>
      <c r="G51" s="22"/>
      <c r="H51" s="82">
        <v>0.025</v>
      </c>
      <c r="I51" s="83">
        <f t="shared" si="1"/>
        <v>114.33</v>
      </c>
    </row>
    <row r="52">
      <c r="A52" s="80"/>
      <c r="B52" s="84" t="s">
        <v>82</v>
      </c>
      <c r="C52" s="20" t="s">
        <v>83</v>
      </c>
      <c r="D52" s="21"/>
      <c r="E52" s="21"/>
      <c r="F52" s="21"/>
      <c r="G52" s="22"/>
      <c r="H52" s="82">
        <v>0.006</v>
      </c>
      <c r="I52" s="83">
        <f t="shared" si="1"/>
        <v>27.44</v>
      </c>
    </row>
    <row r="53">
      <c r="A53" s="80"/>
      <c r="B53" s="84" t="s">
        <v>84</v>
      </c>
      <c r="C53" s="20" t="s">
        <v>85</v>
      </c>
      <c r="D53" s="21"/>
      <c r="E53" s="21"/>
      <c r="F53" s="21"/>
      <c r="G53" s="22"/>
      <c r="H53" s="82">
        <v>0.08</v>
      </c>
      <c r="I53" s="83">
        <f t="shared" si="1"/>
        <v>365.85</v>
      </c>
    </row>
    <row r="54">
      <c r="A54" s="80"/>
      <c r="B54" s="81" t="s">
        <v>86</v>
      </c>
      <c r="C54" s="85" t="s">
        <v>87</v>
      </c>
      <c r="D54" s="21"/>
      <c r="E54" s="21"/>
      <c r="F54" s="21"/>
      <c r="G54" s="22"/>
      <c r="H54" s="86">
        <v>0.03</v>
      </c>
      <c r="I54" s="83">
        <f t="shared" si="1"/>
        <v>137.19</v>
      </c>
    </row>
    <row r="55">
      <c r="A55" s="80"/>
      <c r="B55" s="87" t="s">
        <v>88</v>
      </c>
      <c r="G55" s="88" t="s">
        <v>45</v>
      </c>
      <c r="H55" s="89">
        <f t="shared" ref="H55:I55" si="2">SUM(H47:H54)</f>
        <v>0.368</v>
      </c>
      <c r="I55" s="54">
        <f t="shared" si="2"/>
        <v>1682.91</v>
      </c>
    </row>
    <row r="56">
      <c r="A56" s="90"/>
      <c r="B56" s="91"/>
      <c r="C56" s="91"/>
      <c r="D56" s="91"/>
      <c r="E56" s="91"/>
      <c r="F56" s="91"/>
      <c r="G56" s="91"/>
      <c r="H56" s="91"/>
      <c r="I56" s="92"/>
    </row>
    <row r="57">
      <c r="A57" s="15"/>
      <c r="B57" s="93"/>
      <c r="C57" s="53"/>
      <c r="D57" s="53"/>
      <c r="E57" s="53"/>
      <c r="F57" s="53"/>
      <c r="G57" s="94" t="s">
        <v>89</v>
      </c>
      <c r="I57" s="54">
        <f>I35+I44+I55</f>
        <v>3122.75</v>
      </c>
    </row>
    <row r="58" ht="15.75" customHeight="1">
      <c r="A58" s="28"/>
      <c r="B58" s="28"/>
      <c r="C58" s="28"/>
      <c r="D58" s="28"/>
      <c r="E58" s="28"/>
      <c r="F58" s="28"/>
      <c r="G58" s="28"/>
      <c r="H58" s="28"/>
      <c r="I58" s="28"/>
    </row>
    <row r="59">
      <c r="A59" s="39" t="s">
        <v>90</v>
      </c>
      <c r="B59" s="40"/>
      <c r="C59" s="40"/>
      <c r="D59" s="40"/>
      <c r="E59" s="40"/>
      <c r="F59" s="40"/>
      <c r="G59" s="40"/>
      <c r="H59" s="40"/>
      <c r="I59" s="40"/>
    </row>
    <row r="60">
      <c r="A60" s="58"/>
      <c r="B60" s="95">
        <v>43833.0</v>
      </c>
      <c r="C60" s="96" t="s">
        <v>91</v>
      </c>
      <c r="D60" s="97" t="s">
        <v>92</v>
      </c>
      <c r="E60" s="96" t="s">
        <v>93</v>
      </c>
      <c r="F60" s="98" t="s">
        <v>91</v>
      </c>
      <c r="G60" s="99"/>
      <c r="H60" s="100"/>
      <c r="I60" s="101">
        <f>round(((I$23/30*30*$D$66)+(I$23/30*(30+3)*(1-$D$66)))/12*$D$66*$E$63,2)</f>
        <v>33.5</v>
      </c>
    </row>
    <row r="61">
      <c r="A61" s="58"/>
      <c r="B61" s="102"/>
      <c r="C61" s="103"/>
      <c r="D61" s="33"/>
      <c r="E61" s="103"/>
      <c r="F61" s="104" t="s">
        <v>94</v>
      </c>
      <c r="G61" s="57"/>
      <c r="H61" s="105"/>
      <c r="I61" s="105"/>
    </row>
    <row r="62">
      <c r="A62" s="58"/>
      <c r="B62" s="102"/>
      <c r="C62" s="103"/>
      <c r="D62" s="33"/>
      <c r="E62" s="103"/>
      <c r="F62" s="106" t="s">
        <v>95</v>
      </c>
      <c r="H62" s="107"/>
      <c r="I62" s="108">
        <f>ROUND(I60*0.08,2)</f>
        <v>2.68</v>
      </c>
    </row>
    <row r="63">
      <c r="A63" s="58"/>
      <c r="B63" s="102"/>
      <c r="C63" s="103"/>
      <c r="D63" s="33"/>
      <c r="E63" s="109">
        <v>0.2</v>
      </c>
      <c r="F63" s="110" t="s">
        <v>96</v>
      </c>
      <c r="H63" s="107"/>
      <c r="I63" s="105"/>
    </row>
    <row r="64">
      <c r="A64" s="15"/>
      <c r="B64" s="102"/>
      <c r="C64" s="103"/>
      <c r="D64" s="33"/>
      <c r="E64" s="103"/>
      <c r="F64" s="111" t="s">
        <v>97</v>
      </c>
      <c r="G64" s="99"/>
      <c r="H64" s="100"/>
      <c r="I64" s="112">
        <f>ROUND(I$23*0.08*0.4*$D$66*$E$63,2)</f>
        <v>12.25</v>
      </c>
    </row>
    <row r="65">
      <c r="A65" s="15"/>
      <c r="B65" s="113"/>
      <c r="C65" s="114"/>
      <c r="D65" s="33"/>
      <c r="E65" s="114"/>
      <c r="F65" s="115" t="s">
        <v>98</v>
      </c>
      <c r="H65" s="107"/>
      <c r="I65" s="113"/>
    </row>
    <row r="66">
      <c r="A66" s="58"/>
      <c r="B66" s="95">
        <v>43864.0</v>
      </c>
      <c r="C66" s="96" t="s">
        <v>99</v>
      </c>
      <c r="D66" s="116">
        <v>0.5</v>
      </c>
      <c r="E66" s="96" t="s">
        <v>93</v>
      </c>
      <c r="F66" s="73" t="s">
        <v>100</v>
      </c>
      <c r="G66" s="61"/>
      <c r="H66" s="74"/>
      <c r="I66" s="101">
        <f>ROUND(((I$23/30*7*$D$66)+(I$23/30*(7+3)*(1-$D$66)))/12*$D$66*$E$69,2)</f>
        <v>36.16</v>
      </c>
    </row>
    <row r="67">
      <c r="A67" s="58"/>
      <c r="B67" s="102"/>
      <c r="C67" s="103"/>
      <c r="D67" s="33"/>
      <c r="E67" s="103"/>
      <c r="F67" s="117" t="s">
        <v>101</v>
      </c>
      <c r="G67" s="17"/>
      <c r="H67" s="18"/>
      <c r="I67" s="105"/>
    </row>
    <row r="68">
      <c r="A68" s="58"/>
      <c r="B68" s="102"/>
      <c r="C68" s="103"/>
      <c r="D68" s="33"/>
      <c r="E68" s="103"/>
      <c r="F68" s="106" t="s">
        <v>102</v>
      </c>
      <c r="H68" s="107"/>
      <c r="I68" s="118">
        <f>ROUND($H$55*I66,2)</f>
        <v>13.31</v>
      </c>
    </row>
    <row r="69">
      <c r="A69" s="58"/>
      <c r="B69" s="102"/>
      <c r="C69" s="103"/>
      <c r="D69" s="33"/>
      <c r="E69" s="109">
        <v>0.8</v>
      </c>
      <c r="F69" s="77" t="s">
        <v>97</v>
      </c>
      <c r="G69" s="61"/>
      <c r="H69" s="74"/>
      <c r="I69" s="101">
        <f>ROUND(I$23*0.08*0.4*$D$66*$E$69,2)</f>
        <v>49.01</v>
      </c>
    </row>
    <row r="70">
      <c r="A70" s="58"/>
      <c r="B70" s="113"/>
      <c r="C70" s="114"/>
      <c r="D70" s="35"/>
      <c r="E70" s="114"/>
      <c r="F70" s="119" t="s">
        <v>98</v>
      </c>
      <c r="G70" s="17"/>
      <c r="H70" s="18"/>
      <c r="I70" s="105"/>
    </row>
    <row r="71">
      <c r="A71" s="15"/>
      <c r="B71" s="53" t="s">
        <v>45</v>
      </c>
      <c r="H71" s="44"/>
      <c r="I71" s="54">
        <f>SUM(I60:I70)</f>
        <v>146.91</v>
      </c>
    </row>
    <row r="72">
      <c r="A72" s="37"/>
      <c r="B72" s="37"/>
    </row>
    <row r="73">
      <c r="A73" s="39" t="s">
        <v>103</v>
      </c>
      <c r="B73" s="40"/>
      <c r="C73" s="40"/>
      <c r="D73" s="40"/>
      <c r="E73" s="40"/>
      <c r="F73" s="40"/>
      <c r="G73" s="40"/>
      <c r="H73" s="40"/>
      <c r="I73" s="40"/>
    </row>
    <row r="74">
      <c r="A74" s="120"/>
      <c r="B74" s="120"/>
      <c r="C74" s="121" t="s">
        <v>104</v>
      </c>
      <c r="D74" s="99"/>
      <c r="E74" s="99"/>
      <c r="F74" s="99"/>
      <c r="G74" s="99"/>
      <c r="H74" s="100"/>
      <c r="I74" s="122">
        <f>(I23+I57+I71)/(I14/12)</f>
        <v>339.5092192</v>
      </c>
    </row>
    <row r="75">
      <c r="A75" s="120"/>
      <c r="B75" s="120"/>
      <c r="C75" s="123" t="s">
        <v>105</v>
      </c>
      <c r="D75" s="57"/>
      <c r="E75" s="57"/>
      <c r="F75" s="57"/>
      <c r="G75" s="57"/>
      <c r="H75" s="105"/>
      <c r="I75" s="113"/>
    </row>
    <row r="76">
      <c r="A76" s="120"/>
      <c r="B76" s="120"/>
      <c r="C76" s="124" t="s">
        <v>106</v>
      </c>
      <c r="D76" s="125"/>
      <c r="E76" s="126" t="s">
        <v>107</v>
      </c>
      <c r="F76" s="127" t="s">
        <v>108</v>
      </c>
      <c r="G76" s="126" t="s">
        <v>109</v>
      </c>
      <c r="H76" s="126" t="s">
        <v>110</v>
      </c>
      <c r="I76" s="128" t="s">
        <v>111</v>
      </c>
    </row>
    <row r="77">
      <c r="A77" s="58"/>
      <c r="B77" s="120"/>
      <c r="C77" s="129" t="s">
        <v>67</v>
      </c>
      <c r="D77" s="125"/>
      <c r="E77" s="130">
        <v>1.0</v>
      </c>
      <c r="F77" s="131">
        <v>30.0</v>
      </c>
      <c r="G77" s="132">
        <f t="shared" ref="G77:G79" si="3">I$14/365.25</f>
        <v>0.686899384</v>
      </c>
      <c r="H77" s="133">
        <f t="shared" ref="H77:H88" si="4">ROUNDUP(E77*F77*G77/12,2)</f>
        <v>1.72</v>
      </c>
      <c r="I77" s="134">
        <f t="shared" ref="I77:I88" si="5">ROUND($H77*I$74,2)</f>
        <v>583.96</v>
      </c>
    </row>
    <row r="78">
      <c r="A78" s="58"/>
      <c r="B78" s="120"/>
      <c r="C78" s="129" t="s">
        <v>112</v>
      </c>
      <c r="D78" s="125"/>
      <c r="E78" s="135">
        <v>0.0625</v>
      </c>
      <c r="F78" s="131">
        <v>15.0</v>
      </c>
      <c r="G78" s="132">
        <f t="shared" si="3"/>
        <v>0.686899384</v>
      </c>
      <c r="H78" s="133">
        <f t="shared" si="4"/>
        <v>0.06</v>
      </c>
      <c r="I78" s="134">
        <f t="shared" si="5"/>
        <v>20.37</v>
      </c>
    </row>
    <row r="79">
      <c r="A79" s="58"/>
      <c r="B79" s="120"/>
      <c r="C79" s="129" t="s">
        <v>113</v>
      </c>
      <c r="D79" s="125"/>
      <c r="E79" s="135">
        <v>1.0</v>
      </c>
      <c r="F79" s="131">
        <v>5.0</v>
      </c>
      <c r="G79" s="132">
        <f t="shared" si="3"/>
        <v>0.686899384</v>
      </c>
      <c r="H79" s="133">
        <f t="shared" si="4"/>
        <v>0.29</v>
      </c>
      <c r="I79" s="134">
        <f t="shared" si="5"/>
        <v>98.46</v>
      </c>
    </row>
    <row r="80">
      <c r="A80" s="58"/>
      <c r="B80" s="120"/>
      <c r="C80" s="129" t="s">
        <v>114</v>
      </c>
      <c r="D80" s="125"/>
      <c r="E80" s="135">
        <v>0.25</v>
      </c>
      <c r="F80" s="131">
        <v>1.0</v>
      </c>
      <c r="G80" s="132">
        <v>1.0</v>
      </c>
      <c r="H80" s="133">
        <f t="shared" si="4"/>
        <v>0.03</v>
      </c>
      <c r="I80" s="134">
        <f t="shared" si="5"/>
        <v>10.19</v>
      </c>
    </row>
    <row r="81">
      <c r="A81" s="58"/>
      <c r="B81" s="120"/>
      <c r="C81" s="129" t="s">
        <v>115</v>
      </c>
      <c r="D81" s="125"/>
      <c r="E81" s="135">
        <v>0.25</v>
      </c>
      <c r="F81" s="131">
        <v>2.0</v>
      </c>
      <c r="G81" s="132">
        <f>I$14/365.25</f>
        <v>0.686899384</v>
      </c>
      <c r="H81" s="133">
        <f t="shared" si="4"/>
        <v>0.03</v>
      </c>
      <c r="I81" s="134">
        <f t="shared" si="5"/>
        <v>10.19</v>
      </c>
    </row>
    <row r="82">
      <c r="A82" s="58"/>
      <c r="B82" s="120"/>
      <c r="C82" s="129" t="s">
        <v>116</v>
      </c>
      <c r="D82" s="125"/>
      <c r="E82" s="135">
        <v>0.125</v>
      </c>
      <c r="F82" s="131">
        <v>3.0</v>
      </c>
      <c r="G82" s="132">
        <v>1.0</v>
      </c>
      <c r="H82" s="133">
        <f t="shared" si="4"/>
        <v>0.04</v>
      </c>
      <c r="I82" s="134">
        <f t="shared" si="5"/>
        <v>13.58</v>
      </c>
    </row>
    <row r="83">
      <c r="A83" s="58"/>
      <c r="B83" s="120"/>
      <c r="C83" s="129" t="s">
        <v>117</v>
      </c>
      <c r="D83" s="125"/>
      <c r="E83" s="135">
        <v>0.25</v>
      </c>
      <c r="F83" s="131">
        <v>1.0</v>
      </c>
      <c r="G83" s="132">
        <v>1.0</v>
      </c>
      <c r="H83" s="133">
        <f t="shared" si="4"/>
        <v>0.03</v>
      </c>
      <c r="I83" s="134">
        <f t="shared" si="5"/>
        <v>10.19</v>
      </c>
    </row>
    <row r="84">
      <c r="A84" s="58"/>
      <c r="B84" s="120"/>
      <c r="C84" s="129" t="s">
        <v>118</v>
      </c>
      <c r="D84" s="125"/>
      <c r="E84" s="135">
        <v>0.0625</v>
      </c>
      <c r="F84" s="131">
        <v>1.0</v>
      </c>
      <c r="G84" s="132">
        <v>1.0</v>
      </c>
      <c r="H84" s="133">
        <f t="shared" si="4"/>
        <v>0.01</v>
      </c>
      <c r="I84" s="134">
        <f t="shared" si="5"/>
        <v>3.4</v>
      </c>
    </row>
    <row r="85">
      <c r="A85" s="58"/>
      <c r="B85" s="120"/>
      <c r="C85" s="129" t="s">
        <v>119</v>
      </c>
      <c r="D85" s="125"/>
      <c r="E85" s="135">
        <v>0.2</v>
      </c>
      <c r="F85" s="136">
        <v>20.0</v>
      </c>
      <c r="G85" s="132">
        <f t="shared" ref="G85:G86" si="6">I$14/365.25</f>
        <v>0.686899384</v>
      </c>
      <c r="H85" s="133">
        <f t="shared" si="4"/>
        <v>0.23</v>
      </c>
      <c r="I85" s="134">
        <f t="shared" si="5"/>
        <v>78.09</v>
      </c>
    </row>
    <row r="86">
      <c r="A86" s="58"/>
      <c r="B86" s="120"/>
      <c r="C86" s="129" t="s">
        <v>120</v>
      </c>
      <c r="D86" s="125"/>
      <c r="E86" s="135">
        <v>0.01</v>
      </c>
      <c r="F86" s="131">
        <v>180.0</v>
      </c>
      <c r="G86" s="132">
        <f t="shared" si="6"/>
        <v>0.686899384</v>
      </c>
      <c r="H86" s="133">
        <f t="shared" si="4"/>
        <v>0.11</v>
      </c>
      <c r="I86" s="134">
        <f t="shared" si="5"/>
        <v>37.35</v>
      </c>
    </row>
    <row r="87">
      <c r="A87" s="58"/>
      <c r="B87" s="120"/>
      <c r="C87" s="129" t="s">
        <v>121</v>
      </c>
      <c r="D87" s="125"/>
      <c r="E87" s="135">
        <v>0.01</v>
      </c>
      <c r="F87" s="131">
        <v>6.0</v>
      </c>
      <c r="G87" s="132">
        <v>1.0</v>
      </c>
      <c r="H87" s="133">
        <f t="shared" si="4"/>
        <v>0.01</v>
      </c>
      <c r="I87" s="134">
        <f t="shared" si="5"/>
        <v>3.4</v>
      </c>
    </row>
    <row r="88">
      <c r="A88" s="58"/>
      <c r="B88" s="120"/>
      <c r="C88" s="129" t="s">
        <v>122</v>
      </c>
      <c r="D88" s="125"/>
      <c r="E88" s="137">
        <v>0.5</v>
      </c>
      <c r="F88" s="131">
        <v>1.0</v>
      </c>
      <c r="G88" s="132">
        <v>1.0</v>
      </c>
      <c r="H88" s="133">
        <f t="shared" si="4"/>
        <v>0.05</v>
      </c>
      <c r="I88" s="134">
        <f t="shared" si="5"/>
        <v>16.98</v>
      </c>
    </row>
    <row r="89">
      <c r="A89" s="15"/>
      <c r="B89" s="15"/>
      <c r="C89" s="138"/>
      <c r="D89" s="138"/>
      <c r="E89" s="138"/>
      <c r="F89" s="138"/>
      <c r="G89" s="138"/>
      <c r="H89" s="139" t="s">
        <v>45</v>
      </c>
      <c r="I89" s="54">
        <f>SUM(I77:I88)</f>
        <v>886.16</v>
      </c>
    </row>
    <row r="90">
      <c r="A90" s="37"/>
      <c r="B90" s="140"/>
      <c r="C90" s="140"/>
      <c r="D90" s="140"/>
      <c r="E90" s="140"/>
      <c r="F90" s="140"/>
      <c r="G90" s="140"/>
      <c r="H90" s="140"/>
      <c r="I90" s="140"/>
    </row>
    <row r="91">
      <c r="A91" s="39" t="s">
        <v>123</v>
      </c>
      <c r="B91" s="40"/>
      <c r="C91" s="40"/>
      <c r="D91" s="40"/>
      <c r="E91" s="40"/>
      <c r="F91" s="40"/>
      <c r="G91" s="40"/>
      <c r="H91" s="40"/>
      <c r="I91" s="40"/>
    </row>
    <row r="92">
      <c r="A92" s="141"/>
      <c r="B92" s="141"/>
      <c r="C92" s="141"/>
      <c r="D92" s="141"/>
      <c r="E92" s="85" t="s">
        <v>124</v>
      </c>
      <c r="F92" s="21"/>
      <c r="G92" s="21"/>
      <c r="H92" s="22"/>
      <c r="I92" s="134">
        <f>'Insumos_Zeladoria Diurna'!H23</f>
        <v>147.59</v>
      </c>
    </row>
    <row r="93">
      <c r="A93" s="141"/>
      <c r="B93" s="141"/>
      <c r="C93" s="141"/>
      <c r="D93" s="141"/>
      <c r="E93" s="20" t="s">
        <v>125</v>
      </c>
      <c r="F93" s="21"/>
      <c r="G93" s="21"/>
      <c r="H93" s="22"/>
      <c r="I93" s="134">
        <f>'Insumos_Zeladoria Diurna'!H29</f>
        <v>21.03566667</v>
      </c>
    </row>
    <row r="94">
      <c r="A94" s="141"/>
      <c r="B94" s="141"/>
      <c r="C94" s="141"/>
      <c r="D94" s="141"/>
      <c r="E94" s="20" t="s">
        <v>126</v>
      </c>
      <c r="F94" s="21"/>
      <c r="G94" s="21"/>
      <c r="H94" s="22"/>
      <c r="I94" s="142">
        <v>0.0</v>
      </c>
    </row>
    <row r="95">
      <c r="A95" s="15"/>
      <c r="B95" s="15"/>
      <c r="H95" s="143" t="s">
        <v>45</v>
      </c>
      <c r="I95" s="54">
        <f>sum(I92:I94)</f>
        <v>168.6256667</v>
      </c>
    </row>
    <row r="96">
      <c r="A96" s="144"/>
      <c r="B96" s="144"/>
      <c r="C96" s="144"/>
      <c r="D96" s="144"/>
      <c r="E96" s="144"/>
      <c r="F96" s="144"/>
      <c r="G96" s="144"/>
      <c r="H96" s="144"/>
      <c r="I96" s="144"/>
    </row>
    <row r="97">
      <c r="A97" s="39" t="s">
        <v>127</v>
      </c>
      <c r="B97" s="40"/>
      <c r="C97" s="40"/>
      <c r="D97" s="40"/>
      <c r="E97" s="40"/>
      <c r="F97" s="40"/>
      <c r="G97" s="40"/>
      <c r="H97" s="40"/>
      <c r="I97" s="40"/>
    </row>
    <row r="98">
      <c r="A98" s="58"/>
      <c r="B98" s="145">
        <v>43836.0</v>
      </c>
      <c r="C98" s="146" t="s">
        <v>128</v>
      </c>
      <c r="D98" s="61"/>
      <c r="E98" s="61"/>
      <c r="F98" s="61"/>
      <c r="G98" s="147" t="s">
        <v>129</v>
      </c>
      <c r="H98" s="61"/>
      <c r="I98" s="148">
        <f>SUM(I23+I57+I71+I89+I95)</f>
        <v>8153.074667</v>
      </c>
    </row>
    <row r="99">
      <c r="A99" s="58"/>
      <c r="B99" s="103"/>
      <c r="C99" s="149" t="s">
        <v>130</v>
      </c>
      <c r="G99" s="70" t="s">
        <v>131</v>
      </c>
      <c r="I99" s="150">
        <v>0.15</v>
      </c>
    </row>
    <row r="100">
      <c r="A100" s="58"/>
      <c r="B100" s="114"/>
      <c r="C100" s="151"/>
      <c r="D100" s="17"/>
      <c r="E100" s="17"/>
      <c r="F100" s="17"/>
      <c r="G100" s="70" t="s">
        <v>132</v>
      </c>
      <c r="I100" s="152">
        <f>ROUND(I99*I98,2)</f>
        <v>1222.96</v>
      </c>
    </row>
    <row r="101">
      <c r="A101" s="58"/>
      <c r="B101" s="145">
        <v>43867.0</v>
      </c>
      <c r="C101" s="146" t="s">
        <v>133</v>
      </c>
      <c r="D101" s="61"/>
      <c r="E101" s="61"/>
      <c r="F101" s="61"/>
      <c r="G101" s="147" t="s">
        <v>129</v>
      </c>
      <c r="H101" s="61"/>
      <c r="I101" s="148">
        <f>SUM(I23+I57+I71+I89+I95+I100)</f>
        <v>9376.034667</v>
      </c>
    </row>
    <row r="102">
      <c r="A102" s="58"/>
      <c r="B102" s="103"/>
      <c r="C102" s="149" t="s">
        <v>134</v>
      </c>
      <c r="G102" s="70" t="s">
        <v>131</v>
      </c>
      <c r="I102" s="150">
        <v>0.15</v>
      </c>
    </row>
    <row r="103">
      <c r="A103" s="58"/>
      <c r="B103" s="114"/>
      <c r="C103" s="151"/>
      <c r="D103" s="17"/>
      <c r="E103" s="17"/>
      <c r="F103" s="17"/>
      <c r="G103" s="70" t="s">
        <v>132</v>
      </c>
      <c r="I103" s="148">
        <f>ROUND(I102*I101,2)</f>
        <v>1406.41</v>
      </c>
    </row>
    <row r="104">
      <c r="A104" s="58"/>
      <c r="B104" s="145">
        <v>43896.0</v>
      </c>
      <c r="C104" s="146" t="s">
        <v>135</v>
      </c>
      <c r="D104" s="153"/>
      <c r="E104" s="153"/>
      <c r="F104" s="153"/>
      <c r="G104" s="154"/>
      <c r="H104" s="154"/>
      <c r="I104" s="155">
        <f>SUM(I23+I57+I71+I89+I95+I100+I103)</f>
        <v>10782.44467</v>
      </c>
    </row>
    <row r="105">
      <c r="A105" s="58"/>
      <c r="B105" s="103"/>
      <c r="C105" s="156" t="s">
        <v>136</v>
      </c>
      <c r="H105" s="157">
        <f t="shared" ref="H105:I105" si="7">SUM(H106:H108)</f>
        <v>0.1225</v>
      </c>
      <c r="I105" s="158">
        <f t="shared" si="7"/>
        <v>1505.24</v>
      </c>
    </row>
    <row r="106">
      <c r="A106" s="159"/>
      <c r="B106" s="103"/>
      <c r="C106" s="160"/>
      <c r="D106" s="161" t="s">
        <v>137</v>
      </c>
      <c r="E106" s="74"/>
      <c r="F106" s="162" t="s">
        <v>138</v>
      </c>
      <c r="G106" s="22"/>
      <c r="H106" s="163">
        <v>0.0165</v>
      </c>
      <c r="I106" s="164">
        <f t="shared" ref="I106:I108" si="8">ROUND((I$104/(1-$H$105))*$H106,2)</f>
        <v>202.75</v>
      </c>
    </row>
    <row r="107">
      <c r="A107" s="159"/>
      <c r="B107" s="103"/>
      <c r="C107" s="160"/>
      <c r="D107" s="151"/>
      <c r="E107" s="18"/>
      <c r="F107" s="162" t="s">
        <v>139</v>
      </c>
      <c r="G107" s="22"/>
      <c r="H107" s="163">
        <v>0.076</v>
      </c>
      <c r="I107" s="83">
        <f t="shared" si="8"/>
        <v>933.86</v>
      </c>
    </row>
    <row r="108">
      <c r="A108" s="159"/>
      <c r="B108" s="114"/>
      <c r="C108" s="165"/>
      <c r="D108" s="166" t="s">
        <v>140</v>
      </c>
      <c r="E108" s="166"/>
      <c r="F108" s="162" t="s">
        <v>141</v>
      </c>
      <c r="G108" s="22"/>
      <c r="H108" s="163">
        <v>0.03</v>
      </c>
      <c r="I108" s="83">
        <f t="shared" si="8"/>
        <v>368.63</v>
      </c>
    </row>
    <row r="109">
      <c r="A109" s="15"/>
      <c r="B109" s="88" t="s">
        <v>45</v>
      </c>
      <c r="H109" s="167">
        <f>SUM(I99+I102+H106+H107+H108)</f>
        <v>0.4225</v>
      </c>
      <c r="I109" s="54">
        <f>SUM(I100+I103+I105)</f>
        <v>4134.61</v>
      </c>
    </row>
    <row r="110">
      <c r="A110" s="37"/>
      <c r="B110" s="37"/>
      <c r="C110" s="37"/>
      <c r="D110" s="37"/>
      <c r="E110" s="37"/>
      <c r="F110" s="38"/>
      <c r="G110" s="38"/>
      <c r="H110" s="38"/>
      <c r="I110" s="38"/>
    </row>
    <row r="111">
      <c r="A111" s="168" t="s">
        <v>142</v>
      </c>
      <c r="B111" s="13"/>
      <c r="C111" s="13"/>
      <c r="D111" s="13"/>
      <c r="E111" s="13"/>
      <c r="F111" s="13"/>
      <c r="G111" s="13"/>
      <c r="H111" s="13"/>
      <c r="I111" s="169"/>
    </row>
    <row r="112">
      <c r="A112" s="170"/>
      <c r="B112" s="170"/>
      <c r="C112" s="16" t="str">
        <f>A16</f>
        <v>MÓDULO 1 - COMPOSIÇÃO DA REMUNERAÇÃO</v>
      </c>
      <c r="D112" s="17"/>
      <c r="E112" s="17"/>
      <c r="F112" s="17"/>
      <c r="G112" s="17"/>
      <c r="H112" s="18"/>
      <c r="I112" s="164">
        <f>I23</f>
        <v>3828.629</v>
      </c>
    </row>
    <row r="113">
      <c r="A113" s="170"/>
      <c r="B113" s="170"/>
      <c r="C113" s="20" t="str">
        <f>A25</f>
        <v>MÓDULO 2 - BENEFÍCIOS E ENCARGOS</v>
      </c>
      <c r="D113" s="21"/>
      <c r="E113" s="21"/>
      <c r="F113" s="21"/>
      <c r="G113" s="21"/>
      <c r="H113" s="22"/>
      <c r="I113" s="83">
        <f>I57</f>
        <v>3122.75</v>
      </c>
    </row>
    <row r="114">
      <c r="A114" s="170"/>
      <c r="B114" s="170"/>
      <c r="C114" s="20" t="str">
        <f>A59</f>
        <v>MÓDULO 3 - PROVISÃO PARA RESCISÃO</v>
      </c>
      <c r="D114" s="21"/>
      <c r="E114" s="21"/>
      <c r="F114" s="21"/>
      <c r="G114" s="21"/>
      <c r="H114" s="22"/>
      <c r="I114" s="83">
        <f>I71</f>
        <v>146.91</v>
      </c>
    </row>
    <row r="115">
      <c r="A115" s="170"/>
      <c r="B115" s="170"/>
      <c r="C115" s="20" t="str">
        <f>A73</f>
        <v>MÓDULO 4 - CUSTO DE REPOSIÇÃO DO PROFISSIONAL AUSENTE</v>
      </c>
      <c r="D115" s="21"/>
      <c r="E115" s="21"/>
      <c r="F115" s="21"/>
      <c r="G115" s="21"/>
      <c r="H115" s="22"/>
      <c r="I115" s="83">
        <f>I89</f>
        <v>886.16</v>
      </c>
    </row>
    <row r="116">
      <c r="A116" s="170"/>
      <c r="B116" s="170"/>
      <c r="C116" s="20" t="str">
        <f>A91</f>
        <v>MÓDULO 5 - INSUMOS</v>
      </c>
      <c r="D116" s="21"/>
      <c r="E116" s="21"/>
      <c r="F116" s="21"/>
      <c r="G116" s="21"/>
      <c r="H116" s="22"/>
      <c r="I116" s="83">
        <f>I95</f>
        <v>168.6256667</v>
      </c>
    </row>
    <row r="117">
      <c r="A117" s="170"/>
      <c r="B117" s="170"/>
      <c r="C117" s="20" t="str">
        <f>A97</f>
        <v>MÓDULO 6 - CUSTOS INDIRETOS, LUCRO E TRIBUTOS</v>
      </c>
      <c r="D117" s="21"/>
      <c r="E117" s="21"/>
      <c r="F117" s="21"/>
      <c r="G117" s="21"/>
      <c r="H117" s="22"/>
      <c r="I117" s="83">
        <f>I109</f>
        <v>4134.61</v>
      </c>
    </row>
    <row r="118">
      <c r="A118" s="170"/>
      <c r="B118" s="171"/>
      <c r="C118" s="172" t="s">
        <v>143</v>
      </c>
      <c r="D118" s="61"/>
      <c r="E118" s="61"/>
      <c r="F118" s="61"/>
      <c r="G118" s="61"/>
      <c r="H118" s="74"/>
      <c r="I118" s="54">
        <f>SUM(I112:I117)</f>
        <v>12287.68467</v>
      </c>
    </row>
    <row r="119">
      <c r="A119" s="173"/>
      <c r="B119" s="173"/>
      <c r="C119" s="174" t="s">
        <v>144</v>
      </c>
      <c r="H119" s="44"/>
      <c r="I119" s="175">
        <f>I11</f>
        <v>1</v>
      </c>
    </row>
    <row r="120">
      <c r="A120" s="176"/>
      <c r="B120" s="176"/>
      <c r="C120" s="176"/>
      <c r="D120" s="176"/>
      <c r="E120" s="176"/>
      <c r="F120" s="176"/>
      <c r="G120" s="176"/>
      <c r="H120" s="176"/>
      <c r="I120" s="176"/>
    </row>
    <row r="121">
      <c r="A121" s="177" t="s">
        <v>145</v>
      </c>
      <c r="B121" s="13"/>
      <c r="C121" s="13"/>
      <c r="D121" s="13"/>
      <c r="E121" s="13"/>
      <c r="F121" s="13"/>
      <c r="G121" s="13"/>
      <c r="H121" s="13"/>
      <c r="I121" s="14"/>
    </row>
    <row r="122" ht="30.75" customHeight="1">
      <c r="A122" s="15"/>
      <c r="B122" s="15"/>
      <c r="C122" s="15"/>
      <c r="D122" s="15"/>
      <c r="E122" s="15"/>
      <c r="F122" s="15"/>
      <c r="G122" s="15"/>
      <c r="H122" s="178"/>
      <c r="I122" s="179">
        <f>round(I118*I119,2)</f>
        <v>12287.68</v>
      </c>
    </row>
  </sheetData>
  <mergeCells count="151">
    <mergeCell ref="A1:I1"/>
    <mergeCell ref="A2:I2"/>
    <mergeCell ref="A3:H3"/>
    <mergeCell ref="D4:H4"/>
    <mergeCell ref="D5:H5"/>
    <mergeCell ref="D6:H6"/>
    <mergeCell ref="D7:H7"/>
    <mergeCell ref="D8:H8"/>
    <mergeCell ref="D9:H9"/>
    <mergeCell ref="D11:D14"/>
    <mergeCell ref="F11:H11"/>
    <mergeCell ref="F12:H12"/>
    <mergeCell ref="F13:H13"/>
    <mergeCell ref="F14:H14"/>
    <mergeCell ref="A16:I16"/>
    <mergeCell ref="B17:B18"/>
    <mergeCell ref="C17:H17"/>
    <mergeCell ref="I17:I18"/>
    <mergeCell ref="C18:H18"/>
    <mergeCell ref="B19:B20"/>
    <mergeCell ref="I19:I20"/>
    <mergeCell ref="C19:H19"/>
    <mergeCell ref="C20:H20"/>
    <mergeCell ref="B21:B22"/>
    <mergeCell ref="C21:H21"/>
    <mergeCell ref="I21:I22"/>
    <mergeCell ref="C22:H22"/>
    <mergeCell ref="B23:H23"/>
    <mergeCell ref="A25:I25"/>
    <mergeCell ref="B27:I27"/>
    <mergeCell ref="B28:B30"/>
    <mergeCell ref="C28:D29"/>
    <mergeCell ref="E28:H28"/>
    <mergeCell ref="E29:H29"/>
    <mergeCell ref="C30:F30"/>
    <mergeCell ref="C33:H33"/>
    <mergeCell ref="C34:H34"/>
    <mergeCell ref="B31:B32"/>
    <mergeCell ref="C31:D31"/>
    <mergeCell ref="G31:H31"/>
    <mergeCell ref="C32:F32"/>
    <mergeCell ref="G32:H32"/>
    <mergeCell ref="B33:B34"/>
    <mergeCell ref="I33:I34"/>
    <mergeCell ref="I62:I63"/>
    <mergeCell ref="I64:I65"/>
    <mergeCell ref="A59:I59"/>
    <mergeCell ref="F60:H60"/>
    <mergeCell ref="I60:I61"/>
    <mergeCell ref="F61:H61"/>
    <mergeCell ref="F62:H62"/>
    <mergeCell ref="F63:H63"/>
    <mergeCell ref="F64:H64"/>
    <mergeCell ref="B66:B70"/>
    <mergeCell ref="C66:C70"/>
    <mergeCell ref="D66:D70"/>
    <mergeCell ref="E66:E68"/>
    <mergeCell ref="E69:E70"/>
    <mergeCell ref="B71:H71"/>
    <mergeCell ref="B72:I72"/>
    <mergeCell ref="A73:I73"/>
    <mergeCell ref="C74:H74"/>
    <mergeCell ref="I74:I75"/>
    <mergeCell ref="C75:H75"/>
    <mergeCell ref="C76:D76"/>
    <mergeCell ref="C77:D77"/>
    <mergeCell ref="C78:D78"/>
    <mergeCell ref="C86:D86"/>
    <mergeCell ref="C87:D87"/>
    <mergeCell ref="C88:D88"/>
    <mergeCell ref="A91:I91"/>
    <mergeCell ref="E92:H92"/>
    <mergeCell ref="E93:H93"/>
    <mergeCell ref="E94:H94"/>
    <mergeCell ref="B98:B100"/>
    <mergeCell ref="B101:B103"/>
    <mergeCell ref="B104:B108"/>
    <mergeCell ref="C95:G95"/>
    <mergeCell ref="A97:I97"/>
    <mergeCell ref="C98:F98"/>
    <mergeCell ref="G98:H98"/>
    <mergeCell ref="C99:F100"/>
    <mergeCell ref="G99:H99"/>
    <mergeCell ref="G100:H100"/>
    <mergeCell ref="C101:F101"/>
    <mergeCell ref="G101:H101"/>
    <mergeCell ref="C102:F103"/>
    <mergeCell ref="G102:H102"/>
    <mergeCell ref="G103:H103"/>
    <mergeCell ref="C105:G105"/>
    <mergeCell ref="D106:E107"/>
    <mergeCell ref="C114:H114"/>
    <mergeCell ref="C115:H115"/>
    <mergeCell ref="C116:H116"/>
    <mergeCell ref="C117:H117"/>
    <mergeCell ref="C118:H118"/>
    <mergeCell ref="C119:H119"/>
    <mergeCell ref="A121:H121"/>
    <mergeCell ref="F106:G106"/>
    <mergeCell ref="F107:G107"/>
    <mergeCell ref="F108:G108"/>
    <mergeCell ref="B109:G109"/>
    <mergeCell ref="A111:H111"/>
    <mergeCell ref="C112:H112"/>
    <mergeCell ref="C113:H113"/>
    <mergeCell ref="I38:I39"/>
    <mergeCell ref="I40:I41"/>
    <mergeCell ref="I42:I43"/>
    <mergeCell ref="B35:H35"/>
    <mergeCell ref="B37:I37"/>
    <mergeCell ref="B38:B39"/>
    <mergeCell ref="C38:H38"/>
    <mergeCell ref="C39:H39"/>
    <mergeCell ref="C40:H40"/>
    <mergeCell ref="C41:H41"/>
    <mergeCell ref="C42:H42"/>
    <mergeCell ref="C43:H43"/>
    <mergeCell ref="B44:H44"/>
    <mergeCell ref="B46:I46"/>
    <mergeCell ref="C47:G47"/>
    <mergeCell ref="C48:G48"/>
    <mergeCell ref="C49:G49"/>
    <mergeCell ref="C50:G50"/>
    <mergeCell ref="C51:G51"/>
    <mergeCell ref="C52:G52"/>
    <mergeCell ref="C53:G53"/>
    <mergeCell ref="C54:G54"/>
    <mergeCell ref="B55:F55"/>
    <mergeCell ref="G57:H57"/>
    <mergeCell ref="B40:B41"/>
    <mergeCell ref="B42:B43"/>
    <mergeCell ref="B60:B65"/>
    <mergeCell ref="C60:C65"/>
    <mergeCell ref="D60:D65"/>
    <mergeCell ref="E60:E62"/>
    <mergeCell ref="E63:E65"/>
    <mergeCell ref="F65:H65"/>
    <mergeCell ref="F66:H66"/>
    <mergeCell ref="I66:I67"/>
    <mergeCell ref="F67:H67"/>
    <mergeCell ref="F68:H68"/>
    <mergeCell ref="F69:H69"/>
    <mergeCell ref="I69:I70"/>
    <mergeCell ref="F70:H70"/>
    <mergeCell ref="C79:D79"/>
    <mergeCell ref="C80:D80"/>
    <mergeCell ref="C81:D81"/>
    <mergeCell ref="C82:D82"/>
    <mergeCell ref="C83:D83"/>
    <mergeCell ref="C84:D84"/>
    <mergeCell ref="C85:D85"/>
  </mergeCells>
  <printOptions/>
  <pageMargins bottom="0.75" footer="0.0" header="0.0" left="0.7" right="0.7" top="0.75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.38"/>
    <col customWidth="1" min="2" max="2" width="3.63"/>
    <col customWidth="1" min="3" max="3" width="35.88"/>
    <col customWidth="1" min="4" max="4" width="5.88"/>
    <col customWidth="1" min="5" max="6" width="7.63"/>
    <col customWidth="1" min="7" max="7" width="5.88"/>
    <col customWidth="1" min="8" max="8" width="7.88"/>
  </cols>
  <sheetData>
    <row r="1">
      <c r="A1" s="180" t="s">
        <v>146</v>
      </c>
    </row>
    <row r="2">
      <c r="A2" s="181" t="s">
        <v>147</v>
      </c>
    </row>
    <row r="3">
      <c r="A3" s="182"/>
      <c r="B3" s="182"/>
      <c r="C3" s="182"/>
      <c r="D3" s="182"/>
      <c r="E3" s="182"/>
      <c r="F3" s="182"/>
      <c r="G3" s="182"/>
      <c r="H3" s="182"/>
    </row>
    <row r="4">
      <c r="A4" s="183" t="s">
        <v>124</v>
      </c>
      <c r="B4" s="183"/>
      <c r="C4" s="183"/>
      <c r="D4" s="183"/>
      <c r="E4" s="183"/>
      <c r="F4" s="183"/>
      <c r="G4" s="183"/>
      <c r="H4" s="183"/>
    </row>
    <row r="5">
      <c r="A5" s="184"/>
      <c r="B5" s="185" t="s">
        <v>148</v>
      </c>
      <c r="C5" s="185" t="s">
        <v>149</v>
      </c>
      <c r="D5" s="186" t="s">
        <v>150</v>
      </c>
      <c r="E5" s="187" t="s">
        <v>151</v>
      </c>
      <c r="F5" s="188" t="s">
        <v>152</v>
      </c>
      <c r="G5" s="186" t="s">
        <v>153</v>
      </c>
      <c r="H5" s="188" t="s">
        <v>154</v>
      </c>
    </row>
    <row r="6">
      <c r="A6" s="189"/>
      <c r="B6" s="190">
        <v>1.0</v>
      </c>
      <c r="C6" s="191" t="s">
        <v>155</v>
      </c>
      <c r="D6" s="192">
        <v>5.0</v>
      </c>
      <c r="E6" s="193">
        <v>70.4</v>
      </c>
      <c r="F6" s="194">
        <f t="shared" ref="F6:F22" si="1">D6*E6</f>
        <v>352</v>
      </c>
      <c r="G6" s="192">
        <v>12.0</v>
      </c>
      <c r="H6" s="194">
        <f t="shared" ref="H6:H22" si="2">F6/G6</f>
        <v>29.33333333</v>
      </c>
    </row>
    <row r="7">
      <c r="A7" s="189"/>
      <c r="B7" s="192">
        <v>2.0</v>
      </c>
      <c r="C7" s="195" t="s">
        <v>156</v>
      </c>
      <c r="D7" s="192">
        <v>5.0</v>
      </c>
      <c r="E7" s="193">
        <v>51.25</v>
      </c>
      <c r="F7" s="194">
        <f t="shared" si="1"/>
        <v>256.25</v>
      </c>
      <c r="G7" s="192">
        <v>12.0</v>
      </c>
      <c r="H7" s="194">
        <f t="shared" si="2"/>
        <v>21.35416667</v>
      </c>
    </row>
    <row r="8">
      <c r="A8" s="189"/>
      <c r="B8" s="192">
        <v>3.0</v>
      </c>
      <c r="C8" s="195" t="s">
        <v>157</v>
      </c>
      <c r="D8" s="192">
        <v>3.0</v>
      </c>
      <c r="E8" s="193">
        <v>60.68</v>
      </c>
      <c r="F8" s="194">
        <f t="shared" si="1"/>
        <v>182.04</v>
      </c>
      <c r="G8" s="192">
        <v>12.0</v>
      </c>
      <c r="H8" s="194">
        <f t="shared" si="2"/>
        <v>15.17</v>
      </c>
    </row>
    <row r="9">
      <c r="A9" s="189"/>
      <c r="B9" s="192">
        <v>4.0</v>
      </c>
      <c r="C9" s="195" t="s">
        <v>158</v>
      </c>
      <c r="D9" s="192">
        <v>2.0</v>
      </c>
      <c r="E9" s="193">
        <v>84.75</v>
      </c>
      <c r="F9" s="194">
        <f t="shared" si="1"/>
        <v>169.5</v>
      </c>
      <c r="G9" s="192">
        <v>12.0</v>
      </c>
      <c r="H9" s="194">
        <f t="shared" si="2"/>
        <v>14.125</v>
      </c>
    </row>
    <row r="10">
      <c r="A10" s="189"/>
      <c r="B10" s="192">
        <v>5.0</v>
      </c>
      <c r="C10" s="195" t="s">
        <v>159</v>
      </c>
      <c r="D10" s="192">
        <v>1.0</v>
      </c>
      <c r="E10" s="193">
        <v>143.7</v>
      </c>
      <c r="F10" s="194">
        <f t="shared" si="1"/>
        <v>143.7</v>
      </c>
      <c r="G10" s="192">
        <v>24.0</v>
      </c>
      <c r="H10" s="194">
        <f t="shared" si="2"/>
        <v>5.9875</v>
      </c>
    </row>
    <row r="11">
      <c r="A11" s="189"/>
      <c r="B11" s="192">
        <v>6.0</v>
      </c>
      <c r="C11" s="195" t="s">
        <v>160</v>
      </c>
      <c r="D11" s="192">
        <v>3.0</v>
      </c>
      <c r="E11" s="193">
        <v>62.93</v>
      </c>
      <c r="F11" s="194">
        <f t="shared" si="1"/>
        <v>188.79</v>
      </c>
      <c r="G11" s="192">
        <v>12.0</v>
      </c>
      <c r="H11" s="194">
        <f t="shared" si="2"/>
        <v>15.7325</v>
      </c>
    </row>
    <row r="12">
      <c r="A12" s="189"/>
      <c r="B12" s="192">
        <v>7.0</v>
      </c>
      <c r="C12" s="195" t="s">
        <v>161</v>
      </c>
      <c r="D12" s="192">
        <v>1.0</v>
      </c>
      <c r="E12" s="193">
        <v>33.74</v>
      </c>
      <c r="F12" s="194">
        <f t="shared" si="1"/>
        <v>33.74</v>
      </c>
      <c r="G12" s="192">
        <v>36.0</v>
      </c>
      <c r="H12" s="194">
        <f t="shared" si="2"/>
        <v>0.9372222222</v>
      </c>
    </row>
    <row r="13">
      <c r="A13" s="189"/>
      <c r="B13" s="192">
        <v>8.0</v>
      </c>
      <c r="C13" s="195" t="s">
        <v>162</v>
      </c>
      <c r="D13" s="192">
        <v>1.0</v>
      </c>
      <c r="E13" s="193">
        <v>3.27</v>
      </c>
      <c r="F13" s="194">
        <f t="shared" si="1"/>
        <v>3.27</v>
      </c>
      <c r="G13" s="192">
        <v>3.0</v>
      </c>
      <c r="H13" s="194">
        <f t="shared" si="2"/>
        <v>1.09</v>
      </c>
    </row>
    <row r="14">
      <c r="A14" s="189"/>
      <c r="B14" s="192">
        <v>9.0</v>
      </c>
      <c r="C14" s="195" t="s">
        <v>163</v>
      </c>
      <c r="D14" s="192">
        <v>1.0</v>
      </c>
      <c r="E14" s="193">
        <v>15.76</v>
      </c>
      <c r="F14" s="194">
        <f t="shared" si="1"/>
        <v>15.76</v>
      </c>
      <c r="G14" s="192">
        <v>36.0</v>
      </c>
      <c r="H14" s="194">
        <f t="shared" si="2"/>
        <v>0.4377777778</v>
      </c>
    </row>
    <row r="15">
      <c r="A15" s="189"/>
      <c r="B15" s="192">
        <v>10.0</v>
      </c>
      <c r="C15" s="195" t="s">
        <v>164</v>
      </c>
      <c r="D15" s="192">
        <v>1.0</v>
      </c>
      <c r="E15" s="193">
        <v>5.41</v>
      </c>
      <c r="F15" s="194">
        <f t="shared" si="1"/>
        <v>5.41</v>
      </c>
      <c r="G15" s="192">
        <v>4.0</v>
      </c>
      <c r="H15" s="194">
        <f t="shared" si="2"/>
        <v>1.3525</v>
      </c>
    </row>
    <row r="16">
      <c r="A16" s="189"/>
      <c r="B16" s="192">
        <v>11.0</v>
      </c>
      <c r="C16" s="195" t="s">
        <v>165</v>
      </c>
      <c r="D16" s="192">
        <v>1.0</v>
      </c>
      <c r="E16" s="193">
        <v>3.46</v>
      </c>
      <c r="F16" s="194">
        <f t="shared" si="1"/>
        <v>3.46</v>
      </c>
      <c r="G16" s="192">
        <v>4.0</v>
      </c>
      <c r="H16" s="194">
        <f t="shared" si="2"/>
        <v>0.865</v>
      </c>
    </row>
    <row r="17">
      <c r="A17" s="189"/>
      <c r="B17" s="192">
        <v>12.0</v>
      </c>
      <c r="C17" s="195" t="s">
        <v>166</v>
      </c>
      <c r="D17" s="192">
        <v>1.0</v>
      </c>
      <c r="E17" s="193">
        <v>15.56</v>
      </c>
      <c r="F17" s="194">
        <f t="shared" si="1"/>
        <v>15.56</v>
      </c>
      <c r="G17" s="192">
        <v>6.0</v>
      </c>
      <c r="H17" s="194">
        <f t="shared" si="2"/>
        <v>2.593333333</v>
      </c>
    </row>
    <row r="18">
      <c r="A18" s="189"/>
      <c r="B18" s="192">
        <v>13.0</v>
      </c>
      <c r="C18" s="195" t="s">
        <v>167</v>
      </c>
      <c r="D18" s="192">
        <v>1.0</v>
      </c>
      <c r="E18" s="193">
        <v>13.34</v>
      </c>
      <c r="F18" s="194">
        <f t="shared" si="1"/>
        <v>13.34</v>
      </c>
      <c r="G18" s="192">
        <v>4.0</v>
      </c>
      <c r="H18" s="194">
        <f t="shared" si="2"/>
        <v>3.335</v>
      </c>
    </row>
    <row r="19">
      <c r="A19" s="189"/>
      <c r="B19" s="192">
        <v>14.0</v>
      </c>
      <c r="C19" s="195" t="s">
        <v>168</v>
      </c>
      <c r="D19" s="192">
        <v>3.0</v>
      </c>
      <c r="E19" s="193">
        <v>2.52</v>
      </c>
      <c r="F19" s="194">
        <f t="shared" si="1"/>
        <v>7.56</v>
      </c>
      <c r="G19" s="192">
        <v>1.0</v>
      </c>
      <c r="H19" s="194">
        <f t="shared" si="2"/>
        <v>7.56</v>
      </c>
    </row>
    <row r="20">
      <c r="A20" s="189"/>
      <c r="B20" s="192">
        <v>15.0</v>
      </c>
      <c r="C20" s="195" t="s">
        <v>169</v>
      </c>
      <c r="D20" s="192">
        <v>2.0</v>
      </c>
      <c r="E20" s="193">
        <v>8.19</v>
      </c>
      <c r="F20" s="194">
        <f t="shared" si="1"/>
        <v>16.38</v>
      </c>
      <c r="G20" s="192">
        <v>1.0</v>
      </c>
      <c r="H20" s="194">
        <f t="shared" si="2"/>
        <v>16.38</v>
      </c>
    </row>
    <row r="21">
      <c r="A21" s="189"/>
      <c r="B21" s="192">
        <v>16.0</v>
      </c>
      <c r="C21" s="195" t="s">
        <v>170</v>
      </c>
      <c r="D21" s="192">
        <v>1.0</v>
      </c>
      <c r="E21" s="193">
        <v>4.01</v>
      </c>
      <c r="F21" s="194">
        <f t="shared" si="1"/>
        <v>4.01</v>
      </c>
      <c r="G21" s="192">
        <v>3.0</v>
      </c>
      <c r="H21" s="194">
        <f t="shared" si="2"/>
        <v>1.336666667</v>
      </c>
    </row>
    <row r="22">
      <c r="A22" s="189"/>
      <c r="B22" s="192">
        <v>17.0</v>
      </c>
      <c r="C22" s="195" t="s">
        <v>171</v>
      </c>
      <c r="D22" s="192">
        <v>1.0</v>
      </c>
      <c r="E22" s="193">
        <v>10.0</v>
      </c>
      <c r="F22" s="194">
        <f t="shared" si="1"/>
        <v>10</v>
      </c>
      <c r="G22" s="192">
        <v>1.0</v>
      </c>
      <c r="H22" s="194">
        <f t="shared" si="2"/>
        <v>10</v>
      </c>
    </row>
    <row r="23">
      <c r="A23" s="196"/>
      <c r="B23" s="184"/>
      <c r="C23" s="184"/>
      <c r="D23" s="184"/>
      <c r="E23" s="197" t="s">
        <v>172</v>
      </c>
      <c r="F23" s="21"/>
      <c r="G23" s="21"/>
      <c r="H23" s="198">
        <f>SUM(H6:H22)</f>
        <v>147.59</v>
      </c>
    </row>
    <row r="24">
      <c r="A24" s="199" t="s">
        <v>125</v>
      </c>
      <c r="B24" s="199"/>
      <c r="C24" s="199"/>
      <c r="D24" s="199"/>
      <c r="E24" s="199"/>
      <c r="F24" s="199"/>
      <c r="G24" s="199"/>
      <c r="H24" s="199"/>
    </row>
    <row r="25">
      <c r="A25" s="184"/>
      <c r="B25" s="185" t="s">
        <v>148</v>
      </c>
      <c r="C25" s="185" t="s">
        <v>149</v>
      </c>
      <c r="D25" s="186" t="s">
        <v>150</v>
      </c>
      <c r="E25" s="187" t="s">
        <v>151</v>
      </c>
      <c r="F25" s="188" t="s">
        <v>152</v>
      </c>
      <c r="G25" s="186" t="s">
        <v>153</v>
      </c>
      <c r="H25" s="188" t="s">
        <v>154</v>
      </c>
    </row>
    <row r="26">
      <c r="A26" s="189"/>
      <c r="B26" s="190">
        <v>1.0</v>
      </c>
      <c r="C26" s="191" t="s">
        <v>173</v>
      </c>
      <c r="D26" s="192">
        <v>1.0</v>
      </c>
      <c r="E26" s="193">
        <v>239.59</v>
      </c>
      <c r="F26" s="194">
        <f t="shared" ref="F26:F28" si="3">D26*E26</f>
        <v>239.59</v>
      </c>
      <c r="G26" s="192">
        <v>60.0</v>
      </c>
      <c r="H26" s="194">
        <f t="shared" ref="H26:H28" si="4">F26/G26</f>
        <v>3.993166667</v>
      </c>
    </row>
    <row r="27">
      <c r="A27" s="189"/>
      <c r="B27" s="192">
        <v>2.0</v>
      </c>
      <c r="C27" s="195" t="s">
        <v>174</v>
      </c>
      <c r="D27" s="192">
        <v>6.0</v>
      </c>
      <c r="E27" s="193">
        <v>28.17</v>
      </c>
      <c r="F27" s="194">
        <f t="shared" si="3"/>
        <v>169.02</v>
      </c>
      <c r="G27" s="192">
        <v>24.0</v>
      </c>
      <c r="H27" s="194">
        <f t="shared" si="4"/>
        <v>7.0425</v>
      </c>
    </row>
    <row r="28">
      <c r="A28" s="189"/>
      <c r="B28" s="192">
        <v>3.0</v>
      </c>
      <c r="C28" s="195" t="s">
        <v>175</v>
      </c>
      <c r="D28" s="192">
        <v>1.0</v>
      </c>
      <c r="E28" s="193">
        <v>10.0</v>
      </c>
      <c r="F28" s="194">
        <f t="shared" si="3"/>
        <v>10</v>
      </c>
      <c r="G28" s="192">
        <v>1.0</v>
      </c>
      <c r="H28" s="194">
        <f t="shared" si="4"/>
        <v>10</v>
      </c>
    </row>
    <row r="29">
      <c r="A29" s="196"/>
      <c r="B29" s="184"/>
      <c r="C29" s="184"/>
      <c r="D29" s="184"/>
      <c r="E29" s="197" t="s">
        <v>172</v>
      </c>
      <c r="F29" s="21"/>
      <c r="G29" s="21"/>
      <c r="H29" s="198">
        <f>SUM(H26:H28)</f>
        <v>21.03566667</v>
      </c>
    </row>
    <row r="30">
      <c r="A30" s="183" t="s">
        <v>126</v>
      </c>
      <c r="B30" s="183"/>
      <c r="C30" s="183"/>
      <c r="D30" s="183"/>
      <c r="E30" s="183"/>
      <c r="F30" s="183"/>
      <c r="G30" s="183"/>
      <c r="H30" s="183"/>
    </row>
    <row r="31">
      <c r="A31" s="189"/>
      <c r="B31" s="200" t="s">
        <v>176</v>
      </c>
      <c r="C31" s="201"/>
      <c r="D31" s="201"/>
      <c r="E31" s="201"/>
      <c r="F31" s="201"/>
      <c r="G31" s="201"/>
      <c r="H31" s="202"/>
    </row>
    <row r="32">
      <c r="A32" s="182"/>
      <c r="B32" s="182"/>
      <c r="C32" s="182"/>
      <c r="D32" s="182"/>
      <c r="E32" s="182"/>
      <c r="F32" s="182"/>
      <c r="G32" s="182"/>
      <c r="H32" s="182"/>
    </row>
  </sheetData>
  <mergeCells count="4">
    <mergeCell ref="A1:H1"/>
    <mergeCell ref="A2:H2"/>
    <mergeCell ref="E23:G23"/>
    <mergeCell ref="E29:G29"/>
  </mergeCells>
  <printOptions/>
  <pageMargins bottom="0.75" footer="0.0" header="0.0" left="0.7" right="0.7" top="0.75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25"/>
    <col customWidth="1" min="2" max="2" width="3.63"/>
    <col customWidth="1" min="3" max="3" width="11.75"/>
    <col customWidth="1" min="4" max="4" width="11.88"/>
    <col customWidth="1" min="5" max="5" width="12.38"/>
    <col customWidth="1" min="6" max="6" width="5.88"/>
    <col customWidth="1" min="7" max="7" width="7.5"/>
    <col customWidth="1" min="8" max="8" width="7.63"/>
    <col customWidth="1" min="9" max="9" width="12.38"/>
  </cols>
  <sheetData>
    <row r="1">
      <c r="A1" s="10" t="s">
        <v>11</v>
      </c>
    </row>
    <row r="2">
      <c r="A2" s="11" t="s">
        <v>177</v>
      </c>
    </row>
    <row r="3">
      <c r="A3" s="12" t="s">
        <v>13</v>
      </c>
      <c r="B3" s="13"/>
      <c r="C3" s="13"/>
      <c r="D3" s="13"/>
      <c r="E3" s="13"/>
      <c r="F3" s="13"/>
      <c r="G3" s="13"/>
      <c r="H3" s="13"/>
      <c r="I3" s="14"/>
    </row>
    <row r="4">
      <c r="A4" s="15"/>
      <c r="B4" s="15"/>
      <c r="C4" s="15"/>
      <c r="D4" s="16" t="s">
        <v>14</v>
      </c>
      <c r="E4" s="17"/>
      <c r="F4" s="17"/>
      <c r="G4" s="17"/>
      <c r="H4" s="18"/>
      <c r="I4" s="19" t="s">
        <v>15</v>
      </c>
    </row>
    <row r="5">
      <c r="A5" s="15"/>
      <c r="B5" s="15"/>
      <c r="C5" s="15"/>
      <c r="D5" s="20" t="s">
        <v>16</v>
      </c>
      <c r="E5" s="21"/>
      <c r="F5" s="21"/>
      <c r="G5" s="21"/>
      <c r="H5" s="22"/>
      <c r="I5" s="23" t="s">
        <v>17</v>
      </c>
    </row>
    <row r="6">
      <c r="A6" s="15"/>
      <c r="B6" s="15"/>
      <c r="C6" s="15"/>
      <c r="D6" s="20" t="s">
        <v>18</v>
      </c>
      <c r="E6" s="21"/>
      <c r="F6" s="21"/>
      <c r="G6" s="21"/>
      <c r="H6" s="22"/>
      <c r="I6" s="23" t="s">
        <v>19</v>
      </c>
    </row>
    <row r="7">
      <c r="A7" s="15"/>
      <c r="B7" s="15"/>
      <c r="C7" s="15"/>
      <c r="D7" s="20" t="s">
        <v>20</v>
      </c>
      <c r="E7" s="21"/>
      <c r="F7" s="21"/>
      <c r="G7" s="21"/>
      <c r="H7" s="22"/>
      <c r="I7" s="24" t="s">
        <v>21</v>
      </c>
    </row>
    <row r="8">
      <c r="A8" s="15"/>
      <c r="B8" s="15"/>
      <c r="C8" s="15"/>
      <c r="D8" s="20" t="s">
        <v>22</v>
      </c>
      <c r="E8" s="21"/>
      <c r="F8" s="21"/>
      <c r="G8" s="21"/>
      <c r="H8" s="22"/>
      <c r="I8" s="24" t="s">
        <v>23</v>
      </c>
    </row>
    <row r="9">
      <c r="A9" s="15"/>
      <c r="B9" s="15"/>
      <c r="C9" s="15"/>
      <c r="D9" s="20" t="s">
        <v>24</v>
      </c>
      <c r="E9" s="21"/>
      <c r="F9" s="21"/>
      <c r="G9" s="21"/>
      <c r="H9" s="22"/>
      <c r="I9" s="25" t="s">
        <v>25</v>
      </c>
    </row>
    <row r="10" ht="7.5" customHeight="1">
      <c r="A10" s="26"/>
      <c r="B10" s="26"/>
      <c r="C10" s="26"/>
      <c r="D10" s="26"/>
      <c r="E10" s="26"/>
      <c r="F10" s="27"/>
      <c r="G10" s="27"/>
      <c r="H10" s="27"/>
      <c r="I10" s="27"/>
    </row>
    <row r="11">
      <c r="A11" s="28"/>
      <c r="B11" s="15"/>
      <c r="C11" s="15"/>
      <c r="D11" s="29" t="s">
        <v>26</v>
      </c>
      <c r="E11" s="30" t="s">
        <v>27</v>
      </c>
      <c r="F11" s="31" t="s">
        <v>28</v>
      </c>
      <c r="G11" s="21"/>
      <c r="H11" s="22"/>
      <c r="I11" s="32">
        <v>1.0</v>
      </c>
    </row>
    <row r="12">
      <c r="A12" s="28"/>
      <c r="B12" s="15"/>
      <c r="C12" s="15"/>
      <c r="D12" s="33"/>
      <c r="E12" s="30" t="s">
        <v>29</v>
      </c>
      <c r="F12" s="31" t="s">
        <v>30</v>
      </c>
      <c r="G12" s="21"/>
      <c r="H12" s="22"/>
      <c r="I12" s="32">
        <v>30.0</v>
      </c>
    </row>
    <row r="13">
      <c r="A13" s="28"/>
      <c r="B13" s="15"/>
      <c r="C13" s="15"/>
      <c r="D13" s="33"/>
      <c r="E13" s="30" t="s">
        <v>31</v>
      </c>
      <c r="F13" s="31" t="s">
        <v>32</v>
      </c>
      <c r="G13" s="21"/>
      <c r="H13" s="22"/>
      <c r="I13" s="34">
        <v>2015.07</v>
      </c>
    </row>
    <row r="14">
      <c r="A14" s="28"/>
      <c r="B14" s="15"/>
      <c r="C14" s="15"/>
      <c r="D14" s="33"/>
      <c r="E14" s="30" t="s">
        <v>33</v>
      </c>
      <c r="F14" s="36" t="s">
        <v>178</v>
      </c>
      <c r="G14" s="21"/>
      <c r="H14" s="22"/>
      <c r="I14" s="30">
        <f>ROUND((365.25/7*5)-10,2)</f>
        <v>250.89</v>
      </c>
    </row>
    <row r="15">
      <c r="A15" s="28"/>
      <c r="B15" s="15"/>
      <c r="C15" s="15"/>
      <c r="D15" s="33"/>
      <c r="E15" s="32" t="s">
        <v>179</v>
      </c>
      <c r="F15" s="36" t="s">
        <v>180</v>
      </c>
      <c r="G15" s="21"/>
      <c r="H15" s="22"/>
      <c r="I15" s="30">
        <f>round(I13/220,2)</f>
        <v>9.16</v>
      </c>
    </row>
    <row r="16">
      <c r="A16" s="28"/>
      <c r="B16" s="15"/>
      <c r="C16" s="15"/>
      <c r="D16" s="35"/>
      <c r="E16" s="32" t="s">
        <v>181</v>
      </c>
      <c r="F16" s="36" t="s">
        <v>182</v>
      </c>
      <c r="G16" s="21"/>
      <c r="H16" s="22"/>
      <c r="I16" s="30">
        <f>round(I14*1.75/12,2)</f>
        <v>36.59</v>
      </c>
    </row>
    <row r="17">
      <c r="A17" s="37"/>
      <c r="B17" s="37"/>
      <c r="C17" s="37"/>
      <c r="D17" s="37"/>
      <c r="E17" s="37"/>
      <c r="F17" s="38"/>
      <c r="G17" s="38"/>
      <c r="H17" s="38"/>
      <c r="I17" s="38"/>
    </row>
    <row r="18">
      <c r="A18" s="39" t="s">
        <v>35</v>
      </c>
      <c r="B18" s="40"/>
      <c r="C18" s="40"/>
      <c r="D18" s="40"/>
      <c r="E18" s="40"/>
      <c r="F18" s="40"/>
      <c r="G18" s="40"/>
      <c r="H18" s="40"/>
      <c r="I18" s="40"/>
    </row>
    <row r="19">
      <c r="A19" s="41"/>
      <c r="B19" s="42" t="s">
        <v>36</v>
      </c>
      <c r="C19" s="43" t="s">
        <v>183</v>
      </c>
      <c r="H19" s="44"/>
      <c r="I19" s="45">
        <f>ROUND(I13/44*I12,2)</f>
        <v>1373.91</v>
      </c>
    </row>
    <row r="20">
      <c r="A20" s="41"/>
      <c r="B20" s="46"/>
      <c r="C20" s="47" t="s">
        <v>38</v>
      </c>
      <c r="D20" s="17"/>
      <c r="E20" s="17"/>
      <c r="F20" s="17"/>
      <c r="G20" s="17"/>
      <c r="H20" s="18"/>
      <c r="I20" s="18"/>
    </row>
    <row r="21">
      <c r="A21" s="41"/>
      <c r="B21" s="48" t="s">
        <v>39</v>
      </c>
      <c r="C21" s="49" t="s">
        <v>40</v>
      </c>
      <c r="H21" s="44"/>
      <c r="I21" s="50">
        <f>ROUND(I19*0.2,2)</f>
        <v>274.78</v>
      </c>
    </row>
    <row r="22">
      <c r="A22" s="41"/>
      <c r="B22" s="46"/>
      <c r="C22" s="47" t="s">
        <v>41</v>
      </c>
      <c r="D22" s="17"/>
      <c r="E22" s="17"/>
      <c r="F22" s="17"/>
      <c r="G22" s="17"/>
      <c r="H22" s="18"/>
      <c r="I22" s="18"/>
    </row>
    <row r="23">
      <c r="A23" s="41"/>
      <c r="B23" s="51" t="s">
        <v>42</v>
      </c>
      <c r="C23" s="43" t="s">
        <v>184</v>
      </c>
      <c r="H23" s="44"/>
      <c r="I23" s="50">
        <f>I16/52.5*7.5*I15</f>
        <v>47.88062857</v>
      </c>
    </row>
    <row r="24">
      <c r="A24" s="41"/>
      <c r="B24" s="46"/>
      <c r="C24" s="47" t="s">
        <v>185</v>
      </c>
      <c r="D24" s="17"/>
      <c r="E24" s="17"/>
      <c r="F24" s="17"/>
      <c r="G24" s="17"/>
      <c r="H24" s="18"/>
      <c r="I24" s="18"/>
    </row>
    <row r="25">
      <c r="A25" s="41"/>
      <c r="B25" s="51" t="s">
        <v>186</v>
      </c>
      <c r="C25" s="43" t="s">
        <v>187</v>
      </c>
      <c r="H25" s="44"/>
      <c r="I25" s="50">
        <f>I16/52.5*60*I15*0.2</f>
        <v>76.60900571</v>
      </c>
    </row>
    <row r="26">
      <c r="A26" s="41"/>
      <c r="B26" s="46"/>
      <c r="C26" s="47" t="s">
        <v>188</v>
      </c>
      <c r="D26" s="17"/>
      <c r="E26" s="17"/>
      <c r="F26" s="17"/>
      <c r="G26" s="17"/>
      <c r="H26" s="18"/>
      <c r="I26" s="18"/>
    </row>
    <row r="27">
      <c r="A27" s="52"/>
      <c r="B27" s="53" t="s">
        <v>45</v>
      </c>
      <c r="I27" s="54">
        <f>SUM(I19:I26)</f>
        <v>1773.179634</v>
      </c>
    </row>
    <row r="28">
      <c r="A28" s="37"/>
      <c r="B28" s="37"/>
      <c r="C28" s="37"/>
      <c r="D28" s="37"/>
      <c r="E28" s="37"/>
      <c r="F28" s="38"/>
      <c r="G28" s="38"/>
      <c r="H28" s="38"/>
      <c r="I28" s="38"/>
    </row>
    <row r="29">
      <c r="A29" s="39" t="s">
        <v>46</v>
      </c>
      <c r="B29" s="40"/>
      <c r="C29" s="40"/>
      <c r="D29" s="40"/>
      <c r="E29" s="40"/>
      <c r="F29" s="40"/>
      <c r="G29" s="40"/>
      <c r="H29" s="40"/>
      <c r="I29" s="40"/>
    </row>
    <row r="30">
      <c r="A30" s="37"/>
      <c r="B30" s="37"/>
      <c r="C30" s="37"/>
      <c r="D30" s="37"/>
      <c r="E30" s="37"/>
      <c r="F30" s="38"/>
      <c r="G30" s="38"/>
      <c r="H30" s="38"/>
      <c r="I30" s="38"/>
    </row>
    <row r="31">
      <c r="A31" s="55"/>
      <c r="B31" s="56" t="s">
        <v>47</v>
      </c>
      <c r="C31" s="57"/>
      <c r="D31" s="57"/>
      <c r="E31" s="57"/>
      <c r="F31" s="57"/>
      <c r="G31" s="57"/>
      <c r="H31" s="57"/>
      <c r="I31" s="57"/>
    </row>
    <row r="32">
      <c r="A32" s="58"/>
      <c r="B32" s="59" t="s">
        <v>48</v>
      </c>
      <c r="C32" s="60" t="s">
        <v>49</v>
      </c>
      <c r="D32" s="61"/>
      <c r="E32" s="62" t="s">
        <v>50</v>
      </c>
      <c r="F32" s="17"/>
      <c r="G32" s="17"/>
      <c r="H32" s="17"/>
      <c r="I32" s="63">
        <v>8.65</v>
      </c>
    </row>
    <row r="33">
      <c r="A33" s="58"/>
      <c r="B33" s="33"/>
      <c r="E33" s="64" t="s">
        <v>51</v>
      </c>
      <c r="F33" s="21"/>
      <c r="G33" s="21"/>
      <c r="H33" s="21"/>
      <c r="I33" s="65">
        <v>2.0</v>
      </c>
    </row>
    <row r="34">
      <c r="A34" s="58"/>
      <c r="B34" s="35"/>
      <c r="C34" s="66" t="s">
        <v>52</v>
      </c>
      <c r="D34" s="17"/>
      <c r="E34" s="17"/>
      <c r="F34" s="17"/>
      <c r="G34" s="67"/>
      <c r="H34" s="68" t="s">
        <v>53</v>
      </c>
      <c r="I34" s="69">
        <f>ROUND(((I32*I33*I14/12)-(I19*0.06)),2)</f>
        <v>279.27</v>
      </c>
    </row>
    <row r="35">
      <c r="A35" s="58"/>
      <c r="B35" s="59" t="s">
        <v>54</v>
      </c>
      <c r="C35" s="49" t="s">
        <v>55</v>
      </c>
      <c r="E35" s="37"/>
      <c r="F35" s="37"/>
      <c r="G35" s="70" t="s">
        <v>56</v>
      </c>
      <c r="I35" s="71">
        <v>12.71</v>
      </c>
    </row>
    <row r="36">
      <c r="A36" s="58"/>
      <c r="B36" s="35"/>
      <c r="C36" s="47" t="s">
        <v>57</v>
      </c>
      <c r="D36" s="17"/>
      <c r="E36" s="17"/>
      <c r="F36" s="17"/>
      <c r="G36" s="70" t="s">
        <v>58</v>
      </c>
      <c r="I36" s="72">
        <f>ROUND(I35*I14/12*0.81,2)</f>
        <v>215.24</v>
      </c>
    </row>
    <row r="37">
      <c r="A37" s="58"/>
      <c r="B37" s="59" t="s">
        <v>59</v>
      </c>
      <c r="C37" s="73" t="s">
        <v>60</v>
      </c>
      <c r="D37" s="61"/>
      <c r="E37" s="61"/>
      <c r="F37" s="61"/>
      <c r="G37" s="61"/>
      <c r="H37" s="74"/>
      <c r="I37" s="75">
        <v>24.1</v>
      </c>
    </row>
    <row r="38">
      <c r="A38" s="58"/>
      <c r="B38" s="35"/>
      <c r="C38" s="47" t="s">
        <v>61</v>
      </c>
      <c r="D38" s="17"/>
      <c r="E38" s="17"/>
      <c r="F38" s="17"/>
      <c r="G38" s="17"/>
      <c r="H38" s="18"/>
      <c r="I38" s="18"/>
    </row>
    <row r="39">
      <c r="A39" s="58"/>
      <c r="B39" s="53" t="s">
        <v>45</v>
      </c>
      <c r="I39" s="54">
        <f>SUM(I34,I36,I37)</f>
        <v>518.61</v>
      </c>
    </row>
    <row r="40">
      <c r="A40" s="37"/>
      <c r="B40" s="37"/>
      <c r="C40" s="37"/>
      <c r="D40" s="37"/>
      <c r="E40" s="37"/>
      <c r="F40" s="38"/>
      <c r="G40" s="38"/>
      <c r="H40" s="38"/>
      <c r="I40" s="38"/>
    </row>
    <row r="41">
      <c r="A41" s="55"/>
      <c r="B41" s="76" t="s">
        <v>62</v>
      </c>
    </row>
    <row r="42">
      <c r="A42" s="58"/>
      <c r="B42" s="48" t="s">
        <v>63</v>
      </c>
      <c r="C42" s="77" t="s">
        <v>64</v>
      </c>
      <c r="D42" s="61"/>
      <c r="E42" s="61"/>
      <c r="F42" s="61"/>
      <c r="G42" s="61"/>
      <c r="H42" s="74"/>
      <c r="I42" s="78">
        <f>ROUND(I27/12,2)</f>
        <v>147.76</v>
      </c>
    </row>
    <row r="43">
      <c r="A43" s="58"/>
      <c r="B43" s="46"/>
      <c r="C43" s="79" t="s">
        <v>65</v>
      </c>
      <c r="D43" s="17"/>
      <c r="E43" s="17"/>
      <c r="F43" s="17"/>
      <c r="G43" s="17"/>
      <c r="H43" s="18"/>
      <c r="I43" s="18"/>
    </row>
    <row r="44">
      <c r="A44" s="58"/>
      <c r="B44" s="48" t="s">
        <v>66</v>
      </c>
      <c r="C44" s="77" t="s">
        <v>67</v>
      </c>
      <c r="D44" s="61"/>
      <c r="E44" s="61"/>
      <c r="F44" s="61"/>
      <c r="G44" s="61"/>
      <c r="H44" s="74"/>
      <c r="I44" s="78">
        <f>ROUND(I27/12,2)</f>
        <v>147.76</v>
      </c>
    </row>
    <row r="45">
      <c r="A45" s="58"/>
      <c r="B45" s="46"/>
      <c r="C45" s="79" t="s">
        <v>65</v>
      </c>
      <c r="D45" s="17"/>
      <c r="E45" s="17"/>
      <c r="F45" s="17"/>
      <c r="G45" s="17"/>
      <c r="H45" s="18"/>
      <c r="I45" s="18"/>
    </row>
    <row r="46">
      <c r="A46" s="58"/>
      <c r="B46" s="48" t="s">
        <v>68</v>
      </c>
      <c r="C46" s="77" t="s">
        <v>69</v>
      </c>
      <c r="D46" s="61"/>
      <c r="E46" s="61"/>
      <c r="F46" s="61"/>
      <c r="G46" s="61"/>
      <c r="H46" s="74"/>
      <c r="I46" s="78">
        <f>ROUND(I27/3/12,2)</f>
        <v>49.25</v>
      </c>
    </row>
    <row r="47">
      <c r="A47" s="58"/>
      <c r="B47" s="46"/>
      <c r="C47" s="79" t="s">
        <v>70</v>
      </c>
      <c r="D47" s="17"/>
      <c r="E47" s="17"/>
      <c r="F47" s="17"/>
      <c r="G47" s="17"/>
      <c r="H47" s="18"/>
      <c r="I47" s="18"/>
    </row>
    <row r="48">
      <c r="A48" s="58"/>
      <c r="B48" s="53" t="s">
        <v>45</v>
      </c>
      <c r="I48" s="54">
        <f>SUM(I42:I47)</f>
        <v>344.77</v>
      </c>
    </row>
    <row r="49">
      <c r="A49" s="28"/>
      <c r="B49" s="28"/>
      <c r="C49" s="28"/>
      <c r="D49" s="28"/>
      <c r="E49" s="28"/>
      <c r="F49" s="28"/>
      <c r="G49" s="28"/>
      <c r="H49" s="28"/>
      <c r="I49" s="28"/>
    </row>
    <row r="50">
      <c r="A50" s="55"/>
      <c r="B50" s="28" t="s">
        <v>71</v>
      </c>
    </row>
    <row r="51">
      <c r="A51" s="80"/>
      <c r="B51" s="81" t="s">
        <v>72</v>
      </c>
      <c r="C51" s="20" t="s">
        <v>73</v>
      </c>
      <c r="D51" s="21"/>
      <c r="E51" s="21"/>
      <c r="F51" s="21"/>
      <c r="G51" s="22"/>
      <c r="H51" s="82">
        <v>0.2</v>
      </c>
      <c r="I51" s="83">
        <f t="shared" ref="I51:I58" si="1">ROUND((I$27+I$48)*$H51,2)</f>
        <v>423.59</v>
      </c>
    </row>
    <row r="52">
      <c r="A52" s="80"/>
      <c r="B52" s="81" t="s">
        <v>74</v>
      </c>
      <c r="C52" s="20" t="s">
        <v>75</v>
      </c>
      <c r="D52" s="21"/>
      <c r="E52" s="21"/>
      <c r="F52" s="21"/>
      <c r="G52" s="22"/>
      <c r="H52" s="82">
        <v>0.015</v>
      </c>
      <c r="I52" s="83">
        <f t="shared" si="1"/>
        <v>31.77</v>
      </c>
    </row>
    <row r="53">
      <c r="A53" s="80"/>
      <c r="B53" s="81" t="s">
        <v>76</v>
      </c>
      <c r="C53" s="20" t="s">
        <v>77</v>
      </c>
      <c r="D53" s="21"/>
      <c r="E53" s="21"/>
      <c r="F53" s="21"/>
      <c r="G53" s="22"/>
      <c r="H53" s="82">
        <v>0.01</v>
      </c>
      <c r="I53" s="83">
        <f t="shared" si="1"/>
        <v>21.18</v>
      </c>
    </row>
    <row r="54">
      <c r="A54" s="80"/>
      <c r="B54" s="81" t="s">
        <v>78</v>
      </c>
      <c r="C54" s="20" t="s">
        <v>79</v>
      </c>
      <c r="D54" s="21"/>
      <c r="E54" s="21"/>
      <c r="F54" s="21"/>
      <c r="G54" s="22"/>
      <c r="H54" s="82">
        <v>0.002</v>
      </c>
      <c r="I54" s="83">
        <f t="shared" si="1"/>
        <v>4.24</v>
      </c>
    </row>
    <row r="55">
      <c r="A55" s="80"/>
      <c r="B55" s="81" t="s">
        <v>80</v>
      </c>
      <c r="C55" s="20" t="s">
        <v>81</v>
      </c>
      <c r="D55" s="21"/>
      <c r="E55" s="21"/>
      <c r="F55" s="21"/>
      <c r="G55" s="22"/>
      <c r="H55" s="82">
        <v>0.025</v>
      </c>
      <c r="I55" s="83">
        <f t="shared" si="1"/>
        <v>52.95</v>
      </c>
    </row>
    <row r="56">
      <c r="A56" s="80"/>
      <c r="B56" s="84" t="s">
        <v>82</v>
      </c>
      <c r="C56" s="20" t="s">
        <v>83</v>
      </c>
      <c r="D56" s="21"/>
      <c r="E56" s="21"/>
      <c r="F56" s="21"/>
      <c r="G56" s="22"/>
      <c r="H56" s="82">
        <v>0.006</v>
      </c>
      <c r="I56" s="83">
        <f t="shared" si="1"/>
        <v>12.71</v>
      </c>
    </row>
    <row r="57">
      <c r="A57" s="80"/>
      <c r="B57" s="84" t="s">
        <v>84</v>
      </c>
      <c r="C57" s="20" t="s">
        <v>85</v>
      </c>
      <c r="D57" s="21"/>
      <c r="E57" s="21"/>
      <c r="F57" s="21"/>
      <c r="G57" s="22"/>
      <c r="H57" s="82">
        <v>0.08</v>
      </c>
      <c r="I57" s="83">
        <f t="shared" si="1"/>
        <v>169.44</v>
      </c>
    </row>
    <row r="58">
      <c r="A58" s="80"/>
      <c r="B58" s="81" t="s">
        <v>86</v>
      </c>
      <c r="C58" s="85" t="s">
        <v>189</v>
      </c>
      <c r="D58" s="21"/>
      <c r="E58" s="21"/>
      <c r="F58" s="21"/>
      <c r="G58" s="22"/>
      <c r="H58" s="86">
        <v>0.03</v>
      </c>
      <c r="I58" s="83">
        <f t="shared" si="1"/>
        <v>63.54</v>
      </c>
    </row>
    <row r="59">
      <c r="A59" s="80"/>
      <c r="B59" s="87" t="s">
        <v>88</v>
      </c>
      <c r="G59" s="88" t="s">
        <v>45</v>
      </c>
      <c r="H59" s="89">
        <f t="shared" ref="H59:I59" si="2">SUM(H51:H58)</f>
        <v>0.368</v>
      </c>
      <c r="I59" s="54">
        <f t="shared" si="2"/>
        <v>779.42</v>
      </c>
    </row>
    <row r="60">
      <c r="A60" s="90"/>
      <c r="B60" s="91"/>
      <c r="C60" s="91"/>
      <c r="D60" s="91"/>
      <c r="E60" s="91"/>
      <c r="F60" s="91"/>
      <c r="G60" s="91"/>
      <c r="H60" s="91"/>
      <c r="I60" s="92"/>
    </row>
    <row r="61">
      <c r="A61" s="15"/>
      <c r="B61" s="93"/>
      <c r="C61" s="53"/>
      <c r="D61" s="53"/>
      <c r="E61" s="53"/>
      <c r="F61" s="53"/>
      <c r="G61" s="94" t="s">
        <v>89</v>
      </c>
      <c r="I61" s="54">
        <f>I39+I48+I59</f>
        <v>1642.8</v>
      </c>
    </row>
    <row r="62" ht="15.75" customHeight="1">
      <c r="A62" s="28"/>
      <c r="B62" s="28"/>
      <c r="C62" s="28"/>
      <c r="D62" s="28"/>
      <c r="E62" s="28"/>
      <c r="F62" s="28"/>
      <c r="G62" s="28"/>
      <c r="H62" s="28"/>
      <c r="I62" s="28"/>
    </row>
    <row r="63">
      <c r="A63" s="39" t="s">
        <v>90</v>
      </c>
      <c r="B63" s="40"/>
      <c r="C63" s="40"/>
      <c r="D63" s="40"/>
      <c r="E63" s="40"/>
      <c r="F63" s="40"/>
      <c r="G63" s="40"/>
      <c r="H63" s="40"/>
      <c r="I63" s="40"/>
    </row>
    <row r="64">
      <c r="A64" s="58"/>
      <c r="B64" s="95">
        <v>43833.0</v>
      </c>
      <c r="C64" s="96" t="s">
        <v>91</v>
      </c>
      <c r="D64" s="97" t="s">
        <v>92</v>
      </c>
      <c r="E64" s="96" t="s">
        <v>93</v>
      </c>
      <c r="F64" s="98" t="s">
        <v>91</v>
      </c>
      <c r="G64" s="99"/>
      <c r="H64" s="100"/>
      <c r="I64" s="101">
        <f>round(((I$27/30*30*$D$70)+(I$27/30*(30+3)*(1-$D$70)))/12*$D$70*$E$67,2)</f>
        <v>15.52</v>
      </c>
    </row>
    <row r="65">
      <c r="A65" s="58"/>
      <c r="B65" s="102"/>
      <c r="C65" s="103"/>
      <c r="D65" s="33"/>
      <c r="E65" s="103"/>
      <c r="F65" s="104" t="s">
        <v>94</v>
      </c>
      <c r="G65" s="57"/>
      <c r="H65" s="105"/>
      <c r="I65" s="105"/>
    </row>
    <row r="66">
      <c r="A66" s="58"/>
      <c r="B66" s="102"/>
      <c r="C66" s="103"/>
      <c r="D66" s="33"/>
      <c r="E66" s="103"/>
      <c r="F66" s="106" t="s">
        <v>95</v>
      </c>
      <c r="H66" s="107"/>
      <c r="I66" s="108">
        <f>ROUND(I64*0.08,2)</f>
        <v>1.24</v>
      </c>
    </row>
    <row r="67">
      <c r="A67" s="58"/>
      <c r="B67" s="102"/>
      <c r="C67" s="103"/>
      <c r="D67" s="33"/>
      <c r="E67" s="109">
        <v>0.2</v>
      </c>
      <c r="F67" s="110" t="s">
        <v>96</v>
      </c>
      <c r="H67" s="107"/>
      <c r="I67" s="105"/>
    </row>
    <row r="68">
      <c r="A68" s="15"/>
      <c r="B68" s="102"/>
      <c r="C68" s="103"/>
      <c r="D68" s="33"/>
      <c r="E68" s="103"/>
      <c r="F68" s="111" t="s">
        <v>97</v>
      </c>
      <c r="G68" s="99"/>
      <c r="H68" s="100"/>
      <c r="I68" s="112">
        <f>ROUND(I$27*0.08*0.4*$D$70*$E$67,2)</f>
        <v>5.67</v>
      </c>
    </row>
    <row r="69">
      <c r="A69" s="15"/>
      <c r="B69" s="113"/>
      <c r="C69" s="114"/>
      <c r="D69" s="33"/>
      <c r="E69" s="114"/>
      <c r="F69" s="115" t="s">
        <v>98</v>
      </c>
      <c r="H69" s="107"/>
      <c r="I69" s="113"/>
    </row>
    <row r="70">
      <c r="A70" s="58"/>
      <c r="B70" s="95">
        <v>43864.0</v>
      </c>
      <c r="C70" s="96" t="s">
        <v>99</v>
      </c>
      <c r="D70" s="116">
        <v>0.5</v>
      </c>
      <c r="E70" s="96" t="s">
        <v>93</v>
      </c>
      <c r="F70" s="73" t="s">
        <v>100</v>
      </c>
      <c r="G70" s="61"/>
      <c r="H70" s="74"/>
      <c r="I70" s="101">
        <f>ROUND(((I$27/30*7*$D$70)+(I$27/30*(7+3)*(1-$D$70)))/12*$D$70*$E$73,2)</f>
        <v>16.75</v>
      </c>
    </row>
    <row r="71">
      <c r="A71" s="58"/>
      <c r="B71" s="102"/>
      <c r="C71" s="103"/>
      <c r="D71" s="33"/>
      <c r="E71" s="103"/>
      <c r="F71" s="117" t="s">
        <v>101</v>
      </c>
      <c r="G71" s="17"/>
      <c r="H71" s="18"/>
      <c r="I71" s="105"/>
    </row>
    <row r="72">
      <c r="A72" s="58"/>
      <c r="B72" s="102"/>
      <c r="C72" s="103"/>
      <c r="D72" s="33"/>
      <c r="E72" s="103"/>
      <c r="F72" s="106" t="s">
        <v>102</v>
      </c>
      <c r="H72" s="107"/>
      <c r="I72" s="118">
        <f>ROUND($H$59*I70,2)</f>
        <v>6.16</v>
      </c>
    </row>
    <row r="73">
      <c r="A73" s="58"/>
      <c r="B73" s="102"/>
      <c r="C73" s="103"/>
      <c r="D73" s="33"/>
      <c r="E73" s="109">
        <v>0.8</v>
      </c>
      <c r="F73" s="77" t="s">
        <v>97</v>
      </c>
      <c r="G73" s="61"/>
      <c r="H73" s="74"/>
      <c r="I73" s="101">
        <f>ROUND(I$27*0.08*0.4*$D$70*$E$73,2)</f>
        <v>22.7</v>
      </c>
    </row>
    <row r="74">
      <c r="A74" s="58"/>
      <c r="B74" s="113"/>
      <c r="C74" s="114"/>
      <c r="D74" s="35"/>
      <c r="E74" s="114"/>
      <c r="F74" s="119" t="s">
        <v>98</v>
      </c>
      <c r="G74" s="17"/>
      <c r="H74" s="18"/>
      <c r="I74" s="105"/>
    </row>
    <row r="75">
      <c r="A75" s="15"/>
      <c r="B75" s="53" t="s">
        <v>45</v>
      </c>
      <c r="H75" s="44"/>
      <c r="I75" s="54">
        <f>SUM(I64:I74)</f>
        <v>68.04</v>
      </c>
    </row>
    <row r="76">
      <c r="A76" s="37"/>
      <c r="B76" s="37"/>
    </row>
    <row r="77">
      <c r="A77" s="39" t="s">
        <v>103</v>
      </c>
      <c r="B77" s="40"/>
      <c r="C77" s="40"/>
      <c r="D77" s="40"/>
      <c r="E77" s="40"/>
      <c r="F77" s="40"/>
      <c r="G77" s="40"/>
      <c r="H77" s="40"/>
      <c r="I77" s="40"/>
    </row>
    <row r="78">
      <c r="A78" s="120"/>
      <c r="B78" s="120"/>
      <c r="C78" s="121" t="s">
        <v>104</v>
      </c>
      <c r="D78" s="99"/>
      <c r="E78" s="99"/>
      <c r="F78" s="99"/>
      <c r="G78" s="99"/>
      <c r="H78" s="100"/>
      <c r="I78" s="122">
        <f>(I27+I61+I75)/(I14/12)</f>
        <v>166.6397051</v>
      </c>
    </row>
    <row r="79">
      <c r="A79" s="120"/>
      <c r="B79" s="120"/>
      <c r="C79" s="123" t="s">
        <v>105</v>
      </c>
      <c r="D79" s="57"/>
      <c r="E79" s="57"/>
      <c r="F79" s="57"/>
      <c r="G79" s="57"/>
      <c r="H79" s="105"/>
      <c r="I79" s="113"/>
    </row>
    <row r="80">
      <c r="A80" s="120"/>
      <c r="B80" s="120"/>
      <c r="C80" s="124" t="s">
        <v>106</v>
      </c>
      <c r="D80" s="125"/>
      <c r="E80" s="126" t="s">
        <v>107</v>
      </c>
      <c r="F80" s="127" t="s">
        <v>108</v>
      </c>
      <c r="G80" s="126" t="s">
        <v>109</v>
      </c>
      <c r="H80" s="126" t="s">
        <v>190</v>
      </c>
      <c r="I80" s="128" t="s">
        <v>191</v>
      </c>
    </row>
    <row r="81">
      <c r="A81" s="58"/>
      <c r="B81" s="120"/>
      <c r="C81" s="129" t="s">
        <v>67</v>
      </c>
      <c r="D81" s="125"/>
      <c r="E81" s="130">
        <v>1.0</v>
      </c>
      <c r="F81" s="131">
        <v>30.0</v>
      </c>
      <c r="G81" s="132">
        <f t="shared" ref="G81:G83" si="3">I$14/365.25</f>
        <v>0.686899384</v>
      </c>
      <c r="H81" s="133">
        <f t="shared" ref="H81:H92" si="4">ROUNDUP(E81*F81*G81/12,2)</f>
        <v>1.72</v>
      </c>
      <c r="I81" s="134">
        <f t="shared" ref="I81:I92" si="5">ROUND($H81*I$78,2)</f>
        <v>286.62</v>
      </c>
    </row>
    <row r="82">
      <c r="A82" s="58"/>
      <c r="B82" s="120"/>
      <c r="C82" s="129" t="s">
        <v>112</v>
      </c>
      <c r="D82" s="125"/>
      <c r="E82" s="135">
        <v>0.0625</v>
      </c>
      <c r="F82" s="131">
        <v>15.0</v>
      </c>
      <c r="G82" s="132">
        <f t="shared" si="3"/>
        <v>0.686899384</v>
      </c>
      <c r="H82" s="133">
        <f t="shared" si="4"/>
        <v>0.06</v>
      </c>
      <c r="I82" s="134">
        <f t="shared" si="5"/>
        <v>10</v>
      </c>
    </row>
    <row r="83">
      <c r="A83" s="58"/>
      <c r="B83" s="120"/>
      <c r="C83" s="129" t="s">
        <v>113</v>
      </c>
      <c r="D83" s="125"/>
      <c r="E83" s="135">
        <v>1.0</v>
      </c>
      <c r="F83" s="131">
        <v>5.0</v>
      </c>
      <c r="G83" s="132">
        <f t="shared" si="3"/>
        <v>0.686899384</v>
      </c>
      <c r="H83" s="133">
        <f t="shared" si="4"/>
        <v>0.29</v>
      </c>
      <c r="I83" s="134">
        <f t="shared" si="5"/>
        <v>48.33</v>
      </c>
    </row>
    <row r="84">
      <c r="A84" s="58"/>
      <c r="B84" s="120"/>
      <c r="C84" s="129" t="s">
        <v>114</v>
      </c>
      <c r="D84" s="125"/>
      <c r="E84" s="135">
        <v>0.25</v>
      </c>
      <c r="F84" s="131">
        <v>1.0</v>
      </c>
      <c r="G84" s="132">
        <v>1.0</v>
      </c>
      <c r="H84" s="133">
        <f t="shared" si="4"/>
        <v>0.03</v>
      </c>
      <c r="I84" s="134">
        <f t="shared" si="5"/>
        <v>5</v>
      </c>
    </row>
    <row r="85">
      <c r="A85" s="58"/>
      <c r="B85" s="120"/>
      <c r="C85" s="129" t="s">
        <v>115</v>
      </c>
      <c r="D85" s="125"/>
      <c r="E85" s="135">
        <v>0.25</v>
      </c>
      <c r="F85" s="131">
        <v>2.0</v>
      </c>
      <c r="G85" s="132">
        <f>I$14/365.25</f>
        <v>0.686899384</v>
      </c>
      <c r="H85" s="133">
        <f t="shared" si="4"/>
        <v>0.03</v>
      </c>
      <c r="I85" s="134">
        <f t="shared" si="5"/>
        <v>5</v>
      </c>
    </row>
    <row r="86">
      <c r="A86" s="58"/>
      <c r="B86" s="120"/>
      <c r="C86" s="129" t="s">
        <v>116</v>
      </c>
      <c r="D86" s="125"/>
      <c r="E86" s="135">
        <v>0.125</v>
      </c>
      <c r="F86" s="131">
        <v>3.0</v>
      </c>
      <c r="G86" s="132">
        <v>1.0</v>
      </c>
      <c r="H86" s="133">
        <f t="shared" si="4"/>
        <v>0.04</v>
      </c>
      <c r="I86" s="134">
        <f t="shared" si="5"/>
        <v>6.67</v>
      </c>
    </row>
    <row r="87">
      <c r="A87" s="58"/>
      <c r="B87" s="120"/>
      <c r="C87" s="129" t="s">
        <v>117</v>
      </c>
      <c r="D87" s="125"/>
      <c r="E87" s="135">
        <v>0.25</v>
      </c>
      <c r="F87" s="131">
        <v>1.0</v>
      </c>
      <c r="G87" s="132">
        <v>1.0</v>
      </c>
      <c r="H87" s="133">
        <f t="shared" si="4"/>
        <v>0.03</v>
      </c>
      <c r="I87" s="134">
        <f t="shared" si="5"/>
        <v>5</v>
      </c>
    </row>
    <row r="88">
      <c r="A88" s="58"/>
      <c r="B88" s="120"/>
      <c r="C88" s="129" t="s">
        <v>118</v>
      </c>
      <c r="D88" s="125"/>
      <c r="E88" s="135">
        <v>0.0625</v>
      </c>
      <c r="F88" s="131">
        <v>1.0</v>
      </c>
      <c r="G88" s="132">
        <v>1.0</v>
      </c>
      <c r="H88" s="133">
        <f t="shared" si="4"/>
        <v>0.01</v>
      </c>
      <c r="I88" s="134">
        <f t="shared" si="5"/>
        <v>1.67</v>
      </c>
    </row>
    <row r="89">
      <c r="A89" s="58"/>
      <c r="B89" s="120"/>
      <c r="C89" s="129" t="s">
        <v>119</v>
      </c>
      <c r="D89" s="125"/>
      <c r="E89" s="135">
        <v>0.2</v>
      </c>
      <c r="F89" s="136">
        <v>20.0</v>
      </c>
      <c r="G89" s="132">
        <f t="shared" ref="G89:G90" si="6">I$14/365.25</f>
        <v>0.686899384</v>
      </c>
      <c r="H89" s="133">
        <f t="shared" si="4"/>
        <v>0.23</v>
      </c>
      <c r="I89" s="134">
        <f t="shared" si="5"/>
        <v>38.33</v>
      </c>
    </row>
    <row r="90">
      <c r="A90" s="58"/>
      <c r="B90" s="120"/>
      <c r="C90" s="129" t="s">
        <v>120</v>
      </c>
      <c r="D90" s="125"/>
      <c r="E90" s="135">
        <v>0.01</v>
      </c>
      <c r="F90" s="131">
        <v>180.0</v>
      </c>
      <c r="G90" s="132">
        <f t="shared" si="6"/>
        <v>0.686899384</v>
      </c>
      <c r="H90" s="133">
        <f t="shared" si="4"/>
        <v>0.11</v>
      </c>
      <c r="I90" s="134">
        <f t="shared" si="5"/>
        <v>18.33</v>
      </c>
    </row>
    <row r="91">
      <c r="A91" s="58"/>
      <c r="B91" s="120"/>
      <c r="C91" s="129" t="s">
        <v>121</v>
      </c>
      <c r="D91" s="125"/>
      <c r="E91" s="135">
        <v>0.01</v>
      </c>
      <c r="F91" s="131">
        <v>6.0</v>
      </c>
      <c r="G91" s="132">
        <v>1.0</v>
      </c>
      <c r="H91" s="133">
        <f t="shared" si="4"/>
        <v>0.01</v>
      </c>
      <c r="I91" s="134">
        <f t="shared" si="5"/>
        <v>1.67</v>
      </c>
    </row>
    <row r="92">
      <c r="A92" s="58"/>
      <c r="B92" s="120"/>
      <c r="C92" s="129" t="s">
        <v>122</v>
      </c>
      <c r="D92" s="125"/>
      <c r="E92" s="137">
        <v>0.5</v>
      </c>
      <c r="F92" s="131">
        <v>1.0</v>
      </c>
      <c r="G92" s="132">
        <v>1.0</v>
      </c>
      <c r="H92" s="133">
        <f t="shared" si="4"/>
        <v>0.05</v>
      </c>
      <c r="I92" s="134">
        <f t="shared" si="5"/>
        <v>8.33</v>
      </c>
    </row>
    <row r="93">
      <c r="A93" s="15"/>
      <c r="B93" s="15"/>
      <c r="C93" s="138"/>
      <c r="D93" s="138"/>
      <c r="E93" s="138"/>
      <c r="F93" s="138"/>
      <c r="G93" s="138"/>
      <c r="H93" s="139" t="s">
        <v>45</v>
      </c>
      <c r="I93" s="54">
        <f>SUM(I81:I92)</f>
        <v>434.95</v>
      </c>
    </row>
    <row r="94">
      <c r="A94" s="37"/>
      <c r="B94" s="140"/>
      <c r="C94" s="140"/>
      <c r="D94" s="140"/>
      <c r="E94" s="140"/>
      <c r="F94" s="140"/>
      <c r="G94" s="140"/>
      <c r="H94" s="140"/>
      <c r="I94" s="140"/>
    </row>
    <row r="95">
      <c r="A95" s="39" t="s">
        <v>123</v>
      </c>
      <c r="B95" s="40"/>
      <c r="C95" s="40"/>
      <c r="D95" s="40"/>
      <c r="E95" s="40"/>
      <c r="F95" s="40"/>
      <c r="G95" s="40"/>
      <c r="H95" s="40"/>
      <c r="I95" s="40"/>
    </row>
    <row r="96">
      <c r="A96" s="141"/>
      <c r="B96" s="141"/>
      <c r="C96" s="141"/>
      <c r="D96" s="141"/>
      <c r="E96" s="85" t="s">
        <v>124</v>
      </c>
      <c r="F96" s="21"/>
      <c r="G96" s="21"/>
      <c r="H96" s="22"/>
      <c r="I96" s="134">
        <f>'Insumos_Zeladoria Noturna'!H23</f>
        <v>147.59</v>
      </c>
    </row>
    <row r="97">
      <c r="A97" s="141"/>
      <c r="B97" s="141"/>
      <c r="C97" s="141"/>
      <c r="D97" s="141"/>
      <c r="E97" s="20" t="s">
        <v>125</v>
      </c>
      <c r="F97" s="21"/>
      <c r="G97" s="21"/>
      <c r="H97" s="22"/>
      <c r="I97" s="134">
        <f>'Insumos_Zeladoria Noturna'!H29</f>
        <v>20.68933333</v>
      </c>
    </row>
    <row r="98">
      <c r="A98" s="141"/>
      <c r="B98" s="141"/>
      <c r="C98" s="141"/>
      <c r="D98" s="141"/>
      <c r="E98" s="20" t="s">
        <v>126</v>
      </c>
      <c r="F98" s="21"/>
      <c r="G98" s="21"/>
      <c r="H98" s="22"/>
      <c r="I98" s="142">
        <v>0.0</v>
      </c>
    </row>
    <row r="99">
      <c r="A99" s="15"/>
      <c r="B99" s="15"/>
      <c r="H99" s="143" t="s">
        <v>45</v>
      </c>
      <c r="I99" s="54">
        <f>sum(I96:I98)</f>
        <v>168.2793333</v>
      </c>
    </row>
    <row r="100">
      <c r="A100" s="144"/>
      <c r="B100" s="144"/>
      <c r="C100" s="144"/>
      <c r="D100" s="144"/>
      <c r="E100" s="144"/>
      <c r="F100" s="144"/>
      <c r="G100" s="144"/>
      <c r="H100" s="144"/>
      <c r="I100" s="144"/>
    </row>
    <row r="101">
      <c r="A101" s="39" t="s">
        <v>127</v>
      </c>
      <c r="B101" s="40"/>
      <c r="C101" s="40"/>
      <c r="D101" s="40"/>
      <c r="E101" s="40"/>
      <c r="F101" s="40"/>
      <c r="G101" s="40"/>
      <c r="H101" s="40"/>
      <c r="I101" s="40"/>
    </row>
    <row r="102">
      <c r="A102" s="58"/>
      <c r="B102" s="145">
        <v>43836.0</v>
      </c>
      <c r="C102" s="146" t="s">
        <v>128</v>
      </c>
      <c r="D102" s="61"/>
      <c r="E102" s="61"/>
      <c r="F102" s="61"/>
      <c r="G102" s="147" t="s">
        <v>129</v>
      </c>
      <c r="H102" s="61"/>
      <c r="I102" s="148">
        <f>SUM(I27+I61+I75+I93+I99)</f>
        <v>4087.248968</v>
      </c>
    </row>
    <row r="103">
      <c r="A103" s="58"/>
      <c r="B103" s="103"/>
      <c r="C103" s="149" t="s">
        <v>130</v>
      </c>
      <c r="G103" s="70" t="s">
        <v>131</v>
      </c>
      <c r="I103" s="150">
        <v>0.15</v>
      </c>
    </row>
    <row r="104">
      <c r="A104" s="58"/>
      <c r="B104" s="114"/>
      <c r="C104" s="151"/>
      <c r="D104" s="17"/>
      <c r="E104" s="17"/>
      <c r="F104" s="17"/>
      <c r="G104" s="70" t="s">
        <v>132</v>
      </c>
      <c r="I104" s="152">
        <f>ROUND(I103*I102,2)</f>
        <v>613.09</v>
      </c>
    </row>
    <row r="105">
      <c r="A105" s="58"/>
      <c r="B105" s="145">
        <v>43867.0</v>
      </c>
      <c r="C105" s="146" t="s">
        <v>133</v>
      </c>
      <c r="D105" s="61"/>
      <c r="E105" s="61"/>
      <c r="F105" s="61"/>
      <c r="G105" s="147" t="s">
        <v>129</v>
      </c>
      <c r="H105" s="61"/>
      <c r="I105" s="148">
        <f>SUM(I27+I61+I75+I93+I99+I104)</f>
        <v>4700.338968</v>
      </c>
    </row>
    <row r="106">
      <c r="A106" s="58"/>
      <c r="B106" s="103"/>
      <c r="C106" s="149" t="s">
        <v>134</v>
      </c>
      <c r="G106" s="70" t="s">
        <v>131</v>
      </c>
      <c r="I106" s="150">
        <v>0.15</v>
      </c>
    </row>
    <row r="107">
      <c r="A107" s="58"/>
      <c r="B107" s="114"/>
      <c r="C107" s="151"/>
      <c r="D107" s="17"/>
      <c r="E107" s="17"/>
      <c r="F107" s="17"/>
      <c r="G107" s="70" t="s">
        <v>132</v>
      </c>
      <c r="I107" s="148">
        <f>ROUND(I106*I105,2)</f>
        <v>705.05</v>
      </c>
    </row>
    <row r="108">
      <c r="A108" s="58"/>
      <c r="B108" s="145">
        <v>43896.0</v>
      </c>
      <c r="C108" s="146" t="s">
        <v>135</v>
      </c>
      <c r="D108" s="153"/>
      <c r="E108" s="153"/>
      <c r="F108" s="153"/>
      <c r="G108" s="154"/>
      <c r="H108" s="154"/>
      <c r="I108" s="155">
        <f>SUM(I27+I61+I75+I93+I99+I104+I107)</f>
        <v>5405.388968</v>
      </c>
    </row>
    <row r="109">
      <c r="A109" s="58"/>
      <c r="B109" s="103"/>
      <c r="C109" s="156" t="s">
        <v>136</v>
      </c>
      <c r="H109" s="157">
        <f t="shared" ref="H109:I109" si="7">SUM(H110:H112)</f>
        <v>0.1225</v>
      </c>
      <c r="I109" s="158">
        <f t="shared" si="7"/>
        <v>754.6</v>
      </c>
    </row>
    <row r="110">
      <c r="A110" s="159"/>
      <c r="B110" s="103"/>
      <c r="C110" s="160"/>
      <c r="D110" s="161" t="s">
        <v>137</v>
      </c>
      <c r="E110" s="74"/>
      <c r="F110" s="162" t="s">
        <v>138</v>
      </c>
      <c r="G110" s="22"/>
      <c r="H110" s="163">
        <v>0.0165</v>
      </c>
      <c r="I110" s="164">
        <f t="shared" ref="I110:I112" si="8">ROUND((I$108/(1-$H$109))*$H110,2)</f>
        <v>101.64</v>
      </c>
    </row>
    <row r="111">
      <c r="A111" s="159"/>
      <c r="B111" s="103"/>
      <c r="C111" s="160"/>
      <c r="D111" s="151"/>
      <c r="E111" s="18"/>
      <c r="F111" s="162" t="s">
        <v>139</v>
      </c>
      <c r="G111" s="22"/>
      <c r="H111" s="163">
        <v>0.076</v>
      </c>
      <c r="I111" s="83">
        <f t="shared" si="8"/>
        <v>468.16</v>
      </c>
    </row>
    <row r="112">
      <c r="A112" s="159"/>
      <c r="B112" s="114"/>
      <c r="C112" s="165"/>
      <c r="D112" s="166" t="s">
        <v>140</v>
      </c>
      <c r="E112" s="166"/>
      <c r="F112" s="162" t="s">
        <v>141</v>
      </c>
      <c r="G112" s="22"/>
      <c r="H112" s="163">
        <v>0.03</v>
      </c>
      <c r="I112" s="83">
        <f t="shared" si="8"/>
        <v>184.8</v>
      </c>
    </row>
    <row r="113">
      <c r="A113" s="15"/>
      <c r="B113" s="88" t="s">
        <v>45</v>
      </c>
      <c r="H113" s="167">
        <f>SUM(I103+I106+H110+H111+H112)</f>
        <v>0.4225</v>
      </c>
      <c r="I113" s="54">
        <f>SUM(I104+I107+I109)</f>
        <v>2072.74</v>
      </c>
    </row>
    <row r="114">
      <c r="A114" s="37"/>
      <c r="B114" s="37"/>
      <c r="C114" s="37"/>
      <c r="D114" s="37"/>
      <c r="E114" s="37"/>
      <c r="F114" s="38"/>
      <c r="G114" s="38"/>
      <c r="H114" s="38"/>
      <c r="I114" s="38"/>
    </row>
    <row r="115">
      <c r="A115" s="168" t="s">
        <v>142</v>
      </c>
      <c r="B115" s="13"/>
      <c r="C115" s="13"/>
      <c r="D115" s="13"/>
      <c r="E115" s="13"/>
      <c r="F115" s="13"/>
      <c r="G115" s="13"/>
      <c r="H115" s="13"/>
      <c r="I115" s="169"/>
    </row>
    <row r="116">
      <c r="A116" s="170"/>
      <c r="B116" s="170"/>
      <c r="C116" s="16" t="str">
        <f>A18</f>
        <v>MÓDULO 1 - COMPOSIÇÃO DA REMUNERAÇÃO</v>
      </c>
      <c r="D116" s="17"/>
      <c r="E116" s="17"/>
      <c r="F116" s="17"/>
      <c r="G116" s="17"/>
      <c r="H116" s="18"/>
      <c r="I116" s="164">
        <f>I27</f>
        <v>1773.179634</v>
      </c>
    </row>
    <row r="117">
      <c r="A117" s="170"/>
      <c r="B117" s="170"/>
      <c r="C117" s="20" t="str">
        <f>A29</f>
        <v>MÓDULO 2 - BENEFÍCIOS E ENCARGOS</v>
      </c>
      <c r="D117" s="21"/>
      <c r="E117" s="21"/>
      <c r="F117" s="21"/>
      <c r="G117" s="21"/>
      <c r="H117" s="22"/>
      <c r="I117" s="83">
        <f>I61</f>
        <v>1642.8</v>
      </c>
    </row>
    <row r="118">
      <c r="A118" s="170"/>
      <c r="B118" s="170"/>
      <c r="C118" s="20" t="str">
        <f>A63</f>
        <v>MÓDULO 3 - PROVISÃO PARA RESCISÃO</v>
      </c>
      <c r="D118" s="21"/>
      <c r="E118" s="21"/>
      <c r="F118" s="21"/>
      <c r="G118" s="21"/>
      <c r="H118" s="22"/>
      <c r="I118" s="83">
        <f>I75</f>
        <v>68.04</v>
      </c>
    </row>
    <row r="119">
      <c r="A119" s="170"/>
      <c r="B119" s="170"/>
      <c r="C119" s="20" t="str">
        <f>A77</f>
        <v>MÓDULO 4 - CUSTO DE REPOSIÇÃO DO PROFISSIONAL AUSENTE</v>
      </c>
      <c r="D119" s="21"/>
      <c r="E119" s="21"/>
      <c r="F119" s="21"/>
      <c r="G119" s="21"/>
      <c r="H119" s="22"/>
      <c r="I119" s="83">
        <f>I93</f>
        <v>434.95</v>
      </c>
    </row>
    <row r="120">
      <c r="A120" s="170"/>
      <c r="B120" s="170"/>
      <c r="C120" s="20" t="str">
        <f>A95</f>
        <v>MÓDULO 5 - INSUMOS</v>
      </c>
      <c r="D120" s="21"/>
      <c r="E120" s="21"/>
      <c r="F120" s="21"/>
      <c r="G120" s="21"/>
      <c r="H120" s="22"/>
      <c r="I120" s="83">
        <f>I99</f>
        <v>168.2793333</v>
      </c>
    </row>
    <row r="121">
      <c r="A121" s="170"/>
      <c r="B121" s="170"/>
      <c r="C121" s="20" t="str">
        <f>A101</f>
        <v>MÓDULO 6 - CUSTOS INDIRETOS, LUCRO E TRIBUTOS</v>
      </c>
      <c r="D121" s="21"/>
      <c r="E121" s="21"/>
      <c r="F121" s="21"/>
      <c r="G121" s="21"/>
      <c r="H121" s="22"/>
      <c r="I121" s="83">
        <f>I113</f>
        <v>2072.74</v>
      </c>
    </row>
    <row r="122">
      <c r="A122" s="170"/>
      <c r="B122" s="171"/>
      <c r="C122" s="172" t="s">
        <v>143</v>
      </c>
      <c r="D122" s="61"/>
      <c r="E122" s="61"/>
      <c r="F122" s="61"/>
      <c r="G122" s="61"/>
      <c r="H122" s="74"/>
      <c r="I122" s="54">
        <f>SUM(I116:I121)</f>
        <v>6159.988968</v>
      </c>
    </row>
    <row r="123">
      <c r="A123" s="173"/>
      <c r="B123" s="173"/>
      <c r="C123" s="174" t="s">
        <v>144</v>
      </c>
      <c r="H123" s="44"/>
      <c r="I123" s="175">
        <f>I11</f>
        <v>1</v>
      </c>
    </row>
    <row r="124">
      <c r="A124" s="176"/>
      <c r="B124" s="176"/>
      <c r="C124" s="176"/>
      <c r="D124" s="176"/>
      <c r="E124" s="176"/>
      <c r="F124" s="176"/>
      <c r="G124" s="176"/>
      <c r="H124" s="176"/>
      <c r="I124" s="176"/>
    </row>
    <row r="125">
      <c r="A125" s="177" t="s">
        <v>145</v>
      </c>
      <c r="B125" s="13"/>
      <c r="C125" s="13"/>
      <c r="D125" s="13"/>
      <c r="E125" s="13"/>
      <c r="F125" s="13"/>
      <c r="G125" s="13"/>
      <c r="H125" s="13"/>
      <c r="I125" s="14"/>
    </row>
    <row r="126" ht="30.75" customHeight="1">
      <c r="A126" s="15"/>
      <c r="B126" s="15"/>
      <c r="C126" s="15"/>
      <c r="D126" s="15"/>
      <c r="E126" s="15"/>
      <c r="F126" s="15"/>
      <c r="G126" s="15"/>
      <c r="H126" s="178"/>
      <c r="I126" s="179">
        <f>round(I122*I123,2)</f>
        <v>6159.99</v>
      </c>
    </row>
  </sheetData>
  <mergeCells count="157">
    <mergeCell ref="A1:I1"/>
    <mergeCell ref="A2:I2"/>
    <mergeCell ref="A3:H3"/>
    <mergeCell ref="D4:H4"/>
    <mergeCell ref="D5:H5"/>
    <mergeCell ref="D6:H6"/>
    <mergeCell ref="D7:H7"/>
    <mergeCell ref="D8:H8"/>
    <mergeCell ref="D9:H9"/>
    <mergeCell ref="D11:D16"/>
    <mergeCell ref="F11:H11"/>
    <mergeCell ref="F12:H12"/>
    <mergeCell ref="F13:H13"/>
    <mergeCell ref="F14:H14"/>
    <mergeCell ref="C20:H20"/>
    <mergeCell ref="C21:H21"/>
    <mergeCell ref="I21:I22"/>
    <mergeCell ref="C22:H22"/>
    <mergeCell ref="F15:H15"/>
    <mergeCell ref="F16:H16"/>
    <mergeCell ref="A18:I18"/>
    <mergeCell ref="B19:B20"/>
    <mergeCell ref="C19:H19"/>
    <mergeCell ref="I19:I20"/>
    <mergeCell ref="B21:B22"/>
    <mergeCell ref="B23:B24"/>
    <mergeCell ref="C23:H23"/>
    <mergeCell ref="I23:I24"/>
    <mergeCell ref="C24:H24"/>
    <mergeCell ref="B25:B26"/>
    <mergeCell ref="C25:H25"/>
    <mergeCell ref="I25:I26"/>
    <mergeCell ref="C26:H26"/>
    <mergeCell ref="B27:H27"/>
    <mergeCell ref="A29:I29"/>
    <mergeCell ref="B31:I31"/>
    <mergeCell ref="B32:B34"/>
    <mergeCell ref="C32:D33"/>
    <mergeCell ref="E32:H32"/>
    <mergeCell ref="C46:H46"/>
    <mergeCell ref="C47:H47"/>
    <mergeCell ref="B48:H48"/>
    <mergeCell ref="B50:I50"/>
    <mergeCell ref="C51:G51"/>
    <mergeCell ref="C52:G52"/>
    <mergeCell ref="C53:G53"/>
    <mergeCell ref="C54:G54"/>
    <mergeCell ref="C55:G55"/>
    <mergeCell ref="C56:G56"/>
    <mergeCell ref="C57:G57"/>
    <mergeCell ref="C58:G58"/>
    <mergeCell ref="B59:F59"/>
    <mergeCell ref="G61:H61"/>
    <mergeCell ref="B70:B74"/>
    <mergeCell ref="C70:C74"/>
    <mergeCell ref="D70:D74"/>
    <mergeCell ref="E70:E72"/>
    <mergeCell ref="E73:E74"/>
    <mergeCell ref="B44:B45"/>
    <mergeCell ref="B46:B47"/>
    <mergeCell ref="B64:B69"/>
    <mergeCell ref="C64:C69"/>
    <mergeCell ref="D64:D69"/>
    <mergeCell ref="E64:E66"/>
    <mergeCell ref="E67:E69"/>
    <mergeCell ref="C36:F36"/>
    <mergeCell ref="C37:H37"/>
    <mergeCell ref="I37:I38"/>
    <mergeCell ref="C38:H38"/>
    <mergeCell ref="E33:H33"/>
    <mergeCell ref="C34:F34"/>
    <mergeCell ref="B35:B36"/>
    <mergeCell ref="C35:D35"/>
    <mergeCell ref="G35:H35"/>
    <mergeCell ref="G36:H36"/>
    <mergeCell ref="B37:B38"/>
    <mergeCell ref="I42:I43"/>
    <mergeCell ref="I44:I45"/>
    <mergeCell ref="I46:I47"/>
    <mergeCell ref="B39:H39"/>
    <mergeCell ref="B41:I41"/>
    <mergeCell ref="B42:B43"/>
    <mergeCell ref="C42:H42"/>
    <mergeCell ref="C43:H43"/>
    <mergeCell ref="C44:H44"/>
    <mergeCell ref="C45:H45"/>
    <mergeCell ref="I66:I67"/>
    <mergeCell ref="I68:I69"/>
    <mergeCell ref="I70:I71"/>
    <mergeCell ref="I73:I74"/>
    <mergeCell ref="A63:I63"/>
    <mergeCell ref="F64:H64"/>
    <mergeCell ref="I64:I65"/>
    <mergeCell ref="F65:H65"/>
    <mergeCell ref="F66:H66"/>
    <mergeCell ref="F67:H67"/>
    <mergeCell ref="F68:H68"/>
    <mergeCell ref="B105:B107"/>
    <mergeCell ref="C106:F107"/>
    <mergeCell ref="B108:B112"/>
    <mergeCell ref="C109:G109"/>
    <mergeCell ref="D110:E111"/>
    <mergeCell ref="F110:G110"/>
    <mergeCell ref="F111:G111"/>
    <mergeCell ref="C120:H120"/>
    <mergeCell ref="C121:H121"/>
    <mergeCell ref="C122:H122"/>
    <mergeCell ref="C123:H123"/>
    <mergeCell ref="A125:H125"/>
    <mergeCell ref="F112:G112"/>
    <mergeCell ref="B113:G113"/>
    <mergeCell ref="A115:H115"/>
    <mergeCell ref="C116:H116"/>
    <mergeCell ref="C117:H117"/>
    <mergeCell ref="C118:H118"/>
    <mergeCell ref="C119:H119"/>
    <mergeCell ref="F69:H69"/>
    <mergeCell ref="F70:H70"/>
    <mergeCell ref="F71:H71"/>
    <mergeCell ref="F72:H72"/>
    <mergeCell ref="F73:H73"/>
    <mergeCell ref="F74:H74"/>
    <mergeCell ref="B75:H75"/>
    <mergeCell ref="B76:I76"/>
    <mergeCell ref="A77:I77"/>
    <mergeCell ref="C78:H78"/>
    <mergeCell ref="I78:I79"/>
    <mergeCell ref="C79:H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A95:I95"/>
    <mergeCell ref="E96:H96"/>
    <mergeCell ref="E97:H97"/>
    <mergeCell ref="G103:H103"/>
    <mergeCell ref="G104:H104"/>
    <mergeCell ref="G106:H106"/>
    <mergeCell ref="G107:H107"/>
    <mergeCell ref="C103:F104"/>
    <mergeCell ref="C105:F105"/>
    <mergeCell ref="E98:H98"/>
    <mergeCell ref="C99:G99"/>
    <mergeCell ref="A101:I101"/>
    <mergeCell ref="B102:B104"/>
    <mergeCell ref="C102:F102"/>
    <mergeCell ref="G102:H102"/>
    <mergeCell ref="G105:H105"/>
  </mergeCells>
  <printOptions/>
  <pageMargins bottom="0.75" footer="0.0" header="0.0" left="0.7" right="0.7" top="0.75"/>
  <pageSetup fitToHeight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.38"/>
    <col customWidth="1" min="2" max="2" width="3.63"/>
    <col customWidth="1" min="3" max="3" width="35.88"/>
    <col customWidth="1" min="4" max="4" width="5.88"/>
    <col customWidth="1" min="5" max="6" width="7.63"/>
    <col customWidth="1" min="7" max="7" width="5.88"/>
    <col customWidth="1" min="8" max="8" width="7.88"/>
  </cols>
  <sheetData>
    <row r="1">
      <c r="A1" s="180" t="s">
        <v>146</v>
      </c>
    </row>
    <row r="2">
      <c r="A2" s="181" t="s">
        <v>177</v>
      </c>
    </row>
    <row r="3">
      <c r="A3" s="182"/>
      <c r="B3" s="182"/>
      <c r="C3" s="182"/>
      <c r="D3" s="182"/>
      <c r="E3" s="182"/>
      <c r="F3" s="182"/>
      <c r="G3" s="182"/>
      <c r="H3" s="182"/>
    </row>
    <row r="4">
      <c r="A4" s="203" t="s">
        <v>124</v>
      </c>
      <c r="B4" s="204"/>
      <c r="C4" s="204"/>
      <c r="D4" s="204"/>
      <c r="E4" s="204"/>
      <c r="F4" s="204"/>
      <c r="G4" s="204"/>
      <c r="H4" s="204"/>
    </row>
    <row r="5">
      <c r="A5" s="184"/>
      <c r="B5" s="185" t="s">
        <v>148</v>
      </c>
      <c r="C5" s="185" t="s">
        <v>149</v>
      </c>
      <c r="D5" s="186" t="s">
        <v>150</v>
      </c>
      <c r="E5" s="187" t="s">
        <v>151</v>
      </c>
      <c r="F5" s="188" t="s">
        <v>152</v>
      </c>
      <c r="G5" s="186" t="s">
        <v>153</v>
      </c>
      <c r="H5" s="188" t="s">
        <v>154</v>
      </c>
    </row>
    <row r="6">
      <c r="A6" s="189"/>
      <c r="B6" s="190">
        <v>1.0</v>
      </c>
      <c r="C6" s="191" t="s">
        <v>155</v>
      </c>
      <c r="D6" s="192">
        <v>5.0</v>
      </c>
      <c r="E6" s="193">
        <v>70.4</v>
      </c>
      <c r="F6" s="194">
        <f t="shared" ref="F6:F22" si="1">D6*E6</f>
        <v>352</v>
      </c>
      <c r="G6" s="192">
        <v>12.0</v>
      </c>
      <c r="H6" s="194">
        <f t="shared" ref="H6:H22" si="2">F6/G6</f>
        <v>29.33333333</v>
      </c>
    </row>
    <row r="7">
      <c r="A7" s="189"/>
      <c r="B7" s="192">
        <v>2.0</v>
      </c>
      <c r="C7" s="195" t="s">
        <v>156</v>
      </c>
      <c r="D7" s="192">
        <v>5.0</v>
      </c>
      <c r="E7" s="193">
        <v>51.25</v>
      </c>
      <c r="F7" s="194">
        <f t="shared" si="1"/>
        <v>256.25</v>
      </c>
      <c r="G7" s="192">
        <v>12.0</v>
      </c>
      <c r="H7" s="194">
        <f t="shared" si="2"/>
        <v>21.35416667</v>
      </c>
    </row>
    <row r="8">
      <c r="A8" s="189"/>
      <c r="B8" s="192">
        <v>3.0</v>
      </c>
      <c r="C8" s="195" t="s">
        <v>157</v>
      </c>
      <c r="D8" s="192">
        <v>3.0</v>
      </c>
      <c r="E8" s="193">
        <v>60.68</v>
      </c>
      <c r="F8" s="194">
        <f t="shared" si="1"/>
        <v>182.04</v>
      </c>
      <c r="G8" s="192">
        <v>12.0</v>
      </c>
      <c r="H8" s="194">
        <f t="shared" si="2"/>
        <v>15.17</v>
      </c>
    </row>
    <row r="9">
      <c r="A9" s="189"/>
      <c r="B9" s="192">
        <v>4.0</v>
      </c>
      <c r="C9" s="195" t="s">
        <v>158</v>
      </c>
      <c r="D9" s="192">
        <v>2.0</v>
      </c>
      <c r="E9" s="193">
        <v>84.75</v>
      </c>
      <c r="F9" s="194">
        <f t="shared" si="1"/>
        <v>169.5</v>
      </c>
      <c r="G9" s="192">
        <v>12.0</v>
      </c>
      <c r="H9" s="194">
        <f t="shared" si="2"/>
        <v>14.125</v>
      </c>
    </row>
    <row r="10">
      <c r="A10" s="189"/>
      <c r="B10" s="192">
        <v>5.0</v>
      </c>
      <c r="C10" s="195" t="s">
        <v>159</v>
      </c>
      <c r="D10" s="192">
        <v>1.0</v>
      </c>
      <c r="E10" s="193">
        <v>143.7</v>
      </c>
      <c r="F10" s="194">
        <f t="shared" si="1"/>
        <v>143.7</v>
      </c>
      <c r="G10" s="192">
        <v>24.0</v>
      </c>
      <c r="H10" s="194">
        <f t="shared" si="2"/>
        <v>5.9875</v>
      </c>
    </row>
    <row r="11">
      <c r="A11" s="189"/>
      <c r="B11" s="192">
        <v>6.0</v>
      </c>
      <c r="C11" s="195" t="s">
        <v>160</v>
      </c>
      <c r="D11" s="192">
        <v>3.0</v>
      </c>
      <c r="E11" s="193">
        <v>62.93</v>
      </c>
      <c r="F11" s="194">
        <f t="shared" si="1"/>
        <v>188.79</v>
      </c>
      <c r="G11" s="192">
        <v>12.0</v>
      </c>
      <c r="H11" s="194">
        <f t="shared" si="2"/>
        <v>15.7325</v>
      </c>
    </row>
    <row r="12">
      <c r="A12" s="189"/>
      <c r="B12" s="192">
        <v>7.0</v>
      </c>
      <c r="C12" s="195" t="s">
        <v>161</v>
      </c>
      <c r="D12" s="192">
        <v>1.0</v>
      </c>
      <c r="E12" s="193">
        <v>33.74</v>
      </c>
      <c r="F12" s="194">
        <f t="shared" si="1"/>
        <v>33.74</v>
      </c>
      <c r="G12" s="192">
        <v>36.0</v>
      </c>
      <c r="H12" s="194">
        <f t="shared" si="2"/>
        <v>0.9372222222</v>
      </c>
    </row>
    <row r="13">
      <c r="A13" s="189"/>
      <c r="B13" s="192">
        <v>8.0</v>
      </c>
      <c r="C13" s="195" t="s">
        <v>162</v>
      </c>
      <c r="D13" s="192">
        <v>1.0</v>
      </c>
      <c r="E13" s="193">
        <v>3.27</v>
      </c>
      <c r="F13" s="194">
        <f t="shared" si="1"/>
        <v>3.27</v>
      </c>
      <c r="G13" s="192">
        <v>3.0</v>
      </c>
      <c r="H13" s="194">
        <f t="shared" si="2"/>
        <v>1.09</v>
      </c>
    </row>
    <row r="14">
      <c r="A14" s="189"/>
      <c r="B14" s="192">
        <v>9.0</v>
      </c>
      <c r="C14" s="195" t="s">
        <v>163</v>
      </c>
      <c r="D14" s="192">
        <v>1.0</v>
      </c>
      <c r="E14" s="193">
        <v>15.76</v>
      </c>
      <c r="F14" s="194">
        <f t="shared" si="1"/>
        <v>15.76</v>
      </c>
      <c r="G14" s="192">
        <v>36.0</v>
      </c>
      <c r="H14" s="194">
        <f t="shared" si="2"/>
        <v>0.4377777778</v>
      </c>
    </row>
    <row r="15">
      <c r="A15" s="189"/>
      <c r="B15" s="192">
        <v>10.0</v>
      </c>
      <c r="C15" s="195" t="s">
        <v>164</v>
      </c>
      <c r="D15" s="192">
        <v>1.0</v>
      </c>
      <c r="E15" s="193">
        <v>5.41</v>
      </c>
      <c r="F15" s="194">
        <f t="shared" si="1"/>
        <v>5.41</v>
      </c>
      <c r="G15" s="192">
        <v>4.0</v>
      </c>
      <c r="H15" s="194">
        <f t="shared" si="2"/>
        <v>1.3525</v>
      </c>
    </row>
    <row r="16">
      <c r="A16" s="189"/>
      <c r="B16" s="192">
        <v>11.0</v>
      </c>
      <c r="C16" s="195" t="s">
        <v>165</v>
      </c>
      <c r="D16" s="192">
        <v>1.0</v>
      </c>
      <c r="E16" s="193">
        <v>3.46</v>
      </c>
      <c r="F16" s="194">
        <f t="shared" si="1"/>
        <v>3.46</v>
      </c>
      <c r="G16" s="192">
        <v>4.0</v>
      </c>
      <c r="H16" s="194">
        <f t="shared" si="2"/>
        <v>0.865</v>
      </c>
    </row>
    <row r="17">
      <c r="A17" s="189"/>
      <c r="B17" s="192">
        <v>12.0</v>
      </c>
      <c r="C17" s="195" t="s">
        <v>166</v>
      </c>
      <c r="D17" s="192">
        <v>1.0</v>
      </c>
      <c r="E17" s="193">
        <v>15.56</v>
      </c>
      <c r="F17" s="194">
        <f t="shared" si="1"/>
        <v>15.56</v>
      </c>
      <c r="G17" s="192">
        <v>6.0</v>
      </c>
      <c r="H17" s="194">
        <f t="shared" si="2"/>
        <v>2.593333333</v>
      </c>
    </row>
    <row r="18">
      <c r="A18" s="189"/>
      <c r="B18" s="192">
        <v>13.0</v>
      </c>
      <c r="C18" s="195" t="s">
        <v>167</v>
      </c>
      <c r="D18" s="192">
        <v>1.0</v>
      </c>
      <c r="E18" s="193">
        <v>13.34</v>
      </c>
      <c r="F18" s="194">
        <f t="shared" si="1"/>
        <v>13.34</v>
      </c>
      <c r="G18" s="192">
        <v>4.0</v>
      </c>
      <c r="H18" s="194">
        <f t="shared" si="2"/>
        <v>3.335</v>
      </c>
    </row>
    <row r="19">
      <c r="A19" s="189"/>
      <c r="B19" s="192">
        <v>14.0</v>
      </c>
      <c r="C19" s="195" t="s">
        <v>168</v>
      </c>
      <c r="D19" s="192">
        <v>3.0</v>
      </c>
      <c r="E19" s="193">
        <v>2.52</v>
      </c>
      <c r="F19" s="194">
        <f t="shared" si="1"/>
        <v>7.56</v>
      </c>
      <c r="G19" s="192">
        <v>1.0</v>
      </c>
      <c r="H19" s="194">
        <f t="shared" si="2"/>
        <v>7.56</v>
      </c>
    </row>
    <row r="20">
      <c r="A20" s="189"/>
      <c r="B20" s="192">
        <v>15.0</v>
      </c>
      <c r="C20" s="195" t="s">
        <v>169</v>
      </c>
      <c r="D20" s="192">
        <v>2.0</v>
      </c>
      <c r="E20" s="193">
        <v>8.19</v>
      </c>
      <c r="F20" s="194">
        <f t="shared" si="1"/>
        <v>16.38</v>
      </c>
      <c r="G20" s="192">
        <v>1.0</v>
      </c>
      <c r="H20" s="194">
        <f t="shared" si="2"/>
        <v>16.38</v>
      </c>
    </row>
    <row r="21">
      <c r="A21" s="189"/>
      <c r="B21" s="192">
        <v>16.0</v>
      </c>
      <c r="C21" s="195" t="s">
        <v>170</v>
      </c>
      <c r="D21" s="192">
        <v>1.0</v>
      </c>
      <c r="E21" s="193">
        <v>4.01</v>
      </c>
      <c r="F21" s="194">
        <f t="shared" si="1"/>
        <v>4.01</v>
      </c>
      <c r="G21" s="192">
        <v>3.0</v>
      </c>
      <c r="H21" s="194">
        <f t="shared" si="2"/>
        <v>1.336666667</v>
      </c>
    </row>
    <row r="22">
      <c r="A22" s="189"/>
      <c r="B22" s="192">
        <v>17.0</v>
      </c>
      <c r="C22" s="195" t="s">
        <v>171</v>
      </c>
      <c r="D22" s="192">
        <v>1.0</v>
      </c>
      <c r="E22" s="193">
        <v>10.0</v>
      </c>
      <c r="F22" s="194">
        <f t="shared" si="1"/>
        <v>10</v>
      </c>
      <c r="G22" s="192">
        <v>1.0</v>
      </c>
      <c r="H22" s="194">
        <f t="shared" si="2"/>
        <v>10</v>
      </c>
    </row>
    <row r="23">
      <c r="A23" s="196"/>
      <c r="B23" s="184"/>
      <c r="C23" s="184"/>
      <c r="D23" s="184"/>
      <c r="E23" s="197" t="s">
        <v>172</v>
      </c>
      <c r="F23" s="21"/>
      <c r="G23" s="21"/>
      <c r="H23" s="198">
        <f>SUM(H6:H22)</f>
        <v>147.59</v>
      </c>
    </row>
    <row r="24">
      <c r="A24" s="205" t="s">
        <v>125</v>
      </c>
      <c r="B24" s="204"/>
      <c r="C24" s="204"/>
      <c r="D24" s="204"/>
      <c r="E24" s="204"/>
      <c r="F24" s="204"/>
      <c r="G24" s="204"/>
      <c r="H24" s="204"/>
    </row>
    <row r="25">
      <c r="A25" s="184"/>
      <c r="B25" s="185" t="s">
        <v>148</v>
      </c>
      <c r="C25" s="185" t="s">
        <v>149</v>
      </c>
      <c r="D25" s="186" t="s">
        <v>150</v>
      </c>
      <c r="E25" s="187" t="s">
        <v>151</v>
      </c>
      <c r="F25" s="188" t="s">
        <v>152</v>
      </c>
      <c r="G25" s="186" t="s">
        <v>153</v>
      </c>
      <c r="H25" s="188" t="s">
        <v>154</v>
      </c>
    </row>
    <row r="26">
      <c r="A26" s="189"/>
      <c r="B26" s="190">
        <v>1.0</v>
      </c>
      <c r="C26" s="191" t="s">
        <v>192</v>
      </c>
      <c r="D26" s="192">
        <v>1.0</v>
      </c>
      <c r="E26" s="193">
        <v>218.81</v>
      </c>
      <c r="F26" s="194">
        <f t="shared" ref="F26:F28" si="3">D26*E26</f>
        <v>218.81</v>
      </c>
      <c r="G26" s="192">
        <v>60.0</v>
      </c>
      <c r="H26" s="194">
        <f t="shared" ref="H26:H28" si="4">F26/G26</f>
        <v>3.646833333</v>
      </c>
    </row>
    <row r="27">
      <c r="A27" s="189"/>
      <c r="B27" s="192">
        <v>2.0</v>
      </c>
      <c r="C27" s="195" t="s">
        <v>174</v>
      </c>
      <c r="D27" s="192">
        <v>6.0</v>
      </c>
      <c r="E27" s="193">
        <v>28.17</v>
      </c>
      <c r="F27" s="194">
        <f t="shared" si="3"/>
        <v>169.02</v>
      </c>
      <c r="G27" s="192">
        <v>24.0</v>
      </c>
      <c r="H27" s="194">
        <f t="shared" si="4"/>
        <v>7.0425</v>
      </c>
    </row>
    <row r="28">
      <c r="A28" s="189"/>
      <c r="B28" s="192">
        <v>3.0</v>
      </c>
      <c r="C28" s="195" t="s">
        <v>175</v>
      </c>
      <c r="D28" s="192">
        <v>1.0</v>
      </c>
      <c r="E28" s="193">
        <v>10.0</v>
      </c>
      <c r="F28" s="194">
        <f t="shared" si="3"/>
        <v>10</v>
      </c>
      <c r="G28" s="192">
        <v>1.0</v>
      </c>
      <c r="H28" s="194">
        <f t="shared" si="4"/>
        <v>10</v>
      </c>
    </row>
    <row r="29">
      <c r="A29" s="196"/>
      <c r="B29" s="184"/>
      <c r="C29" s="184"/>
      <c r="D29" s="184"/>
      <c r="E29" s="197" t="s">
        <v>172</v>
      </c>
      <c r="F29" s="21"/>
      <c r="G29" s="21"/>
      <c r="H29" s="198">
        <f>SUM(H26:H28)</f>
        <v>20.68933333</v>
      </c>
    </row>
    <row r="30">
      <c r="A30" s="203" t="s">
        <v>126</v>
      </c>
      <c r="B30" s="204"/>
      <c r="C30" s="204"/>
      <c r="D30" s="204"/>
      <c r="E30" s="204"/>
      <c r="F30" s="204"/>
      <c r="G30" s="204"/>
      <c r="H30" s="204"/>
    </row>
    <row r="31">
      <c r="A31" s="189"/>
      <c r="B31" s="191" t="s">
        <v>176</v>
      </c>
      <c r="C31" s="21"/>
      <c r="D31" s="21"/>
      <c r="E31" s="21"/>
      <c r="F31" s="21"/>
      <c r="G31" s="21"/>
      <c r="H31" s="22"/>
    </row>
    <row r="32">
      <c r="A32" s="182"/>
      <c r="B32" s="182"/>
      <c r="C32" s="182"/>
      <c r="D32" s="182"/>
      <c r="E32" s="182"/>
      <c r="F32" s="182"/>
      <c r="G32" s="182"/>
      <c r="H32" s="182"/>
    </row>
  </sheetData>
  <mergeCells count="8">
    <mergeCell ref="A1:H1"/>
    <mergeCell ref="A2:H2"/>
    <mergeCell ref="A4:H4"/>
    <mergeCell ref="E23:G23"/>
    <mergeCell ref="A24:H24"/>
    <mergeCell ref="E29:G29"/>
    <mergeCell ref="A30:H30"/>
    <mergeCell ref="B31:H31"/>
  </mergeCells>
  <printOptions/>
  <pageMargins bottom="0.75" footer="0.0" header="0.0" left="0.7" right="0.7" top="0.75"/>
  <pageSetup fitToHeight="0"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25"/>
    <col customWidth="1" min="2" max="2" width="3.63"/>
    <col customWidth="1" min="3" max="3" width="11.75"/>
    <col customWidth="1" min="4" max="4" width="11.88"/>
    <col customWidth="1" min="5" max="5" width="12.38"/>
    <col customWidth="1" min="6" max="6" width="5.88"/>
    <col customWidth="1" min="7" max="7" width="7.5"/>
    <col customWidth="1" min="8" max="8" width="7.63"/>
    <col customWidth="1" min="9" max="9" width="12.38"/>
  </cols>
  <sheetData>
    <row r="1">
      <c r="A1" s="10" t="s">
        <v>11</v>
      </c>
    </row>
    <row r="2">
      <c r="A2" s="206" t="s">
        <v>193</v>
      </c>
    </row>
    <row r="3">
      <c r="A3" s="12" t="s">
        <v>13</v>
      </c>
      <c r="B3" s="13"/>
      <c r="C3" s="13"/>
      <c r="D3" s="13"/>
      <c r="E3" s="13"/>
      <c r="F3" s="13"/>
      <c r="G3" s="13"/>
      <c r="H3" s="13"/>
      <c r="I3" s="14"/>
    </row>
    <row r="4">
      <c r="A4" s="15"/>
      <c r="B4" s="15"/>
      <c r="C4" s="15"/>
      <c r="D4" s="16" t="s">
        <v>14</v>
      </c>
      <c r="E4" s="17"/>
      <c r="F4" s="17"/>
      <c r="G4" s="17"/>
      <c r="H4" s="18"/>
      <c r="I4" s="19" t="s">
        <v>194</v>
      </c>
    </row>
    <row r="5">
      <c r="A5" s="15"/>
      <c r="B5" s="15"/>
      <c r="C5" s="15"/>
      <c r="D5" s="20" t="s">
        <v>16</v>
      </c>
      <c r="E5" s="21"/>
      <c r="F5" s="21"/>
      <c r="G5" s="21"/>
      <c r="H5" s="22"/>
      <c r="I5" s="23" t="s">
        <v>17</v>
      </c>
    </row>
    <row r="6">
      <c r="A6" s="15"/>
      <c r="B6" s="15"/>
      <c r="C6" s="15"/>
      <c r="D6" s="20" t="s">
        <v>18</v>
      </c>
      <c r="E6" s="21"/>
      <c r="F6" s="21"/>
      <c r="G6" s="21"/>
      <c r="H6" s="22"/>
      <c r="I6" s="23" t="s">
        <v>19</v>
      </c>
    </row>
    <row r="7">
      <c r="A7" s="15"/>
      <c r="B7" s="15"/>
      <c r="C7" s="15"/>
      <c r="D7" s="20" t="s">
        <v>20</v>
      </c>
      <c r="E7" s="21"/>
      <c r="F7" s="21"/>
      <c r="G7" s="21"/>
      <c r="H7" s="22"/>
      <c r="I7" s="24" t="s">
        <v>21</v>
      </c>
    </row>
    <row r="8">
      <c r="A8" s="15"/>
      <c r="B8" s="15"/>
      <c r="C8" s="15"/>
      <c r="D8" s="20" t="s">
        <v>22</v>
      </c>
      <c r="E8" s="21"/>
      <c r="F8" s="21"/>
      <c r="G8" s="21"/>
      <c r="H8" s="22"/>
      <c r="I8" s="24" t="s">
        <v>23</v>
      </c>
    </row>
    <row r="9">
      <c r="A9" s="15"/>
      <c r="B9" s="15"/>
      <c r="C9" s="15"/>
      <c r="D9" s="20" t="s">
        <v>24</v>
      </c>
      <c r="E9" s="21"/>
      <c r="F9" s="21"/>
      <c r="G9" s="21"/>
      <c r="H9" s="22"/>
      <c r="I9" s="25" t="s">
        <v>25</v>
      </c>
    </row>
    <row r="10" ht="7.5" customHeight="1">
      <c r="A10" s="26"/>
      <c r="B10" s="26"/>
      <c r="C10" s="26"/>
      <c r="D10" s="26"/>
      <c r="E10" s="26"/>
      <c r="F10" s="27"/>
      <c r="G10" s="27"/>
      <c r="H10" s="27"/>
      <c r="I10" s="27"/>
    </row>
    <row r="11">
      <c r="A11" s="28"/>
      <c r="B11" s="15"/>
      <c r="C11" s="15"/>
      <c r="D11" s="29" t="s">
        <v>26</v>
      </c>
      <c r="E11" s="30" t="s">
        <v>27</v>
      </c>
      <c r="F11" s="31" t="s">
        <v>28</v>
      </c>
      <c r="G11" s="21"/>
      <c r="H11" s="22"/>
      <c r="I11" s="32">
        <v>8.0</v>
      </c>
    </row>
    <row r="12">
      <c r="A12" s="28"/>
      <c r="B12" s="15"/>
      <c r="C12" s="15"/>
      <c r="D12" s="33"/>
      <c r="E12" s="30" t="s">
        <v>29</v>
      </c>
      <c r="F12" s="31" t="s">
        <v>30</v>
      </c>
      <c r="G12" s="21"/>
      <c r="H12" s="22"/>
      <c r="I12" s="32">
        <v>30.0</v>
      </c>
    </row>
    <row r="13">
      <c r="A13" s="28"/>
      <c r="B13" s="15"/>
      <c r="C13" s="15"/>
      <c r="D13" s="33"/>
      <c r="E13" s="30" t="s">
        <v>31</v>
      </c>
      <c r="F13" s="31" t="s">
        <v>32</v>
      </c>
      <c r="G13" s="21"/>
      <c r="H13" s="22"/>
      <c r="I13" s="34">
        <v>1653.58</v>
      </c>
    </row>
    <row r="14">
      <c r="A14" s="28"/>
      <c r="B14" s="15"/>
      <c r="C14" s="15"/>
      <c r="D14" s="35"/>
      <c r="E14" s="30" t="s">
        <v>33</v>
      </c>
      <c r="F14" s="36" t="s">
        <v>195</v>
      </c>
      <c r="G14" s="21"/>
      <c r="H14" s="22"/>
      <c r="I14" s="30">
        <f>ROUND((365.25/7*5)-10,2)</f>
        <v>250.89</v>
      </c>
    </row>
    <row r="15">
      <c r="A15" s="37"/>
      <c r="B15" s="37"/>
      <c r="C15" s="37"/>
      <c r="D15" s="37"/>
      <c r="E15" s="37"/>
      <c r="F15" s="38"/>
      <c r="G15" s="38"/>
      <c r="H15" s="38"/>
      <c r="I15" s="38"/>
    </row>
    <row r="16">
      <c r="A16" s="39" t="s">
        <v>35</v>
      </c>
      <c r="B16" s="40"/>
      <c r="C16" s="40"/>
      <c r="D16" s="40"/>
      <c r="E16" s="40"/>
      <c r="F16" s="40"/>
      <c r="G16" s="40"/>
      <c r="H16" s="40"/>
      <c r="I16" s="40"/>
    </row>
    <row r="17">
      <c r="A17" s="41"/>
      <c r="B17" s="42" t="s">
        <v>36</v>
      </c>
      <c r="C17" s="43" t="s">
        <v>183</v>
      </c>
      <c r="H17" s="44"/>
      <c r="I17" s="45">
        <f>ROUND(I13/44*I12,2)</f>
        <v>1127.44</v>
      </c>
    </row>
    <row r="18">
      <c r="A18" s="41"/>
      <c r="B18" s="46"/>
      <c r="C18" s="47" t="s">
        <v>38</v>
      </c>
      <c r="D18" s="17"/>
      <c r="E18" s="17"/>
      <c r="F18" s="17"/>
      <c r="G18" s="17"/>
      <c r="H18" s="18"/>
      <c r="I18" s="18"/>
    </row>
    <row r="19">
      <c r="A19" s="41"/>
      <c r="B19" s="48" t="s">
        <v>39</v>
      </c>
      <c r="C19" s="49" t="s">
        <v>40</v>
      </c>
      <c r="H19" s="44"/>
      <c r="I19" s="50">
        <f>ROUND(I17*0.4,2)</f>
        <v>450.98</v>
      </c>
    </row>
    <row r="20">
      <c r="A20" s="41"/>
      <c r="B20" s="46"/>
      <c r="C20" s="47" t="s">
        <v>196</v>
      </c>
      <c r="D20" s="17"/>
      <c r="E20" s="17"/>
      <c r="F20" s="17"/>
      <c r="G20" s="17"/>
      <c r="H20" s="18"/>
      <c r="I20" s="18"/>
    </row>
    <row r="21">
      <c r="A21" s="52"/>
      <c r="B21" s="53" t="s">
        <v>45</v>
      </c>
      <c r="I21" s="54">
        <f>SUM(I17:I20)</f>
        <v>1578.42</v>
      </c>
    </row>
    <row r="22">
      <c r="A22" s="37"/>
      <c r="B22" s="37"/>
      <c r="C22" s="37"/>
      <c r="D22" s="37"/>
      <c r="E22" s="37"/>
      <c r="F22" s="38"/>
      <c r="G22" s="38"/>
      <c r="H22" s="38"/>
      <c r="I22" s="38"/>
    </row>
    <row r="23">
      <c r="A23" s="39" t="s">
        <v>46</v>
      </c>
      <c r="B23" s="40"/>
      <c r="C23" s="40"/>
      <c r="D23" s="40"/>
      <c r="E23" s="40"/>
      <c r="F23" s="40"/>
      <c r="G23" s="40"/>
      <c r="H23" s="40"/>
      <c r="I23" s="40"/>
    </row>
    <row r="24">
      <c r="A24" s="37"/>
      <c r="B24" s="37"/>
      <c r="C24" s="37"/>
      <c r="D24" s="37"/>
      <c r="E24" s="37"/>
      <c r="F24" s="38"/>
      <c r="G24" s="38"/>
      <c r="H24" s="38"/>
      <c r="I24" s="38"/>
    </row>
    <row r="25">
      <c r="A25" s="55"/>
      <c r="B25" s="56" t="s">
        <v>47</v>
      </c>
      <c r="C25" s="57"/>
      <c r="D25" s="57"/>
      <c r="E25" s="57"/>
      <c r="F25" s="57"/>
      <c r="G25" s="57"/>
      <c r="H25" s="57"/>
      <c r="I25" s="57"/>
    </row>
    <row r="26">
      <c r="A26" s="58"/>
      <c r="B26" s="59" t="s">
        <v>48</v>
      </c>
      <c r="C26" s="60" t="s">
        <v>49</v>
      </c>
      <c r="D26" s="61"/>
      <c r="E26" s="62" t="s">
        <v>50</v>
      </c>
      <c r="F26" s="17"/>
      <c r="G26" s="17"/>
      <c r="H26" s="17"/>
      <c r="I26" s="63">
        <v>8.65</v>
      </c>
    </row>
    <row r="27">
      <c r="A27" s="58"/>
      <c r="B27" s="33"/>
      <c r="E27" s="64" t="s">
        <v>51</v>
      </c>
      <c r="F27" s="21"/>
      <c r="G27" s="21"/>
      <c r="H27" s="21"/>
      <c r="I27" s="65">
        <v>2.0</v>
      </c>
    </row>
    <row r="28">
      <c r="A28" s="58"/>
      <c r="B28" s="35"/>
      <c r="C28" s="66" t="s">
        <v>52</v>
      </c>
      <c r="D28" s="17"/>
      <c r="E28" s="17"/>
      <c r="F28" s="17"/>
      <c r="G28" s="67"/>
      <c r="H28" s="68" t="s">
        <v>53</v>
      </c>
      <c r="I28" s="69">
        <f>ROUND(((I26*I27*I14/12)-(I17*0.06)),2)</f>
        <v>294.05</v>
      </c>
    </row>
    <row r="29">
      <c r="A29" s="58"/>
      <c r="B29" s="59" t="s">
        <v>54</v>
      </c>
      <c r="C29" s="49" t="s">
        <v>55</v>
      </c>
      <c r="E29" s="37"/>
      <c r="F29" s="37"/>
      <c r="G29" s="70" t="s">
        <v>56</v>
      </c>
      <c r="I29" s="71">
        <v>12.71</v>
      </c>
    </row>
    <row r="30">
      <c r="A30" s="58"/>
      <c r="B30" s="35"/>
      <c r="C30" s="47" t="s">
        <v>57</v>
      </c>
      <c r="D30" s="17"/>
      <c r="E30" s="17"/>
      <c r="F30" s="17"/>
      <c r="G30" s="70" t="s">
        <v>58</v>
      </c>
      <c r="I30" s="72">
        <f>ROUND(I29*I14/12*0.81,2)</f>
        <v>215.24</v>
      </c>
    </row>
    <row r="31">
      <c r="A31" s="58"/>
      <c r="B31" s="59" t="s">
        <v>59</v>
      </c>
      <c r="C31" s="73" t="s">
        <v>60</v>
      </c>
      <c r="D31" s="61"/>
      <c r="E31" s="61"/>
      <c r="F31" s="61"/>
      <c r="G31" s="61"/>
      <c r="H31" s="74"/>
      <c r="I31" s="75">
        <v>24.1</v>
      </c>
    </row>
    <row r="32">
      <c r="A32" s="58"/>
      <c r="B32" s="35"/>
      <c r="C32" s="47" t="s">
        <v>61</v>
      </c>
      <c r="D32" s="17"/>
      <c r="E32" s="17"/>
      <c r="F32" s="17"/>
      <c r="G32" s="17"/>
      <c r="H32" s="18"/>
      <c r="I32" s="18"/>
    </row>
    <row r="33">
      <c r="A33" s="58"/>
      <c r="B33" s="53" t="s">
        <v>45</v>
      </c>
      <c r="I33" s="54">
        <f>SUM(I28,I30,I31)</f>
        <v>533.39</v>
      </c>
    </row>
    <row r="34">
      <c r="A34" s="37"/>
      <c r="B34" s="37"/>
      <c r="C34" s="37"/>
      <c r="D34" s="37"/>
      <c r="E34" s="37"/>
      <c r="F34" s="38"/>
      <c r="G34" s="38"/>
      <c r="H34" s="38"/>
      <c r="I34" s="38"/>
    </row>
    <row r="35">
      <c r="A35" s="55"/>
      <c r="B35" s="76" t="s">
        <v>62</v>
      </c>
    </row>
    <row r="36">
      <c r="A36" s="58"/>
      <c r="B36" s="48" t="s">
        <v>63</v>
      </c>
      <c r="C36" s="77" t="s">
        <v>64</v>
      </c>
      <c r="D36" s="61"/>
      <c r="E36" s="61"/>
      <c r="F36" s="61"/>
      <c r="G36" s="61"/>
      <c r="H36" s="74"/>
      <c r="I36" s="78">
        <f>ROUND(I21/12,2)</f>
        <v>131.54</v>
      </c>
    </row>
    <row r="37">
      <c r="A37" s="58"/>
      <c r="B37" s="46"/>
      <c r="C37" s="79" t="s">
        <v>65</v>
      </c>
      <c r="D37" s="17"/>
      <c r="E37" s="17"/>
      <c r="F37" s="17"/>
      <c r="G37" s="17"/>
      <c r="H37" s="18"/>
      <c r="I37" s="18"/>
    </row>
    <row r="38">
      <c r="A38" s="58"/>
      <c r="B38" s="48" t="s">
        <v>66</v>
      </c>
      <c r="C38" s="77" t="s">
        <v>67</v>
      </c>
      <c r="D38" s="61"/>
      <c r="E38" s="61"/>
      <c r="F38" s="61"/>
      <c r="G38" s="61"/>
      <c r="H38" s="74"/>
      <c r="I38" s="78">
        <f>ROUND(I21/12,2)</f>
        <v>131.54</v>
      </c>
    </row>
    <row r="39">
      <c r="A39" s="58"/>
      <c r="B39" s="46"/>
      <c r="C39" s="79" t="s">
        <v>65</v>
      </c>
      <c r="D39" s="17"/>
      <c r="E39" s="17"/>
      <c r="F39" s="17"/>
      <c r="G39" s="17"/>
      <c r="H39" s="18"/>
      <c r="I39" s="18"/>
    </row>
    <row r="40">
      <c r="A40" s="58"/>
      <c r="B40" s="48" t="s">
        <v>68</v>
      </c>
      <c r="C40" s="77" t="s">
        <v>69</v>
      </c>
      <c r="D40" s="61"/>
      <c r="E40" s="61"/>
      <c r="F40" s="61"/>
      <c r="G40" s="61"/>
      <c r="H40" s="74"/>
      <c r="I40" s="78">
        <f>ROUND(I21/3/12,2)</f>
        <v>43.85</v>
      </c>
    </row>
    <row r="41">
      <c r="A41" s="58"/>
      <c r="B41" s="46"/>
      <c r="C41" s="79" t="s">
        <v>70</v>
      </c>
      <c r="D41" s="17"/>
      <c r="E41" s="17"/>
      <c r="F41" s="17"/>
      <c r="G41" s="17"/>
      <c r="H41" s="18"/>
      <c r="I41" s="18"/>
    </row>
    <row r="42">
      <c r="A42" s="58"/>
      <c r="B42" s="53" t="s">
        <v>45</v>
      </c>
      <c r="I42" s="54">
        <f>SUM(I36:I41)</f>
        <v>306.93</v>
      </c>
    </row>
    <row r="43">
      <c r="A43" s="28"/>
      <c r="B43" s="28"/>
      <c r="C43" s="28"/>
      <c r="D43" s="28"/>
      <c r="E43" s="28"/>
      <c r="F43" s="28"/>
      <c r="G43" s="28"/>
      <c r="H43" s="28"/>
      <c r="I43" s="28"/>
    </row>
    <row r="44">
      <c r="A44" s="55"/>
      <c r="B44" s="28" t="s">
        <v>71</v>
      </c>
    </row>
    <row r="45">
      <c r="A45" s="80"/>
      <c r="B45" s="81" t="s">
        <v>72</v>
      </c>
      <c r="C45" s="20" t="s">
        <v>73</v>
      </c>
      <c r="D45" s="21"/>
      <c r="E45" s="21"/>
      <c r="F45" s="21"/>
      <c r="G45" s="22"/>
      <c r="H45" s="82">
        <v>0.2</v>
      </c>
      <c r="I45" s="83">
        <f t="shared" ref="I45:I52" si="1">ROUND((I$21+I$42)*$H45,2)</f>
        <v>377.07</v>
      </c>
    </row>
    <row r="46">
      <c r="A46" s="80"/>
      <c r="B46" s="81" t="s">
        <v>74</v>
      </c>
      <c r="C46" s="20" t="s">
        <v>75</v>
      </c>
      <c r="D46" s="21"/>
      <c r="E46" s="21"/>
      <c r="F46" s="21"/>
      <c r="G46" s="22"/>
      <c r="H46" s="82">
        <v>0.015</v>
      </c>
      <c r="I46" s="83">
        <f t="shared" si="1"/>
        <v>28.28</v>
      </c>
    </row>
    <row r="47">
      <c r="A47" s="80"/>
      <c r="B47" s="81" t="s">
        <v>76</v>
      </c>
      <c r="C47" s="20" t="s">
        <v>77</v>
      </c>
      <c r="D47" s="21"/>
      <c r="E47" s="21"/>
      <c r="F47" s="21"/>
      <c r="G47" s="22"/>
      <c r="H47" s="82">
        <v>0.01</v>
      </c>
      <c r="I47" s="83">
        <f t="shared" si="1"/>
        <v>18.85</v>
      </c>
    </row>
    <row r="48">
      <c r="A48" s="80"/>
      <c r="B48" s="81" t="s">
        <v>78</v>
      </c>
      <c r="C48" s="20" t="s">
        <v>79</v>
      </c>
      <c r="D48" s="21"/>
      <c r="E48" s="21"/>
      <c r="F48" s="21"/>
      <c r="G48" s="22"/>
      <c r="H48" s="82">
        <v>0.002</v>
      </c>
      <c r="I48" s="83">
        <f t="shared" si="1"/>
        <v>3.77</v>
      </c>
    </row>
    <row r="49">
      <c r="A49" s="80"/>
      <c r="B49" s="81" t="s">
        <v>80</v>
      </c>
      <c r="C49" s="20" t="s">
        <v>81</v>
      </c>
      <c r="D49" s="21"/>
      <c r="E49" s="21"/>
      <c r="F49" s="21"/>
      <c r="G49" s="22"/>
      <c r="H49" s="82">
        <v>0.025</v>
      </c>
      <c r="I49" s="83">
        <f t="shared" si="1"/>
        <v>47.13</v>
      </c>
    </row>
    <row r="50">
      <c r="A50" s="80"/>
      <c r="B50" s="84" t="s">
        <v>82</v>
      </c>
      <c r="C50" s="20" t="s">
        <v>83</v>
      </c>
      <c r="D50" s="21"/>
      <c r="E50" s="21"/>
      <c r="F50" s="21"/>
      <c r="G50" s="22"/>
      <c r="H50" s="82">
        <v>0.006</v>
      </c>
      <c r="I50" s="83">
        <f t="shared" si="1"/>
        <v>11.31</v>
      </c>
    </row>
    <row r="51">
      <c r="A51" s="80"/>
      <c r="B51" s="84" t="s">
        <v>84</v>
      </c>
      <c r="C51" s="20" t="s">
        <v>85</v>
      </c>
      <c r="D51" s="21"/>
      <c r="E51" s="21"/>
      <c r="F51" s="21"/>
      <c r="G51" s="22"/>
      <c r="H51" s="82">
        <v>0.08</v>
      </c>
      <c r="I51" s="83">
        <f t="shared" si="1"/>
        <v>150.83</v>
      </c>
    </row>
    <row r="52">
      <c r="A52" s="80"/>
      <c r="B52" s="81" t="s">
        <v>86</v>
      </c>
      <c r="C52" s="85" t="s">
        <v>197</v>
      </c>
      <c r="D52" s="21"/>
      <c r="E52" s="21"/>
      <c r="F52" s="21"/>
      <c r="G52" s="22"/>
      <c r="H52" s="86">
        <v>0.03</v>
      </c>
      <c r="I52" s="83">
        <f t="shared" si="1"/>
        <v>56.56</v>
      </c>
    </row>
    <row r="53">
      <c r="A53" s="80"/>
      <c r="B53" s="87" t="s">
        <v>88</v>
      </c>
      <c r="G53" s="88" t="s">
        <v>45</v>
      </c>
      <c r="H53" s="89">
        <f t="shared" ref="H53:I53" si="2">SUM(H45:H52)</f>
        <v>0.368</v>
      </c>
      <c r="I53" s="54">
        <f t="shared" si="2"/>
        <v>693.8</v>
      </c>
    </row>
    <row r="54">
      <c r="A54" s="90"/>
      <c r="B54" s="91"/>
      <c r="C54" s="91"/>
      <c r="D54" s="91"/>
      <c r="E54" s="91"/>
      <c r="F54" s="91"/>
      <c r="G54" s="91"/>
      <c r="H54" s="91"/>
      <c r="I54" s="92"/>
    </row>
    <row r="55">
      <c r="A55" s="15"/>
      <c r="B55" s="93"/>
      <c r="C55" s="53"/>
      <c r="D55" s="53"/>
      <c r="E55" s="53"/>
      <c r="F55" s="53"/>
      <c r="G55" s="94" t="s">
        <v>89</v>
      </c>
      <c r="I55" s="54">
        <f>I33+I42+I53</f>
        <v>1534.12</v>
      </c>
    </row>
    <row r="56" ht="15.75" customHeight="1">
      <c r="A56" s="28"/>
      <c r="B56" s="28"/>
      <c r="C56" s="28"/>
      <c r="D56" s="28"/>
      <c r="E56" s="28"/>
      <c r="F56" s="28"/>
      <c r="G56" s="28"/>
      <c r="H56" s="28"/>
      <c r="I56" s="28"/>
    </row>
    <row r="57">
      <c r="A57" s="39" t="s">
        <v>90</v>
      </c>
      <c r="B57" s="40"/>
      <c r="C57" s="40"/>
      <c r="D57" s="40"/>
      <c r="E57" s="40"/>
      <c r="F57" s="40"/>
      <c r="G57" s="40"/>
      <c r="H57" s="40"/>
      <c r="I57" s="40"/>
    </row>
    <row r="58">
      <c r="A58" s="58"/>
      <c r="B58" s="95">
        <v>43833.0</v>
      </c>
      <c r="C58" s="96" t="s">
        <v>91</v>
      </c>
      <c r="D58" s="97" t="s">
        <v>92</v>
      </c>
      <c r="E58" s="96" t="s">
        <v>93</v>
      </c>
      <c r="F58" s="98" t="s">
        <v>91</v>
      </c>
      <c r="G58" s="99"/>
      <c r="H58" s="100"/>
      <c r="I58" s="101">
        <f>round(((I$21/30*30*$D$64)+(I$21/30*(30+3)*(1-$D$64)))/12*$D$64*$E$61,2)</f>
        <v>13.81</v>
      </c>
    </row>
    <row r="59">
      <c r="A59" s="58"/>
      <c r="B59" s="102"/>
      <c r="C59" s="103"/>
      <c r="D59" s="33"/>
      <c r="E59" s="103"/>
      <c r="F59" s="104" t="s">
        <v>94</v>
      </c>
      <c r="G59" s="57"/>
      <c r="H59" s="105"/>
      <c r="I59" s="105"/>
    </row>
    <row r="60">
      <c r="A60" s="58"/>
      <c r="B60" s="102"/>
      <c r="C60" s="103"/>
      <c r="D60" s="33"/>
      <c r="E60" s="103"/>
      <c r="F60" s="106" t="s">
        <v>95</v>
      </c>
      <c r="H60" s="107"/>
      <c r="I60" s="108">
        <f>ROUND(I58*0.08,2)</f>
        <v>1.1</v>
      </c>
    </row>
    <row r="61">
      <c r="A61" s="58"/>
      <c r="B61" s="102"/>
      <c r="C61" s="103"/>
      <c r="D61" s="33"/>
      <c r="E61" s="109">
        <v>0.2</v>
      </c>
      <c r="F61" s="110" t="s">
        <v>96</v>
      </c>
      <c r="H61" s="107"/>
      <c r="I61" s="105"/>
    </row>
    <row r="62">
      <c r="A62" s="15"/>
      <c r="B62" s="102"/>
      <c r="C62" s="103"/>
      <c r="D62" s="33"/>
      <c r="E62" s="103"/>
      <c r="F62" s="111" t="s">
        <v>97</v>
      </c>
      <c r="G62" s="99"/>
      <c r="H62" s="100"/>
      <c r="I62" s="112">
        <f>ROUND(I$21*0.08*0.4*$D$64*$E$61,2)</f>
        <v>5.05</v>
      </c>
    </row>
    <row r="63">
      <c r="A63" s="15"/>
      <c r="B63" s="113"/>
      <c r="C63" s="114"/>
      <c r="D63" s="33"/>
      <c r="E63" s="114"/>
      <c r="F63" s="115" t="s">
        <v>98</v>
      </c>
      <c r="H63" s="107"/>
      <c r="I63" s="113"/>
    </row>
    <row r="64">
      <c r="A64" s="58"/>
      <c r="B64" s="95">
        <v>43864.0</v>
      </c>
      <c r="C64" s="96" t="s">
        <v>99</v>
      </c>
      <c r="D64" s="116">
        <v>0.5</v>
      </c>
      <c r="E64" s="96" t="s">
        <v>93</v>
      </c>
      <c r="F64" s="73" t="s">
        <v>100</v>
      </c>
      <c r="G64" s="61"/>
      <c r="H64" s="74"/>
      <c r="I64" s="101">
        <f>ROUND(((I$21/30*7*$D$64)+(I$21/30*(7+3)*(1-$D$64)))/12*$D$64*$E$67,2)</f>
        <v>14.91</v>
      </c>
    </row>
    <row r="65">
      <c r="A65" s="58"/>
      <c r="B65" s="102"/>
      <c r="C65" s="103"/>
      <c r="D65" s="33"/>
      <c r="E65" s="103"/>
      <c r="F65" s="117" t="s">
        <v>101</v>
      </c>
      <c r="G65" s="17"/>
      <c r="H65" s="18"/>
      <c r="I65" s="105"/>
    </row>
    <row r="66">
      <c r="A66" s="58"/>
      <c r="B66" s="102"/>
      <c r="C66" s="103"/>
      <c r="D66" s="33"/>
      <c r="E66" s="103"/>
      <c r="F66" s="106" t="s">
        <v>102</v>
      </c>
      <c r="H66" s="107"/>
      <c r="I66" s="118">
        <f>ROUND($H$53*I64,2)</f>
        <v>5.49</v>
      </c>
    </row>
    <row r="67">
      <c r="A67" s="58"/>
      <c r="B67" s="102"/>
      <c r="C67" s="103"/>
      <c r="D67" s="33"/>
      <c r="E67" s="109">
        <v>0.8</v>
      </c>
      <c r="F67" s="77" t="s">
        <v>97</v>
      </c>
      <c r="G67" s="61"/>
      <c r="H67" s="74"/>
      <c r="I67" s="101">
        <f>ROUND(I$21*0.08*0.4*$D$64*$E$67,2)</f>
        <v>20.2</v>
      </c>
    </row>
    <row r="68">
      <c r="A68" s="58"/>
      <c r="B68" s="113"/>
      <c r="C68" s="114"/>
      <c r="D68" s="35"/>
      <c r="E68" s="114"/>
      <c r="F68" s="119" t="s">
        <v>98</v>
      </c>
      <c r="G68" s="17"/>
      <c r="H68" s="18"/>
      <c r="I68" s="105"/>
    </row>
    <row r="69">
      <c r="A69" s="15"/>
      <c r="B69" s="53" t="s">
        <v>45</v>
      </c>
      <c r="H69" s="44"/>
      <c r="I69" s="54">
        <f>SUM(I58:I68)</f>
        <v>60.56</v>
      </c>
    </row>
    <row r="70">
      <c r="A70" s="37"/>
      <c r="B70" s="37"/>
    </row>
    <row r="71">
      <c r="A71" s="39" t="s">
        <v>103</v>
      </c>
      <c r="B71" s="40"/>
      <c r="C71" s="40"/>
      <c r="D71" s="40"/>
      <c r="E71" s="40"/>
      <c r="F71" s="40"/>
      <c r="G71" s="40"/>
      <c r="H71" s="40"/>
      <c r="I71" s="40"/>
    </row>
    <row r="72">
      <c r="A72" s="120"/>
      <c r="B72" s="120"/>
      <c r="C72" s="121" t="s">
        <v>104</v>
      </c>
      <c r="D72" s="99"/>
      <c r="E72" s="99"/>
      <c r="F72" s="99"/>
      <c r="G72" s="99"/>
      <c r="H72" s="100"/>
      <c r="I72" s="122">
        <f>(I21+I55+I69)/(I14/12)</f>
        <v>151.7685041</v>
      </c>
    </row>
    <row r="73">
      <c r="A73" s="120"/>
      <c r="B73" s="120"/>
      <c r="C73" s="123" t="s">
        <v>105</v>
      </c>
      <c r="D73" s="57"/>
      <c r="E73" s="57"/>
      <c r="F73" s="57"/>
      <c r="G73" s="57"/>
      <c r="H73" s="105"/>
      <c r="I73" s="113"/>
    </row>
    <row r="74">
      <c r="A74" s="120"/>
      <c r="B74" s="120"/>
      <c r="C74" s="124" t="s">
        <v>106</v>
      </c>
      <c r="D74" s="125"/>
      <c r="E74" s="126" t="s">
        <v>107</v>
      </c>
      <c r="F74" s="127" t="s">
        <v>108</v>
      </c>
      <c r="G74" s="126" t="s">
        <v>109</v>
      </c>
      <c r="H74" s="126" t="s">
        <v>198</v>
      </c>
      <c r="I74" s="128" t="s">
        <v>199</v>
      </c>
    </row>
    <row r="75">
      <c r="A75" s="58"/>
      <c r="B75" s="120"/>
      <c r="C75" s="129" t="s">
        <v>67</v>
      </c>
      <c r="D75" s="125"/>
      <c r="E75" s="130">
        <v>1.0</v>
      </c>
      <c r="F75" s="131">
        <v>30.0</v>
      </c>
      <c r="G75" s="132">
        <f t="shared" ref="G75:G77" si="3">I$14/365.25</f>
        <v>0.686899384</v>
      </c>
      <c r="H75" s="133">
        <f t="shared" ref="H75:H86" si="4">ROUNDUP(E75*F75*G75/12,2)</f>
        <v>1.72</v>
      </c>
      <c r="I75" s="134">
        <f t="shared" ref="I75:I86" si="5">ROUND($H75*I$72,2)</f>
        <v>261.04</v>
      </c>
    </row>
    <row r="76">
      <c r="A76" s="58"/>
      <c r="B76" s="120"/>
      <c r="C76" s="129" t="s">
        <v>112</v>
      </c>
      <c r="D76" s="125"/>
      <c r="E76" s="135">
        <v>0.0625</v>
      </c>
      <c r="F76" s="131">
        <v>15.0</v>
      </c>
      <c r="G76" s="132">
        <f t="shared" si="3"/>
        <v>0.686899384</v>
      </c>
      <c r="H76" s="133">
        <f t="shared" si="4"/>
        <v>0.06</v>
      </c>
      <c r="I76" s="134">
        <f t="shared" si="5"/>
        <v>9.11</v>
      </c>
    </row>
    <row r="77">
      <c r="A77" s="58"/>
      <c r="B77" s="120"/>
      <c r="C77" s="129" t="s">
        <v>113</v>
      </c>
      <c r="D77" s="125"/>
      <c r="E77" s="135">
        <v>1.0</v>
      </c>
      <c r="F77" s="131">
        <v>5.0</v>
      </c>
      <c r="G77" s="132">
        <f t="shared" si="3"/>
        <v>0.686899384</v>
      </c>
      <c r="H77" s="133">
        <f t="shared" si="4"/>
        <v>0.29</v>
      </c>
      <c r="I77" s="134">
        <f t="shared" si="5"/>
        <v>44.01</v>
      </c>
    </row>
    <row r="78">
      <c r="A78" s="58"/>
      <c r="B78" s="120"/>
      <c r="C78" s="129" t="s">
        <v>114</v>
      </c>
      <c r="D78" s="125"/>
      <c r="E78" s="135">
        <v>0.25</v>
      </c>
      <c r="F78" s="131">
        <v>1.0</v>
      </c>
      <c r="G78" s="132">
        <v>1.0</v>
      </c>
      <c r="H78" s="133">
        <f t="shared" si="4"/>
        <v>0.03</v>
      </c>
      <c r="I78" s="134">
        <f t="shared" si="5"/>
        <v>4.55</v>
      </c>
    </row>
    <row r="79">
      <c r="A79" s="58"/>
      <c r="B79" s="120"/>
      <c r="C79" s="129" t="s">
        <v>115</v>
      </c>
      <c r="D79" s="125"/>
      <c r="E79" s="135">
        <v>0.25</v>
      </c>
      <c r="F79" s="131">
        <v>2.0</v>
      </c>
      <c r="G79" s="132">
        <f>I$14/365.25</f>
        <v>0.686899384</v>
      </c>
      <c r="H79" s="133">
        <f t="shared" si="4"/>
        <v>0.03</v>
      </c>
      <c r="I79" s="134">
        <f t="shared" si="5"/>
        <v>4.55</v>
      </c>
    </row>
    <row r="80">
      <c r="A80" s="58"/>
      <c r="B80" s="120"/>
      <c r="C80" s="129" t="s">
        <v>116</v>
      </c>
      <c r="D80" s="125"/>
      <c r="E80" s="135">
        <v>0.125</v>
      </c>
      <c r="F80" s="131">
        <v>3.0</v>
      </c>
      <c r="G80" s="132">
        <v>1.0</v>
      </c>
      <c r="H80" s="133">
        <f t="shared" si="4"/>
        <v>0.04</v>
      </c>
      <c r="I80" s="134">
        <f t="shared" si="5"/>
        <v>6.07</v>
      </c>
    </row>
    <row r="81">
      <c r="A81" s="58"/>
      <c r="B81" s="120"/>
      <c r="C81" s="129" t="s">
        <v>117</v>
      </c>
      <c r="D81" s="125"/>
      <c r="E81" s="135">
        <v>0.25</v>
      </c>
      <c r="F81" s="131">
        <v>1.0</v>
      </c>
      <c r="G81" s="132">
        <v>1.0</v>
      </c>
      <c r="H81" s="133">
        <f t="shared" si="4"/>
        <v>0.03</v>
      </c>
      <c r="I81" s="134">
        <f t="shared" si="5"/>
        <v>4.55</v>
      </c>
    </row>
    <row r="82">
      <c r="A82" s="58"/>
      <c r="B82" s="120"/>
      <c r="C82" s="129" t="s">
        <v>118</v>
      </c>
      <c r="D82" s="125"/>
      <c r="E82" s="135">
        <v>0.0625</v>
      </c>
      <c r="F82" s="131">
        <v>1.0</v>
      </c>
      <c r="G82" s="132">
        <v>1.0</v>
      </c>
      <c r="H82" s="133">
        <f t="shared" si="4"/>
        <v>0.01</v>
      </c>
      <c r="I82" s="134">
        <f t="shared" si="5"/>
        <v>1.52</v>
      </c>
    </row>
    <row r="83">
      <c r="A83" s="58"/>
      <c r="B83" s="120"/>
      <c r="C83" s="129" t="s">
        <v>119</v>
      </c>
      <c r="D83" s="125"/>
      <c r="E83" s="135">
        <v>0.0625</v>
      </c>
      <c r="F83" s="136">
        <v>20.0</v>
      </c>
      <c r="G83" s="132">
        <f t="shared" ref="G83:G84" si="6">I$14/365.25</f>
        <v>0.686899384</v>
      </c>
      <c r="H83" s="133">
        <f t="shared" si="4"/>
        <v>0.08</v>
      </c>
      <c r="I83" s="134">
        <f t="shared" si="5"/>
        <v>12.14</v>
      </c>
    </row>
    <row r="84">
      <c r="A84" s="58"/>
      <c r="B84" s="120"/>
      <c r="C84" s="129" t="s">
        <v>120</v>
      </c>
      <c r="D84" s="125"/>
      <c r="E84" s="135">
        <v>0.0625</v>
      </c>
      <c r="F84" s="131">
        <v>180.0</v>
      </c>
      <c r="G84" s="132">
        <f t="shared" si="6"/>
        <v>0.686899384</v>
      </c>
      <c r="H84" s="133">
        <f t="shared" si="4"/>
        <v>0.65</v>
      </c>
      <c r="I84" s="134">
        <f t="shared" si="5"/>
        <v>98.65</v>
      </c>
    </row>
    <row r="85">
      <c r="A85" s="58"/>
      <c r="B85" s="120"/>
      <c r="C85" s="129" t="s">
        <v>121</v>
      </c>
      <c r="D85" s="125"/>
      <c r="E85" s="135">
        <v>0.0625</v>
      </c>
      <c r="F85" s="131">
        <v>6.0</v>
      </c>
      <c r="G85" s="132">
        <v>1.0</v>
      </c>
      <c r="H85" s="133">
        <f t="shared" si="4"/>
        <v>0.04</v>
      </c>
      <c r="I85" s="134">
        <f t="shared" si="5"/>
        <v>6.07</v>
      </c>
    </row>
    <row r="86">
      <c r="A86" s="58"/>
      <c r="B86" s="120"/>
      <c r="C86" s="129" t="s">
        <v>122</v>
      </c>
      <c r="D86" s="125"/>
      <c r="E86" s="137">
        <v>0.5</v>
      </c>
      <c r="F86" s="131">
        <v>1.0</v>
      </c>
      <c r="G86" s="132">
        <v>1.0</v>
      </c>
      <c r="H86" s="133">
        <f t="shared" si="4"/>
        <v>0.05</v>
      </c>
      <c r="I86" s="134">
        <f t="shared" si="5"/>
        <v>7.59</v>
      </c>
    </row>
    <row r="87">
      <c r="A87" s="15"/>
      <c r="B87" s="15"/>
      <c r="C87" s="138"/>
      <c r="D87" s="138"/>
      <c r="E87" s="138"/>
      <c r="F87" s="138"/>
      <c r="G87" s="138"/>
      <c r="H87" s="139" t="s">
        <v>45</v>
      </c>
      <c r="I87" s="54">
        <f>SUM(I75:I86)</f>
        <v>459.85</v>
      </c>
    </row>
    <row r="88">
      <c r="A88" s="37"/>
      <c r="B88" s="140"/>
      <c r="C88" s="140"/>
      <c r="D88" s="140"/>
      <c r="E88" s="140"/>
      <c r="F88" s="140"/>
      <c r="G88" s="140"/>
      <c r="H88" s="140"/>
      <c r="I88" s="140"/>
    </row>
    <row r="89">
      <c r="A89" s="39" t="s">
        <v>123</v>
      </c>
      <c r="B89" s="40"/>
      <c r="C89" s="40"/>
      <c r="D89" s="40"/>
      <c r="E89" s="40"/>
      <c r="F89" s="40"/>
      <c r="G89" s="40"/>
      <c r="H89" s="40"/>
      <c r="I89" s="40"/>
    </row>
    <row r="90">
      <c r="A90" s="141"/>
      <c r="B90" s="141"/>
      <c r="C90" s="141"/>
      <c r="D90" s="141"/>
      <c r="E90" s="85" t="s">
        <v>124</v>
      </c>
      <c r="F90" s="21"/>
      <c r="G90" s="21"/>
      <c r="H90" s="22"/>
      <c r="I90" s="134">
        <f>Insumos_Limpeza!H18/I11</f>
        <v>152.6840625</v>
      </c>
    </row>
    <row r="91">
      <c r="A91" s="141"/>
      <c r="B91" s="141"/>
      <c r="C91" s="141"/>
      <c r="D91" s="141"/>
      <c r="E91" s="20" t="s">
        <v>125</v>
      </c>
      <c r="F91" s="21"/>
      <c r="G91" s="21"/>
      <c r="H91" s="22"/>
      <c r="I91" s="134">
        <f>Insumos_Limpeza!H39/I11</f>
        <v>98.78754861</v>
      </c>
    </row>
    <row r="92">
      <c r="A92" s="141"/>
      <c r="B92" s="141"/>
      <c r="C92" s="141"/>
      <c r="D92" s="141"/>
      <c r="E92" s="20" t="s">
        <v>126</v>
      </c>
      <c r="F92" s="21"/>
      <c r="G92" s="21"/>
      <c r="H92" s="22"/>
      <c r="I92" s="134">
        <f>Insumos_Limpeza!H56/I11</f>
        <v>133.9225</v>
      </c>
    </row>
    <row r="93">
      <c r="A93" s="15"/>
      <c r="B93" s="15"/>
      <c r="H93" s="143" t="s">
        <v>45</v>
      </c>
      <c r="I93" s="54">
        <f>sum(I90:I92)</f>
        <v>385.3941111</v>
      </c>
    </row>
    <row r="94">
      <c r="A94" s="144"/>
      <c r="B94" s="144"/>
      <c r="C94" s="144"/>
      <c r="D94" s="144"/>
      <c r="E94" s="144"/>
      <c r="F94" s="144"/>
      <c r="G94" s="144"/>
      <c r="H94" s="144"/>
      <c r="I94" s="144"/>
    </row>
    <row r="95">
      <c r="A95" s="39" t="s">
        <v>127</v>
      </c>
      <c r="B95" s="40"/>
      <c r="C95" s="40"/>
      <c r="D95" s="40"/>
      <c r="E95" s="40"/>
      <c r="F95" s="40"/>
      <c r="G95" s="40"/>
      <c r="H95" s="40"/>
      <c r="I95" s="40"/>
    </row>
    <row r="96">
      <c r="A96" s="58"/>
      <c r="B96" s="145">
        <v>43836.0</v>
      </c>
      <c r="C96" s="146" t="s">
        <v>128</v>
      </c>
      <c r="D96" s="61"/>
      <c r="E96" s="61"/>
      <c r="F96" s="61"/>
      <c r="G96" s="147" t="s">
        <v>129</v>
      </c>
      <c r="H96" s="61"/>
      <c r="I96" s="148">
        <f>SUM(I21+I55+I69+I87+I93)</f>
        <v>4018.344111</v>
      </c>
    </row>
    <row r="97">
      <c r="A97" s="58"/>
      <c r="B97" s="103"/>
      <c r="C97" s="149" t="s">
        <v>130</v>
      </c>
      <c r="G97" s="70" t="s">
        <v>131</v>
      </c>
      <c r="I97" s="150">
        <v>0.15</v>
      </c>
    </row>
    <row r="98">
      <c r="A98" s="58"/>
      <c r="B98" s="114"/>
      <c r="C98" s="151"/>
      <c r="D98" s="17"/>
      <c r="E98" s="17"/>
      <c r="F98" s="17"/>
      <c r="G98" s="70" t="s">
        <v>132</v>
      </c>
      <c r="I98" s="152">
        <f>ROUND(I97*I96,2)</f>
        <v>602.75</v>
      </c>
    </row>
    <row r="99">
      <c r="A99" s="58"/>
      <c r="B99" s="145">
        <v>43867.0</v>
      </c>
      <c r="C99" s="146" t="s">
        <v>133</v>
      </c>
      <c r="D99" s="61"/>
      <c r="E99" s="61"/>
      <c r="F99" s="61"/>
      <c r="G99" s="147" t="s">
        <v>129</v>
      </c>
      <c r="H99" s="61"/>
      <c r="I99" s="148">
        <f>SUM(I21+I55+I69+I87+I93+I98)</f>
        <v>4621.094111</v>
      </c>
    </row>
    <row r="100">
      <c r="A100" s="58"/>
      <c r="B100" s="103"/>
      <c r="C100" s="149" t="s">
        <v>134</v>
      </c>
      <c r="G100" s="70" t="s">
        <v>131</v>
      </c>
      <c r="I100" s="150">
        <v>0.15</v>
      </c>
    </row>
    <row r="101">
      <c r="A101" s="58"/>
      <c r="B101" s="114"/>
      <c r="C101" s="151"/>
      <c r="D101" s="17"/>
      <c r="E101" s="17"/>
      <c r="F101" s="17"/>
      <c r="G101" s="70" t="s">
        <v>132</v>
      </c>
      <c r="I101" s="148">
        <f>ROUND(I100*I99,2)</f>
        <v>693.16</v>
      </c>
    </row>
    <row r="102">
      <c r="A102" s="58"/>
      <c r="B102" s="145">
        <v>43896.0</v>
      </c>
      <c r="C102" s="146" t="s">
        <v>135</v>
      </c>
      <c r="D102" s="153"/>
      <c r="E102" s="153"/>
      <c r="F102" s="153"/>
      <c r="G102" s="154"/>
      <c r="H102" s="154"/>
      <c r="I102" s="155">
        <f>SUM(I21+I55+I69+I87+I93+I98+I101)</f>
        <v>5314.254111</v>
      </c>
    </row>
    <row r="103">
      <c r="A103" s="58"/>
      <c r="B103" s="103"/>
      <c r="C103" s="156" t="s">
        <v>136</v>
      </c>
      <c r="H103" s="157">
        <f t="shared" ref="H103:I103" si="7">SUM(H104:H106)</f>
        <v>0.1225</v>
      </c>
      <c r="I103" s="158">
        <f t="shared" si="7"/>
        <v>741.88</v>
      </c>
    </row>
    <row r="104">
      <c r="A104" s="159"/>
      <c r="B104" s="103"/>
      <c r="C104" s="160"/>
      <c r="D104" s="161" t="s">
        <v>137</v>
      </c>
      <c r="E104" s="74"/>
      <c r="F104" s="162" t="s">
        <v>138</v>
      </c>
      <c r="G104" s="22"/>
      <c r="H104" s="163">
        <v>0.0165</v>
      </c>
      <c r="I104" s="164">
        <f t="shared" ref="I104:I106" si="8">ROUND((I$102/(1-$H$103))*$H104,2)</f>
        <v>99.93</v>
      </c>
    </row>
    <row r="105">
      <c r="A105" s="159"/>
      <c r="B105" s="103"/>
      <c r="C105" s="160"/>
      <c r="D105" s="151"/>
      <c r="E105" s="18"/>
      <c r="F105" s="162" t="s">
        <v>139</v>
      </c>
      <c r="G105" s="22"/>
      <c r="H105" s="163">
        <v>0.076</v>
      </c>
      <c r="I105" s="83">
        <f t="shared" si="8"/>
        <v>460.27</v>
      </c>
    </row>
    <row r="106">
      <c r="A106" s="159"/>
      <c r="B106" s="114"/>
      <c r="C106" s="165"/>
      <c r="D106" s="166" t="s">
        <v>140</v>
      </c>
      <c r="E106" s="166"/>
      <c r="F106" s="162" t="s">
        <v>141</v>
      </c>
      <c r="G106" s="22"/>
      <c r="H106" s="163">
        <v>0.03</v>
      </c>
      <c r="I106" s="83">
        <f t="shared" si="8"/>
        <v>181.68</v>
      </c>
    </row>
    <row r="107">
      <c r="A107" s="15"/>
      <c r="B107" s="88" t="s">
        <v>45</v>
      </c>
      <c r="H107" s="167">
        <f>SUM(I97+I100+H104+H105+H106)</f>
        <v>0.4225</v>
      </c>
      <c r="I107" s="54">
        <f>SUM(I98+I101+I103)</f>
        <v>2037.79</v>
      </c>
    </row>
    <row r="108">
      <c r="A108" s="37"/>
      <c r="B108" s="37"/>
      <c r="C108" s="37"/>
      <c r="D108" s="37"/>
      <c r="E108" s="37"/>
      <c r="F108" s="38"/>
      <c r="G108" s="38"/>
      <c r="H108" s="38"/>
      <c r="I108" s="38"/>
    </row>
    <row r="109">
      <c r="A109" s="168" t="s">
        <v>142</v>
      </c>
      <c r="B109" s="13"/>
      <c r="C109" s="13"/>
      <c r="D109" s="13"/>
      <c r="E109" s="13"/>
      <c r="F109" s="13"/>
      <c r="G109" s="13"/>
      <c r="H109" s="13"/>
      <c r="I109" s="169"/>
    </row>
    <row r="110">
      <c r="A110" s="170"/>
      <c r="B110" s="170"/>
      <c r="C110" s="16" t="str">
        <f>A16</f>
        <v>MÓDULO 1 - COMPOSIÇÃO DA REMUNERAÇÃO</v>
      </c>
      <c r="D110" s="17"/>
      <c r="E110" s="17"/>
      <c r="F110" s="17"/>
      <c r="G110" s="17"/>
      <c r="H110" s="18"/>
      <c r="I110" s="164">
        <f>I21</f>
        <v>1578.42</v>
      </c>
    </row>
    <row r="111">
      <c r="A111" s="170"/>
      <c r="B111" s="170"/>
      <c r="C111" s="20" t="str">
        <f>A23</f>
        <v>MÓDULO 2 - BENEFÍCIOS E ENCARGOS</v>
      </c>
      <c r="D111" s="21"/>
      <c r="E111" s="21"/>
      <c r="F111" s="21"/>
      <c r="G111" s="21"/>
      <c r="H111" s="22"/>
      <c r="I111" s="83">
        <f>I55</f>
        <v>1534.12</v>
      </c>
    </row>
    <row r="112">
      <c r="A112" s="170"/>
      <c r="B112" s="170"/>
      <c r="C112" s="20" t="str">
        <f>A57</f>
        <v>MÓDULO 3 - PROVISÃO PARA RESCISÃO</v>
      </c>
      <c r="D112" s="21"/>
      <c r="E112" s="21"/>
      <c r="F112" s="21"/>
      <c r="G112" s="21"/>
      <c r="H112" s="22"/>
      <c r="I112" s="83">
        <f>I69</f>
        <v>60.56</v>
      </c>
    </row>
    <row r="113">
      <c r="A113" s="170"/>
      <c r="B113" s="170"/>
      <c r="C113" s="20" t="str">
        <f>A71</f>
        <v>MÓDULO 4 - CUSTO DE REPOSIÇÃO DO PROFISSIONAL AUSENTE</v>
      </c>
      <c r="D113" s="21"/>
      <c r="E113" s="21"/>
      <c r="F113" s="21"/>
      <c r="G113" s="21"/>
      <c r="H113" s="22"/>
      <c r="I113" s="83">
        <f>I87</f>
        <v>459.85</v>
      </c>
    </row>
    <row r="114">
      <c r="A114" s="170"/>
      <c r="B114" s="170"/>
      <c r="C114" s="20" t="str">
        <f>A89</f>
        <v>MÓDULO 5 - INSUMOS</v>
      </c>
      <c r="D114" s="21"/>
      <c r="E114" s="21"/>
      <c r="F114" s="21"/>
      <c r="G114" s="21"/>
      <c r="H114" s="22"/>
      <c r="I114" s="83">
        <f>I93</f>
        <v>385.3941111</v>
      </c>
    </row>
    <row r="115">
      <c r="A115" s="170"/>
      <c r="B115" s="170"/>
      <c r="C115" s="20" t="str">
        <f>A95</f>
        <v>MÓDULO 6 - CUSTOS INDIRETOS, LUCRO E TRIBUTOS</v>
      </c>
      <c r="D115" s="21"/>
      <c r="E115" s="21"/>
      <c r="F115" s="21"/>
      <c r="G115" s="21"/>
      <c r="H115" s="22"/>
      <c r="I115" s="83">
        <f>I107</f>
        <v>2037.79</v>
      </c>
    </row>
    <row r="116">
      <c r="A116" s="170"/>
      <c r="B116" s="171"/>
      <c r="C116" s="172" t="s">
        <v>143</v>
      </c>
      <c r="D116" s="61"/>
      <c r="E116" s="61"/>
      <c r="F116" s="61"/>
      <c r="G116" s="61"/>
      <c r="H116" s="74"/>
      <c r="I116" s="54">
        <f>SUM(I110:I115)</f>
        <v>6056.134111</v>
      </c>
    </row>
    <row r="117">
      <c r="A117" s="173"/>
      <c r="B117" s="173"/>
      <c r="C117" s="174" t="s">
        <v>144</v>
      </c>
      <c r="H117" s="44"/>
      <c r="I117" s="175">
        <f>I11</f>
        <v>8</v>
      </c>
    </row>
    <row r="118">
      <c r="A118" s="176"/>
      <c r="B118" s="176"/>
      <c r="C118" s="176"/>
      <c r="D118" s="176"/>
      <c r="E118" s="176"/>
      <c r="F118" s="176"/>
      <c r="G118" s="176"/>
      <c r="H118" s="176"/>
      <c r="I118" s="176"/>
    </row>
    <row r="119">
      <c r="A119" s="177" t="s">
        <v>145</v>
      </c>
      <c r="B119" s="13"/>
      <c r="C119" s="13"/>
      <c r="D119" s="13"/>
      <c r="E119" s="13"/>
      <c r="F119" s="13"/>
      <c r="G119" s="13"/>
      <c r="H119" s="13"/>
      <c r="I119" s="14"/>
    </row>
    <row r="120" ht="30.75" customHeight="1">
      <c r="A120" s="15"/>
      <c r="B120" s="15"/>
      <c r="C120" s="15"/>
      <c r="D120" s="15"/>
      <c r="E120" s="15"/>
      <c r="F120" s="15"/>
      <c r="G120" s="15"/>
      <c r="H120" s="178"/>
      <c r="I120" s="179">
        <f>round(I116*I117,2)</f>
        <v>48449.07</v>
      </c>
    </row>
  </sheetData>
  <mergeCells count="147">
    <mergeCell ref="C39:H39"/>
    <mergeCell ref="C40:H40"/>
    <mergeCell ref="B33:H33"/>
    <mergeCell ref="B35:I35"/>
    <mergeCell ref="C36:H36"/>
    <mergeCell ref="I36:I37"/>
    <mergeCell ref="C37:H37"/>
    <mergeCell ref="C38:H38"/>
    <mergeCell ref="I38:I39"/>
    <mergeCell ref="A1:I1"/>
    <mergeCell ref="A2:I2"/>
    <mergeCell ref="A3:H3"/>
    <mergeCell ref="D4:H4"/>
    <mergeCell ref="D5:H5"/>
    <mergeCell ref="D6:H6"/>
    <mergeCell ref="D7:H7"/>
    <mergeCell ref="D8:H8"/>
    <mergeCell ref="D9:H9"/>
    <mergeCell ref="D11:D14"/>
    <mergeCell ref="F11:H11"/>
    <mergeCell ref="F12:H12"/>
    <mergeCell ref="F13:H13"/>
    <mergeCell ref="F14:H14"/>
    <mergeCell ref="C19:H19"/>
    <mergeCell ref="C20:H20"/>
    <mergeCell ref="A16:I16"/>
    <mergeCell ref="B17:B18"/>
    <mergeCell ref="C17:H17"/>
    <mergeCell ref="I17:I18"/>
    <mergeCell ref="C18:H18"/>
    <mergeCell ref="B19:B20"/>
    <mergeCell ref="I19:I20"/>
    <mergeCell ref="B26:B28"/>
    <mergeCell ref="B29:B30"/>
    <mergeCell ref="B31:B32"/>
    <mergeCell ref="B36:B37"/>
    <mergeCell ref="B38:B39"/>
    <mergeCell ref="B40:B41"/>
    <mergeCell ref="B21:H21"/>
    <mergeCell ref="A23:I23"/>
    <mergeCell ref="B25:I25"/>
    <mergeCell ref="C26:D27"/>
    <mergeCell ref="E26:H26"/>
    <mergeCell ref="E27:H27"/>
    <mergeCell ref="C28:F28"/>
    <mergeCell ref="C29:D29"/>
    <mergeCell ref="G29:H29"/>
    <mergeCell ref="C30:F30"/>
    <mergeCell ref="G30:H30"/>
    <mergeCell ref="C31:H31"/>
    <mergeCell ref="I31:I32"/>
    <mergeCell ref="C32:H32"/>
    <mergeCell ref="I40:I41"/>
    <mergeCell ref="C41:H41"/>
    <mergeCell ref="B42:H42"/>
    <mergeCell ref="B44:I44"/>
    <mergeCell ref="C45:G45"/>
    <mergeCell ref="C46:G46"/>
    <mergeCell ref="C47:G47"/>
    <mergeCell ref="C48:G48"/>
    <mergeCell ref="C49:G49"/>
    <mergeCell ref="C50:G50"/>
    <mergeCell ref="C51:G51"/>
    <mergeCell ref="C52:G52"/>
    <mergeCell ref="G55:H55"/>
    <mergeCell ref="A57:I57"/>
    <mergeCell ref="F58:H58"/>
    <mergeCell ref="I58:I59"/>
    <mergeCell ref="F59:H59"/>
    <mergeCell ref="F60:H60"/>
    <mergeCell ref="I60:I61"/>
    <mergeCell ref="F61:H61"/>
    <mergeCell ref="I62:I63"/>
    <mergeCell ref="C64:C68"/>
    <mergeCell ref="D64:D68"/>
    <mergeCell ref="E64:E66"/>
    <mergeCell ref="E67:E68"/>
    <mergeCell ref="B53:F53"/>
    <mergeCell ref="B58:B63"/>
    <mergeCell ref="C58:C63"/>
    <mergeCell ref="D58:D63"/>
    <mergeCell ref="E58:E60"/>
    <mergeCell ref="E61:E63"/>
    <mergeCell ref="B64:B68"/>
    <mergeCell ref="F62:H62"/>
    <mergeCell ref="F63:H63"/>
    <mergeCell ref="F64:H64"/>
    <mergeCell ref="I64:I65"/>
    <mergeCell ref="F65:H65"/>
    <mergeCell ref="F66:H66"/>
    <mergeCell ref="I67:I68"/>
    <mergeCell ref="C100:F101"/>
    <mergeCell ref="C103:G103"/>
    <mergeCell ref="F105:G105"/>
    <mergeCell ref="F106:G106"/>
    <mergeCell ref="C97:F98"/>
    <mergeCell ref="G97:H97"/>
    <mergeCell ref="G98:H98"/>
    <mergeCell ref="B99:B101"/>
    <mergeCell ref="C99:F99"/>
    <mergeCell ref="G99:H99"/>
    <mergeCell ref="B102:B106"/>
    <mergeCell ref="C115:H115"/>
    <mergeCell ref="C116:H116"/>
    <mergeCell ref="C117:H117"/>
    <mergeCell ref="A119:H119"/>
    <mergeCell ref="B107:G107"/>
    <mergeCell ref="A109:H109"/>
    <mergeCell ref="C110:H110"/>
    <mergeCell ref="C111:H111"/>
    <mergeCell ref="C112:H112"/>
    <mergeCell ref="C113:H113"/>
    <mergeCell ref="C114:H114"/>
    <mergeCell ref="F67:H67"/>
    <mergeCell ref="F68:H68"/>
    <mergeCell ref="B69:H69"/>
    <mergeCell ref="B70:I70"/>
    <mergeCell ref="A71:I71"/>
    <mergeCell ref="C72:H72"/>
    <mergeCell ref="I72:I73"/>
    <mergeCell ref="C73:H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96:F96"/>
    <mergeCell ref="G96:H96"/>
    <mergeCell ref="A89:I89"/>
    <mergeCell ref="E90:H90"/>
    <mergeCell ref="E91:H91"/>
    <mergeCell ref="E92:H92"/>
    <mergeCell ref="C93:G93"/>
    <mergeCell ref="A95:I95"/>
    <mergeCell ref="B96:B98"/>
    <mergeCell ref="G100:H100"/>
    <mergeCell ref="G101:H101"/>
    <mergeCell ref="D104:E105"/>
    <mergeCell ref="F104:G104"/>
  </mergeCells>
  <printOptions/>
  <pageMargins bottom="0.75" footer="0.0" header="0.0" left="0.7" right="0.7" top="0.75"/>
  <pageSetup fitToHeight="0"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.38"/>
    <col customWidth="1" min="2" max="2" width="3.63"/>
    <col customWidth="1" min="3" max="3" width="35.88"/>
    <col customWidth="1" min="4" max="4" width="5.88"/>
    <col customWidth="1" min="5" max="6" width="7.63"/>
    <col customWidth="1" min="7" max="7" width="5.88"/>
    <col customWidth="1" min="8" max="8" width="7.88"/>
  </cols>
  <sheetData>
    <row r="1">
      <c r="A1" s="180" t="s">
        <v>146</v>
      </c>
    </row>
    <row r="2">
      <c r="A2" s="207" t="s">
        <v>193</v>
      </c>
    </row>
    <row r="3">
      <c r="A3" s="182"/>
      <c r="B3" s="182"/>
      <c r="C3" s="182"/>
      <c r="D3" s="182"/>
      <c r="E3" s="182"/>
      <c r="F3" s="182"/>
      <c r="G3" s="182"/>
      <c r="H3" s="182"/>
    </row>
    <row r="4">
      <c r="A4" s="203" t="s">
        <v>124</v>
      </c>
      <c r="B4" s="204"/>
      <c r="C4" s="204"/>
      <c r="D4" s="204"/>
      <c r="E4" s="204"/>
      <c r="F4" s="204"/>
      <c r="G4" s="204"/>
      <c r="H4" s="204"/>
    </row>
    <row r="5">
      <c r="A5" s="184"/>
      <c r="B5" s="185" t="s">
        <v>148</v>
      </c>
      <c r="C5" s="185" t="s">
        <v>149</v>
      </c>
      <c r="D5" s="186" t="s">
        <v>150</v>
      </c>
      <c r="E5" s="187" t="s">
        <v>151</v>
      </c>
      <c r="F5" s="188" t="s">
        <v>152</v>
      </c>
      <c r="G5" s="186" t="s">
        <v>153</v>
      </c>
      <c r="H5" s="188" t="s">
        <v>154</v>
      </c>
    </row>
    <row r="6">
      <c r="A6" s="189"/>
      <c r="B6" s="190">
        <v>1.0</v>
      </c>
      <c r="C6" s="191" t="s">
        <v>155</v>
      </c>
      <c r="D6" s="192">
        <v>40.0</v>
      </c>
      <c r="E6" s="193">
        <v>70.4</v>
      </c>
      <c r="F6" s="194">
        <f t="shared" ref="F6:F17" si="1">D6*E6</f>
        <v>2816</v>
      </c>
      <c r="G6" s="192">
        <v>12.0</v>
      </c>
      <c r="H6" s="194">
        <f t="shared" ref="H6:H17" si="2">F6/G6</f>
        <v>234.6666667</v>
      </c>
    </row>
    <row r="7">
      <c r="A7" s="189"/>
      <c r="B7" s="192">
        <v>2.0</v>
      </c>
      <c r="C7" s="195" t="s">
        <v>156</v>
      </c>
      <c r="D7" s="192">
        <v>40.0</v>
      </c>
      <c r="E7" s="193">
        <v>51.25</v>
      </c>
      <c r="F7" s="194">
        <f t="shared" si="1"/>
        <v>2050</v>
      </c>
      <c r="G7" s="192">
        <v>12.0</v>
      </c>
      <c r="H7" s="194">
        <f t="shared" si="2"/>
        <v>170.8333333</v>
      </c>
    </row>
    <row r="8">
      <c r="A8" s="189"/>
      <c r="B8" s="192">
        <v>3.0</v>
      </c>
      <c r="C8" s="195" t="s">
        <v>157</v>
      </c>
      <c r="D8" s="192">
        <v>24.0</v>
      </c>
      <c r="E8" s="193">
        <v>60.68</v>
      </c>
      <c r="F8" s="194">
        <f t="shared" si="1"/>
        <v>1456.32</v>
      </c>
      <c r="G8" s="192">
        <v>12.0</v>
      </c>
      <c r="H8" s="194">
        <f t="shared" si="2"/>
        <v>121.36</v>
      </c>
    </row>
    <row r="9">
      <c r="A9" s="189"/>
      <c r="B9" s="192">
        <v>4.0</v>
      </c>
      <c r="C9" s="195" t="s">
        <v>158</v>
      </c>
      <c r="D9" s="192">
        <v>21.0</v>
      </c>
      <c r="E9" s="193">
        <v>84.75</v>
      </c>
      <c r="F9" s="194">
        <f t="shared" si="1"/>
        <v>1779.75</v>
      </c>
      <c r="G9" s="192">
        <v>12.0</v>
      </c>
      <c r="H9" s="194">
        <f t="shared" si="2"/>
        <v>148.3125</v>
      </c>
    </row>
    <row r="10">
      <c r="A10" s="189"/>
      <c r="B10" s="192">
        <v>5.0</v>
      </c>
      <c r="C10" s="195" t="s">
        <v>159</v>
      </c>
      <c r="D10" s="192">
        <v>8.0</v>
      </c>
      <c r="E10" s="193">
        <v>143.7</v>
      </c>
      <c r="F10" s="194">
        <f t="shared" si="1"/>
        <v>1149.6</v>
      </c>
      <c r="G10" s="192">
        <v>24.0</v>
      </c>
      <c r="H10" s="194">
        <f t="shared" si="2"/>
        <v>47.9</v>
      </c>
    </row>
    <row r="11">
      <c r="A11" s="189"/>
      <c r="B11" s="192">
        <v>6.0</v>
      </c>
      <c r="C11" s="195" t="s">
        <v>160</v>
      </c>
      <c r="D11" s="192">
        <v>24.0</v>
      </c>
      <c r="E11" s="193">
        <v>62.93</v>
      </c>
      <c r="F11" s="194">
        <f t="shared" si="1"/>
        <v>1510.32</v>
      </c>
      <c r="G11" s="192">
        <v>12.0</v>
      </c>
      <c r="H11" s="194">
        <f t="shared" si="2"/>
        <v>125.86</v>
      </c>
    </row>
    <row r="12">
      <c r="A12" s="189"/>
      <c r="B12" s="192">
        <v>7.0</v>
      </c>
      <c r="C12" s="195" t="s">
        <v>200</v>
      </c>
      <c r="D12" s="192">
        <v>8.0</v>
      </c>
      <c r="E12" s="193">
        <v>57.38</v>
      </c>
      <c r="F12" s="194">
        <f t="shared" si="1"/>
        <v>459.04</v>
      </c>
      <c r="G12" s="192">
        <v>12.0</v>
      </c>
      <c r="H12" s="194">
        <f t="shared" si="2"/>
        <v>38.25333333</v>
      </c>
    </row>
    <row r="13">
      <c r="A13" s="189"/>
      <c r="B13" s="192">
        <v>8.0</v>
      </c>
      <c r="C13" s="195" t="s">
        <v>170</v>
      </c>
      <c r="D13" s="192">
        <v>32.0</v>
      </c>
      <c r="E13" s="193">
        <v>4.01</v>
      </c>
      <c r="F13" s="194">
        <f t="shared" si="1"/>
        <v>128.32</v>
      </c>
      <c r="G13" s="192">
        <v>1.0</v>
      </c>
      <c r="H13" s="194">
        <f t="shared" si="2"/>
        <v>128.32</v>
      </c>
    </row>
    <row r="14">
      <c r="A14" s="189"/>
      <c r="B14" s="192">
        <v>9.0</v>
      </c>
      <c r="C14" s="191" t="s">
        <v>162</v>
      </c>
      <c r="D14" s="192">
        <v>32.0</v>
      </c>
      <c r="E14" s="193">
        <v>3.27</v>
      </c>
      <c r="F14" s="194">
        <f t="shared" si="1"/>
        <v>104.64</v>
      </c>
      <c r="G14" s="192">
        <v>1.0</v>
      </c>
      <c r="H14" s="194">
        <f t="shared" si="2"/>
        <v>104.64</v>
      </c>
    </row>
    <row r="15">
      <c r="A15" s="189"/>
      <c r="B15" s="192">
        <v>10.0</v>
      </c>
      <c r="C15" s="191" t="s">
        <v>163</v>
      </c>
      <c r="D15" s="192">
        <v>8.0</v>
      </c>
      <c r="E15" s="193">
        <v>15.76</v>
      </c>
      <c r="F15" s="194">
        <f t="shared" si="1"/>
        <v>126.08</v>
      </c>
      <c r="G15" s="192">
        <v>12.0</v>
      </c>
      <c r="H15" s="194">
        <f t="shared" si="2"/>
        <v>10.50666667</v>
      </c>
    </row>
    <row r="16">
      <c r="A16" s="189"/>
      <c r="B16" s="192">
        <v>11.0</v>
      </c>
      <c r="C16" s="191" t="s">
        <v>164</v>
      </c>
      <c r="D16" s="192">
        <v>8.0</v>
      </c>
      <c r="E16" s="193">
        <v>5.41</v>
      </c>
      <c r="F16" s="194">
        <f t="shared" si="1"/>
        <v>43.28</v>
      </c>
      <c r="G16" s="192">
        <v>4.0</v>
      </c>
      <c r="H16" s="194">
        <f t="shared" si="2"/>
        <v>10.82</v>
      </c>
    </row>
    <row r="17">
      <c r="A17" s="189"/>
      <c r="B17" s="192">
        <v>12.0</v>
      </c>
      <c r="C17" s="191" t="s">
        <v>171</v>
      </c>
      <c r="D17" s="192">
        <v>8.0</v>
      </c>
      <c r="E17" s="193">
        <v>10.0</v>
      </c>
      <c r="F17" s="194">
        <f t="shared" si="1"/>
        <v>80</v>
      </c>
      <c r="G17" s="192">
        <v>1.0</v>
      </c>
      <c r="H17" s="194">
        <f t="shared" si="2"/>
        <v>80</v>
      </c>
    </row>
    <row r="18">
      <c r="A18" s="196"/>
      <c r="B18" s="184"/>
      <c r="C18" s="184"/>
      <c r="D18" s="184"/>
      <c r="E18" s="197" t="s">
        <v>172</v>
      </c>
      <c r="F18" s="21"/>
      <c r="G18" s="21"/>
      <c r="H18" s="198">
        <f>SUM(H6:H17)</f>
        <v>1221.4725</v>
      </c>
    </row>
    <row r="19">
      <c r="A19" s="205" t="s">
        <v>125</v>
      </c>
      <c r="B19" s="204"/>
      <c r="C19" s="204"/>
      <c r="D19" s="204"/>
      <c r="E19" s="204"/>
      <c r="F19" s="204"/>
      <c r="G19" s="204"/>
      <c r="H19" s="204"/>
    </row>
    <row r="20">
      <c r="A20" s="184"/>
      <c r="B20" s="185" t="s">
        <v>148</v>
      </c>
      <c r="C20" s="185" t="s">
        <v>149</v>
      </c>
      <c r="D20" s="186" t="s">
        <v>150</v>
      </c>
      <c r="E20" s="187" t="s">
        <v>151</v>
      </c>
      <c r="F20" s="188" t="s">
        <v>152</v>
      </c>
      <c r="G20" s="186" t="s">
        <v>153</v>
      </c>
      <c r="H20" s="188" t="s">
        <v>154</v>
      </c>
    </row>
    <row r="21">
      <c r="A21" s="189"/>
      <c r="B21" s="190">
        <v>1.0</v>
      </c>
      <c r="C21" s="191" t="s">
        <v>201</v>
      </c>
      <c r="D21" s="192">
        <v>1.0</v>
      </c>
      <c r="E21" s="193">
        <v>1212.17</v>
      </c>
      <c r="F21" s="194">
        <f t="shared" ref="F21:F38" si="3">D21*E21</f>
        <v>1212.17</v>
      </c>
      <c r="G21" s="192">
        <v>36.0</v>
      </c>
      <c r="H21" s="194">
        <f t="shared" ref="H21:H38" si="4">F21/G21</f>
        <v>33.67138889</v>
      </c>
    </row>
    <row r="22">
      <c r="A22" s="189"/>
      <c r="B22" s="192">
        <v>2.0</v>
      </c>
      <c r="C22" s="195" t="s">
        <v>202</v>
      </c>
      <c r="D22" s="192">
        <v>2.0</v>
      </c>
      <c r="E22" s="193">
        <v>1651.69</v>
      </c>
      <c r="F22" s="194">
        <f t="shared" si="3"/>
        <v>3303.38</v>
      </c>
      <c r="G22" s="192">
        <v>36.0</v>
      </c>
      <c r="H22" s="194">
        <f t="shared" si="4"/>
        <v>91.76055556</v>
      </c>
    </row>
    <row r="23">
      <c r="A23" s="189"/>
      <c r="B23" s="192">
        <v>3.0</v>
      </c>
      <c r="C23" s="195" t="s">
        <v>203</v>
      </c>
      <c r="D23" s="192">
        <v>2.0</v>
      </c>
      <c r="E23" s="193">
        <v>165.4</v>
      </c>
      <c r="F23" s="194">
        <f t="shared" si="3"/>
        <v>330.8</v>
      </c>
      <c r="G23" s="192">
        <v>60.0</v>
      </c>
      <c r="H23" s="194">
        <f t="shared" si="4"/>
        <v>5.513333333</v>
      </c>
    </row>
    <row r="24">
      <c r="A24" s="189"/>
      <c r="B24" s="192">
        <v>4.0</v>
      </c>
      <c r="C24" s="195" t="s">
        <v>204</v>
      </c>
      <c r="D24" s="192">
        <v>1.0</v>
      </c>
      <c r="E24" s="193">
        <v>166.44</v>
      </c>
      <c r="F24" s="194">
        <f t="shared" si="3"/>
        <v>166.44</v>
      </c>
      <c r="G24" s="192">
        <v>60.0</v>
      </c>
      <c r="H24" s="194">
        <f t="shared" si="4"/>
        <v>2.774</v>
      </c>
    </row>
    <row r="25">
      <c r="A25" s="189"/>
      <c r="B25" s="192">
        <v>5.0</v>
      </c>
      <c r="C25" s="195" t="s">
        <v>205</v>
      </c>
      <c r="D25" s="192">
        <v>2.0</v>
      </c>
      <c r="E25" s="193">
        <v>131.42</v>
      </c>
      <c r="F25" s="194">
        <f t="shared" si="3"/>
        <v>262.84</v>
      </c>
      <c r="G25" s="192">
        <v>36.0</v>
      </c>
      <c r="H25" s="194">
        <f t="shared" si="4"/>
        <v>7.301111111</v>
      </c>
    </row>
    <row r="26">
      <c r="A26" s="189"/>
      <c r="B26" s="192">
        <v>6.0</v>
      </c>
      <c r="C26" s="195" t="s">
        <v>206</v>
      </c>
      <c r="D26" s="192">
        <v>14.0</v>
      </c>
      <c r="E26" s="193">
        <v>15.74</v>
      </c>
      <c r="F26" s="194">
        <f t="shared" si="3"/>
        <v>220.36</v>
      </c>
      <c r="G26" s="192">
        <v>1.0</v>
      </c>
      <c r="H26" s="194">
        <f t="shared" si="4"/>
        <v>220.36</v>
      </c>
    </row>
    <row r="27">
      <c r="A27" s="189"/>
      <c r="B27" s="192">
        <v>7.0</v>
      </c>
      <c r="C27" s="195" t="s">
        <v>207</v>
      </c>
      <c r="D27" s="192">
        <v>7.0</v>
      </c>
      <c r="E27" s="193">
        <v>72.47</v>
      </c>
      <c r="F27" s="194">
        <f t="shared" si="3"/>
        <v>507.29</v>
      </c>
      <c r="G27" s="192">
        <v>4.0</v>
      </c>
      <c r="H27" s="194">
        <f t="shared" si="4"/>
        <v>126.8225</v>
      </c>
    </row>
    <row r="28">
      <c r="A28" s="189"/>
      <c r="B28" s="192">
        <v>8.0</v>
      </c>
      <c r="C28" s="195" t="s">
        <v>208</v>
      </c>
      <c r="D28" s="192">
        <v>7.0</v>
      </c>
      <c r="E28" s="193">
        <v>18.3</v>
      </c>
      <c r="F28" s="194">
        <f t="shared" si="3"/>
        <v>128.1</v>
      </c>
      <c r="G28" s="192">
        <v>12.0</v>
      </c>
      <c r="H28" s="194">
        <f t="shared" si="4"/>
        <v>10.675</v>
      </c>
    </row>
    <row r="29">
      <c r="A29" s="189"/>
      <c r="B29" s="192">
        <v>9.0</v>
      </c>
      <c r="C29" s="191" t="s">
        <v>209</v>
      </c>
      <c r="D29" s="192">
        <v>7.0</v>
      </c>
      <c r="E29" s="193">
        <v>22.83</v>
      </c>
      <c r="F29" s="194">
        <f t="shared" si="3"/>
        <v>159.81</v>
      </c>
      <c r="G29" s="192">
        <v>12.0</v>
      </c>
      <c r="H29" s="194">
        <f t="shared" si="4"/>
        <v>13.3175</v>
      </c>
    </row>
    <row r="30">
      <c r="A30" s="189"/>
      <c r="B30" s="192">
        <v>10.0</v>
      </c>
      <c r="C30" s="191" t="s">
        <v>210</v>
      </c>
      <c r="D30" s="192">
        <v>7.0</v>
      </c>
      <c r="E30" s="193">
        <v>15.83</v>
      </c>
      <c r="F30" s="194">
        <f t="shared" si="3"/>
        <v>110.81</v>
      </c>
      <c r="G30" s="192">
        <v>12.0</v>
      </c>
      <c r="H30" s="194">
        <f t="shared" si="4"/>
        <v>9.234166667</v>
      </c>
    </row>
    <row r="31">
      <c r="A31" s="189"/>
      <c r="B31" s="192">
        <v>11.0</v>
      </c>
      <c r="C31" s="191" t="s">
        <v>211</v>
      </c>
      <c r="D31" s="192">
        <v>7.0</v>
      </c>
      <c r="E31" s="193">
        <v>16.11</v>
      </c>
      <c r="F31" s="194">
        <f t="shared" si="3"/>
        <v>112.77</v>
      </c>
      <c r="G31" s="192">
        <v>12.0</v>
      </c>
      <c r="H31" s="194">
        <f t="shared" si="4"/>
        <v>9.3975</v>
      </c>
    </row>
    <row r="32">
      <c r="A32" s="189"/>
      <c r="B32" s="192">
        <v>12.0</v>
      </c>
      <c r="C32" s="191" t="s">
        <v>212</v>
      </c>
      <c r="D32" s="192">
        <v>2.0</v>
      </c>
      <c r="E32" s="193">
        <v>5.04</v>
      </c>
      <c r="F32" s="194">
        <f t="shared" si="3"/>
        <v>10.08</v>
      </c>
      <c r="G32" s="192">
        <v>1.0</v>
      </c>
      <c r="H32" s="194">
        <f t="shared" si="4"/>
        <v>10.08</v>
      </c>
    </row>
    <row r="33">
      <c r="A33" s="189"/>
      <c r="B33" s="192">
        <v>13.0</v>
      </c>
      <c r="C33" s="191" t="s">
        <v>213</v>
      </c>
      <c r="D33" s="192">
        <v>14.0</v>
      </c>
      <c r="E33" s="193">
        <v>2.16</v>
      </c>
      <c r="F33" s="194">
        <f t="shared" si="3"/>
        <v>30.24</v>
      </c>
      <c r="G33" s="192">
        <v>1.0</v>
      </c>
      <c r="H33" s="194">
        <f t="shared" si="4"/>
        <v>30.24</v>
      </c>
    </row>
    <row r="34">
      <c r="A34" s="189"/>
      <c r="B34" s="192">
        <v>14.0</v>
      </c>
      <c r="C34" s="191" t="s">
        <v>214</v>
      </c>
      <c r="D34" s="192">
        <v>7.0</v>
      </c>
      <c r="E34" s="193">
        <v>19.46</v>
      </c>
      <c r="F34" s="194">
        <f t="shared" si="3"/>
        <v>136.22</v>
      </c>
      <c r="G34" s="192">
        <v>12.0</v>
      </c>
      <c r="H34" s="194">
        <f t="shared" si="4"/>
        <v>11.35166667</v>
      </c>
    </row>
    <row r="35">
      <c r="A35" s="189"/>
      <c r="B35" s="192">
        <v>15.0</v>
      </c>
      <c r="C35" s="191" t="s">
        <v>215</v>
      </c>
      <c r="D35" s="192">
        <v>7.0</v>
      </c>
      <c r="E35" s="193">
        <v>16.81</v>
      </c>
      <c r="F35" s="194">
        <f t="shared" si="3"/>
        <v>117.67</v>
      </c>
      <c r="G35" s="192">
        <v>6.0</v>
      </c>
      <c r="H35" s="194">
        <f t="shared" si="4"/>
        <v>19.61166667</v>
      </c>
    </row>
    <row r="36">
      <c r="A36" s="189"/>
      <c r="B36" s="192">
        <v>16.0</v>
      </c>
      <c r="C36" s="191" t="s">
        <v>216</v>
      </c>
      <c r="D36" s="192">
        <v>30.0</v>
      </c>
      <c r="E36" s="193">
        <v>5.27</v>
      </c>
      <c r="F36" s="194">
        <f t="shared" si="3"/>
        <v>158.1</v>
      </c>
      <c r="G36" s="192">
        <v>1.0</v>
      </c>
      <c r="H36" s="194">
        <f t="shared" si="4"/>
        <v>158.1</v>
      </c>
    </row>
    <row r="37">
      <c r="A37" s="189"/>
      <c r="B37" s="192">
        <v>17.0</v>
      </c>
      <c r="C37" s="191" t="s">
        <v>217</v>
      </c>
      <c r="D37" s="192">
        <v>14.0</v>
      </c>
      <c r="E37" s="193">
        <v>2.87</v>
      </c>
      <c r="F37" s="194">
        <f t="shared" si="3"/>
        <v>40.18</v>
      </c>
      <c r="G37" s="192">
        <v>2.0</v>
      </c>
      <c r="H37" s="194">
        <f t="shared" si="4"/>
        <v>20.09</v>
      </c>
    </row>
    <row r="38">
      <c r="A38" s="189"/>
      <c r="B38" s="192">
        <v>18.0</v>
      </c>
      <c r="C38" s="191" t="s">
        <v>175</v>
      </c>
      <c r="D38" s="192">
        <v>1.0</v>
      </c>
      <c r="E38" s="193">
        <v>10.0</v>
      </c>
      <c r="F38" s="194">
        <f t="shared" si="3"/>
        <v>10</v>
      </c>
      <c r="G38" s="192">
        <v>1.0</v>
      </c>
      <c r="H38" s="194">
        <f t="shared" si="4"/>
        <v>10</v>
      </c>
    </row>
    <row r="39">
      <c r="A39" s="196"/>
      <c r="B39" s="184"/>
      <c r="C39" s="184"/>
      <c r="D39" s="184"/>
      <c r="E39" s="197" t="s">
        <v>172</v>
      </c>
      <c r="F39" s="21"/>
      <c r="G39" s="21"/>
      <c r="H39" s="198">
        <f>SUM(H21:H38)</f>
        <v>790.3003889</v>
      </c>
    </row>
    <row r="40">
      <c r="A40" s="203" t="s">
        <v>126</v>
      </c>
      <c r="B40" s="204"/>
      <c r="C40" s="204"/>
      <c r="D40" s="204"/>
      <c r="E40" s="204"/>
      <c r="F40" s="204"/>
      <c r="G40" s="204"/>
      <c r="H40" s="204"/>
    </row>
    <row r="41">
      <c r="A41" s="184"/>
      <c r="B41" s="185" t="s">
        <v>148</v>
      </c>
      <c r="C41" s="185" t="s">
        <v>149</v>
      </c>
      <c r="D41" s="186" t="s">
        <v>150</v>
      </c>
      <c r="E41" s="187" t="s">
        <v>151</v>
      </c>
      <c r="F41" s="188" t="s">
        <v>152</v>
      </c>
      <c r="G41" s="186" t="s">
        <v>153</v>
      </c>
      <c r="H41" s="188" t="s">
        <v>154</v>
      </c>
    </row>
    <row r="42">
      <c r="A42" s="189"/>
      <c r="B42" s="190">
        <v>1.0</v>
      </c>
      <c r="C42" s="191" t="s">
        <v>218</v>
      </c>
      <c r="D42" s="192">
        <v>60.0</v>
      </c>
      <c r="E42" s="193">
        <v>2.36</v>
      </c>
      <c r="F42" s="194">
        <f t="shared" ref="F42:F55" si="5">D42*E42</f>
        <v>141.6</v>
      </c>
      <c r="G42" s="192">
        <v>1.0</v>
      </c>
      <c r="H42" s="194">
        <f t="shared" ref="H42:H55" si="6">F42/G42</f>
        <v>141.6</v>
      </c>
    </row>
    <row r="43">
      <c r="A43" s="189"/>
      <c r="B43" s="192">
        <v>2.0</v>
      </c>
      <c r="C43" s="195" t="s">
        <v>219</v>
      </c>
      <c r="D43" s="192">
        <v>3.0</v>
      </c>
      <c r="E43" s="193">
        <v>17.45</v>
      </c>
      <c r="F43" s="194">
        <f t="shared" si="5"/>
        <v>52.35</v>
      </c>
      <c r="G43" s="192">
        <v>1.0</v>
      </c>
      <c r="H43" s="194">
        <f t="shared" si="6"/>
        <v>52.35</v>
      </c>
    </row>
    <row r="44">
      <c r="A44" s="189"/>
      <c r="B44" s="192">
        <v>3.0</v>
      </c>
      <c r="C44" s="195" t="s">
        <v>220</v>
      </c>
      <c r="D44" s="192">
        <v>70.0</v>
      </c>
      <c r="E44" s="193">
        <v>5.77</v>
      </c>
      <c r="F44" s="194">
        <f t="shared" si="5"/>
        <v>403.9</v>
      </c>
      <c r="G44" s="192">
        <v>1.0</v>
      </c>
      <c r="H44" s="194">
        <f t="shared" si="6"/>
        <v>403.9</v>
      </c>
    </row>
    <row r="45">
      <c r="A45" s="189"/>
      <c r="B45" s="192">
        <v>4.0</v>
      </c>
      <c r="C45" s="195" t="s">
        <v>221</v>
      </c>
      <c r="D45" s="192">
        <v>8.0</v>
      </c>
      <c r="E45" s="193">
        <v>3.14</v>
      </c>
      <c r="F45" s="194">
        <f t="shared" si="5"/>
        <v>25.12</v>
      </c>
      <c r="G45" s="192">
        <v>1.0</v>
      </c>
      <c r="H45" s="194">
        <f t="shared" si="6"/>
        <v>25.12</v>
      </c>
    </row>
    <row r="46">
      <c r="A46" s="189"/>
      <c r="B46" s="192">
        <v>5.0</v>
      </c>
      <c r="C46" s="195" t="s">
        <v>222</v>
      </c>
      <c r="D46" s="192">
        <v>2.0</v>
      </c>
      <c r="E46" s="193">
        <v>2.46</v>
      </c>
      <c r="F46" s="194">
        <f t="shared" si="5"/>
        <v>4.92</v>
      </c>
      <c r="G46" s="192">
        <v>12.0</v>
      </c>
      <c r="H46" s="194">
        <f t="shared" si="6"/>
        <v>0.41</v>
      </c>
    </row>
    <row r="47">
      <c r="A47" s="189"/>
      <c r="B47" s="192">
        <v>6.0</v>
      </c>
      <c r="C47" s="195" t="s">
        <v>223</v>
      </c>
      <c r="D47" s="192">
        <v>6.0</v>
      </c>
      <c r="E47" s="193">
        <v>13.36</v>
      </c>
      <c r="F47" s="194">
        <f t="shared" si="5"/>
        <v>80.16</v>
      </c>
      <c r="G47" s="192">
        <v>1.0</v>
      </c>
      <c r="H47" s="194">
        <f t="shared" si="6"/>
        <v>80.16</v>
      </c>
    </row>
    <row r="48">
      <c r="A48" s="189"/>
      <c r="B48" s="192">
        <v>7.0</v>
      </c>
      <c r="C48" s="195" t="s">
        <v>224</v>
      </c>
      <c r="D48" s="192">
        <v>400.0</v>
      </c>
      <c r="E48" s="193">
        <v>0.22</v>
      </c>
      <c r="F48" s="194">
        <f t="shared" si="5"/>
        <v>88</v>
      </c>
      <c r="G48" s="192">
        <v>1.0</v>
      </c>
      <c r="H48" s="194">
        <f t="shared" si="6"/>
        <v>88</v>
      </c>
    </row>
    <row r="49">
      <c r="A49" s="189"/>
      <c r="B49" s="192">
        <v>8.0</v>
      </c>
      <c r="C49" s="195" t="s">
        <v>225</v>
      </c>
      <c r="D49" s="192">
        <v>300.0</v>
      </c>
      <c r="E49" s="193">
        <v>0.27</v>
      </c>
      <c r="F49" s="194">
        <f t="shared" si="5"/>
        <v>81</v>
      </c>
      <c r="G49" s="192">
        <v>1.0</v>
      </c>
      <c r="H49" s="194">
        <f t="shared" si="6"/>
        <v>81</v>
      </c>
    </row>
    <row r="50">
      <c r="A50" s="189"/>
      <c r="B50" s="192">
        <v>9.0</v>
      </c>
      <c r="C50" s="191" t="s">
        <v>226</v>
      </c>
      <c r="D50" s="192">
        <v>50.0</v>
      </c>
      <c r="E50" s="193">
        <v>0.38</v>
      </c>
      <c r="F50" s="194">
        <f t="shared" si="5"/>
        <v>19</v>
      </c>
      <c r="G50" s="192">
        <v>1.0</v>
      </c>
      <c r="H50" s="194">
        <f t="shared" si="6"/>
        <v>19</v>
      </c>
    </row>
    <row r="51">
      <c r="A51" s="189"/>
      <c r="B51" s="192">
        <v>10.0</v>
      </c>
      <c r="C51" s="191" t="s">
        <v>227</v>
      </c>
      <c r="D51" s="192">
        <v>10.0</v>
      </c>
      <c r="E51" s="193">
        <v>5.43</v>
      </c>
      <c r="F51" s="194">
        <f t="shared" si="5"/>
        <v>54.3</v>
      </c>
      <c r="G51" s="192">
        <v>1.0</v>
      </c>
      <c r="H51" s="194">
        <f t="shared" si="6"/>
        <v>54.3</v>
      </c>
    </row>
    <row r="52">
      <c r="A52" s="189"/>
      <c r="B52" s="192">
        <v>11.0</v>
      </c>
      <c r="C52" s="191" t="s">
        <v>228</v>
      </c>
      <c r="D52" s="192">
        <v>8.0</v>
      </c>
      <c r="E52" s="193">
        <v>9.1</v>
      </c>
      <c r="F52" s="194">
        <f t="shared" si="5"/>
        <v>72.8</v>
      </c>
      <c r="G52" s="192">
        <v>1.0</v>
      </c>
      <c r="H52" s="194">
        <f t="shared" si="6"/>
        <v>72.8</v>
      </c>
    </row>
    <row r="53">
      <c r="A53" s="189"/>
      <c r="B53" s="192">
        <v>12.0</v>
      </c>
      <c r="C53" s="191" t="s">
        <v>229</v>
      </c>
      <c r="D53" s="192">
        <v>2.0</v>
      </c>
      <c r="E53" s="193">
        <v>111.86</v>
      </c>
      <c r="F53" s="194">
        <f t="shared" si="5"/>
        <v>223.72</v>
      </c>
      <c r="G53" s="192">
        <v>12.0</v>
      </c>
      <c r="H53" s="194">
        <f t="shared" si="6"/>
        <v>18.64333333</v>
      </c>
    </row>
    <row r="54">
      <c r="A54" s="189"/>
      <c r="B54" s="192">
        <v>13.0</v>
      </c>
      <c r="C54" s="191" t="s">
        <v>230</v>
      </c>
      <c r="D54" s="192">
        <v>4.0</v>
      </c>
      <c r="E54" s="193">
        <v>72.29</v>
      </c>
      <c r="F54" s="194">
        <f t="shared" si="5"/>
        <v>289.16</v>
      </c>
      <c r="G54" s="192">
        <v>12.0</v>
      </c>
      <c r="H54" s="194">
        <f t="shared" si="6"/>
        <v>24.09666667</v>
      </c>
    </row>
    <row r="55">
      <c r="A55" s="189"/>
      <c r="B55" s="192">
        <v>14.0</v>
      </c>
      <c r="C55" s="191" t="s">
        <v>231</v>
      </c>
      <c r="D55" s="192">
        <v>1.0</v>
      </c>
      <c r="E55" s="193">
        <v>10.0</v>
      </c>
      <c r="F55" s="194">
        <f t="shared" si="5"/>
        <v>10</v>
      </c>
      <c r="G55" s="192">
        <v>1.0</v>
      </c>
      <c r="H55" s="194">
        <f t="shared" si="6"/>
        <v>10</v>
      </c>
    </row>
    <row r="56">
      <c r="A56" s="196"/>
      <c r="B56" s="184"/>
      <c r="C56" s="184"/>
      <c r="D56" s="184"/>
      <c r="E56" s="197" t="s">
        <v>172</v>
      </c>
      <c r="F56" s="21"/>
      <c r="G56" s="21"/>
      <c r="H56" s="198">
        <f>SUM(H42:H55)</f>
        <v>1071.38</v>
      </c>
    </row>
    <row r="57">
      <c r="A57" s="182"/>
      <c r="B57" s="182"/>
      <c r="C57" s="182"/>
      <c r="D57" s="182"/>
      <c r="E57" s="182"/>
      <c r="F57" s="182"/>
      <c r="G57" s="182"/>
      <c r="H57" s="182"/>
    </row>
  </sheetData>
  <mergeCells count="8">
    <mergeCell ref="A1:H1"/>
    <mergeCell ref="A2:H2"/>
    <mergeCell ref="A4:H4"/>
    <mergeCell ref="E18:G18"/>
    <mergeCell ref="A19:H19"/>
    <mergeCell ref="E39:G39"/>
    <mergeCell ref="A40:H40"/>
    <mergeCell ref="E56:G56"/>
  </mergeCells>
  <printOptions/>
  <pageMargins bottom="0.75" footer="0.0" header="0.0" left="0.7" right="0.7" top="0.75"/>
  <pageSetup paperSize="9" scale="8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25"/>
    <col customWidth="1" min="2" max="2" width="3.63"/>
    <col customWidth="1" min="3" max="3" width="11.75"/>
    <col customWidth="1" min="4" max="4" width="11.88"/>
    <col customWidth="1" min="5" max="5" width="12.38"/>
    <col customWidth="1" min="6" max="6" width="5.88"/>
    <col customWidth="1" min="7" max="7" width="7.5"/>
    <col customWidth="1" min="8" max="8" width="7.63"/>
    <col customWidth="1" min="9" max="9" width="12.38"/>
  </cols>
  <sheetData>
    <row r="1">
      <c r="A1" s="10" t="s">
        <v>11</v>
      </c>
    </row>
    <row r="2">
      <c r="A2" s="11" t="s">
        <v>232</v>
      </c>
    </row>
    <row r="3">
      <c r="A3" s="12" t="s">
        <v>13</v>
      </c>
      <c r="B3" s="13"/>
      <c r="C3" s="13"/>
      <c r="D3" s="13"/>
      <c r="E3" s="13"/>
      <c r="F3" s="13"/>
      <c r="G3" s="13"/>
      <c r="H3" s="13"/>
      <c r="I3" s="14"/>
    </row>
    <row r="4">
      <c r="A4" s="15"/>
      <c r="B4" s="15"/>
      <c r="C4" s="15"/>
      <c r="D4" s="16" t="s">
        <v>14</v>
      </c>
      <c r="E4" s="17"/>
      <c r="F4" s="17"/>
      <c r="G4" s="17"/>
      <c r="H4" s="18"/>
      <c r="I4" s="19" t="s">
        <v>233</v>
      </c>
    </row>
    <row r="5">
      <c r="A5" s="15"/>
      <c r="B5" s="15"/>
      <c r="C5" s="15"/>
      <c r="D5" s="20" t="s">
        <v>16</v>
      </c>
      <c r="E5" s="21"/>
      <c r="F5" s="21"/>
      <c r="G5" s="21"/>
      <c r="H5" s="22"/>
      <c r="I5" s="23" t="s">
        <v>17</v>
      </c>
    </row>
    <row r="6">
      <c r="A6" s="15"/>
      <c r="B6" s="15"/>
      <c r="C6" s="15"/>
      <c r="D6" s="20" t="s">
        <v>18</v>
      </c>
      <c r="E6" s="21"/>
      <c r="F6" s="21"/>
      <c r="G6" s="21"/>
      <c r="H6" s="22"/>
      <c r="I6" s="23" t="s">
        <v>19</v>
      </c>
    </row>
    <row r="7">
      <c r="A7" s="15"/>
      <c r="B7" s="15"/>
      <c r="C7" s="15"/>
      <c r="D7" s="20" t="s">
        <v>20</v>
      </c>
      <c r="E7" s="21"/>
      <c r="F7" s="21"/>
      <c r="G7" s="21"/>
      <c r="H7" s="22"/>
      <c r="I7" s="24" t="s">
        <v>21</v>
      </c>
    </row>
    <row r="8">
      <c r="A8" s="15"/>
      <c r="B8" s="15"/>
      <c r="C8" s="15"/>
      <c r="D8" s="20" t="s">
        <v>22</v>
      </c>
      <c r="E8" s="21"/>
      <c r="F8" s="21"/>
      <c r="G8" s="21"/>
      <c r="H8" s="22"/>
      <c r="I8" s="24" t="s">
        <v>23</v>
      </c>
    </row>
    <row r="9">
      <c r="A9" s="15"/>
      <c r="B9" s="15"/>
      <c r="C9" s="15"/>
      <c r="D9" s="20" t="s">
        <v>24</v>
      </c>
      <c r="E9" s="21"/>
      <c r="F9" s="21"/>
      <c r="G9" s="21"/>
      <c r="H9" s="22"/>
      <c r="I9" s="25" t="s">
        <v>25</v>
      </c>
    </row>
    <row r="10" ht="7.5" customHeight="1">
      <c r="A10" s="26"/>
      <c r="B10" s="26"/>
      <c r="C10" s="26"/>
      <c r="D10" s="26"/>
      <c r="E10" s="26"/>
      <c r="F10" s="27"/>
      <c r="G10" s="27"/>
      <c r="H10" s="27"/>
      <c r="I10" s="27"/>
    </row>
    <row r="11">
      <c r="A11" s="28"/>
      <c r="B11" s="15"/>
      <c r="C11" s="15"/>
      <c r="D11" s="29" t="s">
        <v>26</v>
      </c>
      <c r="E11" s="30" t="s">
        <v>27</v>
      </c>
      <c r="F11" s="31" t="s">
        <v>28</v>
      </c>
      <c r="G11" s="21"/>
      <c r="H11" s="22"/>
      <c r="I11" s="32">
        <v>1.0</v>
      </c>
    </row>
    <row r="12">
      <c r="A12" s="28"/>
      <c r="B12" s="15"/>
      <c r="C12" s="15"/>
      <c r="D12" s="33"/>
      <c r="E12" s="30" t="s">
        <v>29</v>
      </c>
      <c r="F12" s="31" t="s">
        <v>30</v>
      </c>
      <c r="G12" s="21"/>
      <c r="H12" s="22"/>
      <c r="I12" s="32">
        <v>30.0</v>
      </c>
    </row>
    <row r="13">
      <c r="A13" s="28"/>
      <c r="B13" s="15"/>
      <c r="C13" s="15"/>
      <c r="D13" s="33"/>
      <c r="E13" s="30" t="s">
        <v>31</v>
      </c>
      <c r="F13" s="31" t="s">
        <v>32</v>
      </c>
      <c r="G13" s="21"/>
      <c r="H13" s="22"/>
      <c r="I13" s="34">
        <v>1653.58</v>
      </c>
    </row>
    <row r="14">
      <c r="A14" s="28"/>
      <c r="B14" s="15"/>
      <c r="C14" s="15"/>
      <c r="D14" s="35"/>
      <c r="E14" s="30" t="s">
        <v>33</v>
      </c>
      <c r="F14" s="36" t="s">
        <v>234</v>
      </c>
      <c r="G14" s="21"/>
      <c r="H14" s="22"/>
      <c r="I14" s="30">
        <f>ROUND((365.25/7*5)-10,2)</f>
        <v>250.89</v>
      </c>
    </row>
    <row r="15">
      <c r="A15" s="37"/>
      <c r="B15" s="37"/>
      <c r="C15" s="37"/>
      <c r="D15" s="37"/>
      <c r="E15" s="37"/>
      <c r="F15" s="38"/>
      <c r="G15" s="38"/>
      <c r="H15" s="38"/>
      <c r="I15" s="38"/>
    </row>
    <row r="16">
      <c r="A16" s="39" t="s">
        <v>35</v>
      </c>
      <c r="B16" s="40"/>
      <c r="C16" s="40"/>
      <c r="D16" s="40"/>
      <c r="E16" s="40"/>
      <c r="F16" s="40"/>
      <c r="G16" s="40"/>
      <c r="H16" s="40"/>
      <c r="I16" s="40"/>
    </row>
    <row r="17">
      <c r="A17" s="41"/>
      <c r="B17" s="42" t="s">
        <v>36</v>
      </c>
      <c r="C17" s="43" t="s">
        <v>183</v>
      </c>
      <c r="H17" s="44"/>
      <c r="I17" s="45">
        <f>ROUND(I13/44*I12,2)</f>
        <v>1127.44</v>
      </c>
    </row>
    <row r="18">
      <c r="A18" s="41"/>
      <c r="B18" s="46"/>
      <c r="C18" s="47" t="s">
        <v>38</v>
      </c>
      <c r="D18" s="17"/>
      <c r="E18" s="17"/>
      <c r="F18" s="17"/>
      <c r="G18" s="17"/>
      <c r="H18" s="18"/>
      <c r="I18" s="18"/>
    </row>
    <row r="19">
      <c r="A19" s="41"/>
      <c r="B19" s="48" t="s">
        <v>39</v>
      </c>
      <c r="C19" s="49" t="s">
        <v>40</v>
      </c>
      <c r="H19" s="44"/>
      <c r="I19" s="50">
        <f>ROUND(I17*0.2,2)</f>
        <v>225.49</v>
      </c>
    </row>
    <row r="20">
      <c r="A20" s="41"/>
      <c r="B20" s="46"/>
      <c r="C20" s="47" t="s">
        <v>41</v>
      </c>
      <c r="D20" s="17"/>
      <c r="E20" s="17"/>
      <c r="F20" s="17"/>
      <c r="G20" s="17"/>
      <c r="H20" s="18"/>
      <c r="I20" s="18"/>
    </row>
    <row r="21">
      <c r="A21" s="52"/>
      <c r="B21" s="53" t="s">
        <v>45</v>
      </c>
      <c r="I21" s="54">
        <f>SUM(I17:I20)</f>
        <v>1352.93</v>
      </c>
    </row>
    <row r="22">
      <c r="A22" s="37"/>
      <c r="B22" s="37"/>
      <c r="C22" s="37"/>
      <c r="D22" s="37"/>
      <c r="E22" s="37"/>
      <c r="F22" s="38"/>
      <c r="G22" s="38"/>
      <c r="H22" s="38"/>
      <c r="I22" s="38"/>
    </row>
    <row r="23">
      <c r="A23" s="39" t="s">
        <v>46</v>
      </c>
      <c r="B23" s="40"/>
      <c r="C23" s="40"/>
      <c r="D23" s="40"/>
      <c r="E23" s="40"/>
      <c r="F23" s="40"/>
      <c r="G23" s="40"/>
      <c r="H23" s="40"/>
      <c r="I23" s="40"/>
    </row>
    <row r="24">
      <c r="A24" s="37"/>
      <c r="B24" s="37"/>
      <c r="C24" s="37"/>
      <c r="D24" s="37"/>
      <c r="E24" s="37"/>
      <c r="F24" s="38"/>
      <c r="G24" s="38"/>
      <c r="H24" s="38"/>
      <c r="I24" s="38"/>
    </row>
    <row r="25">
      <c r="A25" s="55"/>
      <c r="B25" s="56" t="s">
        <v>47</v>
      </c>
      <c r="C25" s="57"/>
      <c r="D25" s="57"/>
      <c r="E25" s="57"/>
      <c r="F25" s="57"/>
      <c r="G25" s="57"/>
      <c r="H25" s="57"/>
      <c r="I25" s="57"/>
    </row>
    <row r="26">
      <c r="A26" s="58"/>
      <c r="B26" s="59" t="s">
        <v>48</v>
      </c>
      <c r="C26" s="60" t="s">
        <v>49</v>
      </c>
      <c r="D26" s="61"/>
      <c r="E26" s="62" t="s">
        <v>50</v>
      </c>
      <c r="F26" s="17"/>
      <c r="G26" s="17"/>
      <c r="H26" s="17"/>
      <c r="I26" s="63">
        <v>8.65</v>
      </c>
    </row>
    <row r="27">
      <c r="A27" s="58"/>
      <c r="B27" s="33"/>
      <c r="E27" s="64" t="s">
        <v>51</v>
      </c>
      <c r="F27" s="21"/>
      <c r="G27" s="21"/>
      <c r="H27" s="21"/>
      <c r="I27" s="65">
        <v>2.0</v>
      </c>
    </row>
    <row r="28">
      <c r="A28" s="58"/>
      <c r="B28" s="35"/>
      <c r="C28" s="66" t="s">
        <v>52</v>
      </c>
      <c r="D28" s="17"/>
      <c r="E28" s="17"/>
      <c r="F28" s="17"/>
      <c r="G28" s="67"/>
      <c r="H28" s="68" t="s">
        <v>53</v>
      </c>
      <c r="I28" s="69">
        <f>ROUND(((I26*I27*I14/12)-(I17*0.06)),2)</f>
        <v>294.05</v>
      </c>
    </row>
    <row r="29">
      <c r="A29" s="58"/>
      <c r="B29" s="59" t="s">
        <v>54</v>
      </c>
      <c r="C29" s="49" t="s">
        <v>55</v>
      </c>
      <c r="E29" s="37"/>
      <c r="F29" s="37"/>
      <c r="G29" s="70" t="s">
        <v>56</v>
      </c>
      <c r="I29" s="71">
        <v>12.71</v>
      </c>
    </row>
    <row r="30">
      <c r="A30" s="58"/>
      <c r="B30" s="35"/>
      <c r="C30" s="47" t="s">
        <v>57</v>
      </c>
      <c r="D30" s="17"/>
      <c r="E30" s="17"/>
      <c r="F30" s="17"/>
      <c r="G30" s="70" t="s">
        <v>58</v>
      </c>
      <c r="I30" s="72">
        <f>ROUND(I29*I14/12*0.81,2)</f>
        <v>215.24</v>
      </c>
    </row>
    <row r="31">
      <c r="A31" s="58"/>
      <c r="B31" s="59" t="s">
        <v>59</v>
      </c>
      <c r="C31" s="73" t="s">
        <v>60</v>
      </c>
      <c r="D31" s="61"/>
      <c r="E31" s="61"/>
      <c r="F31" s="61"/>
      <c r="G31" s="61"/>
      <c r="H31" s="74"/>
      <c r="I31" s="75">
        <v>24.1</v>
      </c>
    </row>
    <row r="32">
      <c r="A32" s="58"/>
      <c r="B32" s="35"/>
      <c r="C32" s="47" t="s">
        <v>61</v>
      </c>
      <c r="D32" s="17"/>
      <c r="E32" s="17"/>
      <c r="F32" s="17"/>
      <c r="G32" s="17"/>
      <c r="H32" s="18"/>
      <c r="I32" s="18"/>
    </row>
    <row r="33">
      <c r="A33" s="58"/>
      <c r="B33" s="53" t="s">
        <v>45</v>
      </c>
      <c r="I33" s="54">
        <f>SUM(I28,I30,I31)</f>
        <v>533.39</v>
      </c>
    </row>
    <row r="34">
      <c r="A34" s="37"/>
      <c r="B34" s="37"/>
      <c r="C34" s="37"/>
      <c r="D34" s="37"/>
      <c r="E34" s="37"/>
      <c r="F34" s="38"/>
      <c r="G34" s="38"/>
      <c r="H34" s="38"/>
      <c r="I34" s="38"/>
    </row>
    <row r="35">
      <c r="A35" s="55"/>
      <c r="B35" s="76" t="s">
        <v>62</v>
      </c>
    </row>
    <row r="36">
      <c r="A36" s="58"/>
      <c r="B36" s="48" t="s">
        <v>63</v>
      </c>
      <c r="C36" s="77" t="s">
        <v>64</v>
      </c>
      <c r="D36" s="61"/>
      <c r="E36" s="61"/>
      <c r="F36" s="61"/>
      <c r="G36" s="61"/>
      <c r="H36" s="74"/>
      <c r="I36" s="78">
        <f>ROUND(I21/12,2)</f>
        <v>112.74</v>
      </c>
    </row>
    <row r="37">
      <c r="A37" s="58"/>
      <c r="B37" s="46"/>
      <c r="C37" s="79" t="s">
        <v>65</v>
      </c>
      <c r="D37" s="17"/>
      <c r="E37" s="17"/>
      <c r="F37" s="17"/>
      <c r="G37" s="17"/>
      <c r="H37" s="18"/>
      <c r="I37" s="18"/>
    </row>
    <row r="38">
      <c r="A38" s="58"/>
      <c r="B38" s="48" t="s">
        <v>66</v>
      </c>
      <c r="C38" s="77" t="s">
        <v>67</v>
      </c>
      <c r="D38" s="61"/>
      <c r="E38" s="61"/>
      <c r="F38" s="61"/>
      <c r="G38" s="61"/>
      <c r="H38" s="74"/>
      <c r="I38" s="78">
        <f>ROUND(I21/12,2)</f>
        <v>112.74</v>
      </c>
    </row>
    <row r="39">
      <c r="A39" s="58"/>
      <c r="B39" s="46"/>
      <c r="C39" s="79" t="s">
        <v>65</v>
      </c>
      <c r="D39" s="17"/>
      <c r="E39" s="17"/>
      <c r="F39" s="17"/>
      <c r="G39" s="17"/>
      <c r="H39" s="18"/>
      <c r="I39" s="18"/>
    </row>
    <row r="40">
      <c r="A40" s="58"/>
      <c r="B40" s="48" t="s">
        <v>68</v>
      </c>
      <c r="C40" s="77" t="s">
        <v>69</v>
      </c>
      <c r="D40" s="61"/>
      <c r="E40" s="61"/>
      <c r="F40" s="61"/>
      <c r="G40" s="61"/>
      <c r="H40" s="74"/>
      <c r="I40" s="78">
        <f>ROUND(I21/3/12,2)</f>
        <v>37.58</v>
      </c>
    </row>
    <row r="41">
      <c r="A41" s="58"/>
      <c r="B41" s="46"/>
      <c r="C41" s="79" t="s">
        <v>70</v>
      </c>
      <c r="D41" s="17"/>
      <c r="E41" s="17"/>
      <c r="F41" s="17"/>
      <c r="G41" s="17"/>
      <c r="H41" s="18"/>
      <c r="I41" s="18"/>
    </row>
    <row r="42">
      <c r="A42" s="58"/>
      <c r="B42" s="53" t="s">
        <v>45</v>
      </c>
      <c r="I42" s="54">
        <f>SUM(I36:I41)</f>
        <v>263.06</v>
      </c>
    </row>
    <row r="43">
      <c r="A43" s="28"/>
      <c r="B43" s="28"/>
      <c r="C43" s="28"/>
      <c r="D43" s="28"/>
      <c r="E43" s="28"/>
      <c r="F43" s="28"/>
      <c r="G43" s="28"/>
      <c r="H43" s="28"/>
      <c r="I43" s="28"/>
    </row>
    <row r="44">
      <c r="A44" s="55"/>
      <c r="B44" s="28" t="s">
        <v>71</v>
      </c>
    </row>
    <row r="45">
      <c r="A45" s="80"/>
      <c r="B45" s="81" t="s">
        <v>72</v>
      </c>
      <c r="C45" s="20" t="s">
        <v>73</v>
      </c>
      <c r="D45" s="21"/>
      <c r="E45" s="21"/>
      <c r="F45" s="21"/>
      <c r="G45" s="22"/>
      <c r="H45" s="82">
        <v>0.2</v>
      </c>
      <c r="I45" s="83">
        <f t="shared" ref="I45:I52" si="1">ROUND((I$21+I$42)*$H45,2)</f>
        <v>323.2</v>
      </c>
    </row>
    <row r="46">
      <c r="A46" s="80"/>
      <c r="B46" s="81" t="s">
        <v>74</v>
      </c>
      <c r="C46" s="20" t="s">
        <v>75</v>
      </c>
      <c r="D46" s="21"/>
      <c r="E46" s="21"/>
      <c r="F46" s="21"/>
      <c r="G46" s="22"/>
      <c r="H46" s="82">
        <v>0.015</v>
      </c>
      <c r="I46" s="83">
        <f t="shared" si="1"/>
        <v>24.24</v>
      </c>
    </row>
    <row r="47">
      <c r="A47" s="80"/>
      <c r="B47" s="81" t="s">
        <v>76</v>
      </c>
      <c r="C47" s="20" t="s">
        <v>77</v>
      </c>
      <c r="D47" s="21"/>
      <c r="E47" s="21"/>
      <c r="F47" s="21"/>
      <c r="G47" s="22"/>
      <c r="H47" s="82">
        <v>0.01</v>
      </c>
      <c r="I47" s="83">
        <f t="shared" si="1"/>
        <v>16.16</v>
      </c>
    </row>
    <row r="48">
      <c r="A48" s="80"/>
      <c r="B48" s="81" t="s">
        <v>78</v>
      </c>
      <c r="C48" s="20" t="s">
        <v>79</v>
      </c>
      <c r="D48" s="21"/>
      <c r="E48" s="21"/>
      <c r="F48" s="21"/>
      <c r="G48" s="22"/>
      <c r="H48" s="82">
        <v>0.002</v>
      </c>
      <c r="I48" s="83">
        <f t="shared" si="1"/>
        <v>3.23</v>
      </c>
    </row>
    <row r="49">
      <c r="A49" s="80"/>
      <c r="B49" s="81" t="s">
        <v>80</v>
      </c>
      <c r="C49" s="20" t="s">
        <v>81</v>
      </c>
      <c r="D49" s="21"/>
      <c r="E49" s="21"/>
      <c r="F49" s="21"/>
      <c r="G49" s="22"/>
      <c r="H49" s="82">
        <v>0.025</v>
      </c>
      <c r="I49" s="83">
        <f t="shared" si="1"/>
        <v>40.4</v>
      </c>
    </row>
    <row r="50">
      <c r="A50" s="80"/>
      <c r="B50" s="84" t="s">
        <v>82</v>
      </c>
      <c r="C50" s="20" t="s">
        <v>83</v>
      </c>
      <c r="D50" s="21"/>
      <c r="E50" s="21"/>
      <c r="F50" s="21"/>
      <c r="G50" s="22"/>
      <c r="H50" s="82">
        <v>0.006</v>
      </c>
      <c r="I50" s="83">
        <f t="shared" si="1"/>
        <v>9.7</v>
      </c>
    </row>
    <row r="51">
      <c r="A51" s="80"/>
      <c r="B51" s="84" t="s">
        <v>84</v>
      </c>
      <c r="C51" s="20" t="s">
        <v>85</v>
      </c>
      <c r="D51" s="21"/>
      <c r="E51" s="21"/>
      <c r="F51" s="21"/>
      <c r="G51" s="22"/>
      <c r="H51" s="82">
        <v>0.08</v>
      </c>
      <c r="I51" s="83">
        <f t="shared" si="1"/>
        <v>129.28</v>
      </c>
    </row>
    <row r="52">
      <c r="A52" s="80"/>
      <c r="B52" s="81" t="s">
        <v>86</v>
      </c>
      <c r="C52" s="85" t="s">
        <v>235</v>
      </c>
      <c r="D52" s="21"/>
      <c r="E52" s="21"/>
      <c r="F52" s="21"/>
      <c r="G52" s="22"/>
      <c r="H52" s="86">
        <v>0.03</v>
      </c>
      <c r="I52" s="83">
        <f t="shared" si="1"/>
        <v>48.48</v>
      </c>
    </row>
    <row r="53">
      <c r="A53" s="80"/>
      <c r="B53" s="87" t="s">
        <v>88</v>
      </c>
      <c r="G53" s="88" t="s">
        <v>45</v>
      </c>
      <c r="H53" s="89">
        <f t="shared" ref="H53:I53" si="2">SUM(H45:H52)</f>
        <v>0.368</v>
      </c>
      <c r="I53" s="54">
        <f t="shared" si="2"/>
        <v>594.69</v>
      </c>
    </row>
    <row r="54">
      <c r="A54" s="90"/>
      <c r="B54" s="91"/>
      <c r="C54" s="91"/>
      <c r="D54" s="91"/>
      <c r="E54" s="91"/>
      <c r="F54" s="91"/>
      <c r="G54" s="91"/>
      <c r="H54" s="91"/>
      <c r="I54" s="92"/>
    </row>
    <row r="55">
      <c r="A55" s="15"/>
      <c r="B55" s="93"/>
      <c r="C55" s="53"/>
      <c r="D55" s="53"/>
      <c r="E55" s="53"/>
      <c r="F55" s="53"/>
      <c r="G55" s="94" t="s">
        <v>89</v>
      </c>
      <c r="I55" s="54">
        <f>I33+I42+I53</f>
        <v>1391.14</v>
      </c>
    </row>
    <row r="56" ht="15.75" customHeight="1">
      <c r="A56" s="28"/>
      <c r="B56" s="28"/>
      <c r="C56" s="28"/>
      <c r="D56" s="28"/>
      <c r="E56" s="28"/>
      <c r="F56" s="28"/>
      <c r="G56" s="28"/>
      <c r="H56" s="28"/>
      <c r="I56" s="28"/>
    </row>
    <row r="57">
      <c r="A57" s="39" t="s">
        <v>90</v>
      </c>
      <c r="B57" s="40"/>
      <c r="C57" s="40"/>
      <c r="D57" s="40"/>
      <c r="E57" s="40"/>
      <c r="F57" s="40"/>
      <c r="G57" s="40"/>
      <c r="H57" s="40"/>
      <c r="I57" s="40"/>
    </row>
    <row r="58">
      <c r="A58" s="58"/>
      <c r="B58" s="95">
        <v>43833.0</v>
      </c>
      <c r="C58" s="96" t="s">
        <v>91</v>
      </c>
      <c r="D58" s="97" t="s">
        <v>92</v>
      </c>
      <c r="E58" s="96" t="s">
        <v>93</v>
      </c>
      <c r="F58" s="98" t="s">
        <v>91</v>
      </c>
      <c r="G58" s="99"/>
      <c r="H58" s="100"/>
      <c r="I58" s="101">
        <f>round(((I$21/30*30*$D$64)+(I$21/30*(30+3)*(1-$D$64)))/12*$D$64*$E$61,2)</f>
        <v>11.84</v>
      </c>
    </row>
    <row r="59">
      <c r="A59" s="58"/>
      <c r="B59" s="102"/>
      <c r="C59" s="103"/>
      <c r="D59" s="33"/>
      <c r="E59" s="103"/>
      <c r="F59" s="104" t="s">
        <v>94</v>
      </c>
      <c r="G59" s="57"/>
      <c r="H59" s="105"/>
      <c r="I59" s="105"/>
    </row>
    <row r="60">
      <c r="A60" s="58"/>
      <c r="B60" s="102"/>
      <c r="C60" s="103"/>
      <c r="D60" s="33"/>
      <c r="E60" s="103"/>
      <c r="F60" s="106" t="s">
        <v>95</v>
      </c>
      <c r="H60" s="107"/>
      <c r="I60" s="108">
        <f>ROUND(I58*0.08,2)</f>
        <v>0.95</v>
      </c>
    </row>
    <row r="61">
      <c r="A61" s="58"/>
      <c r="B61" s="102"/>
      <c r="C61" s="103"/>
      <c r="D61" s="33"/>
      <c r="E61" s="109">
        <v>0.2</v>
      </c>
      <c r="F61" s="110" t="s">
        <v>96</v>
      </c>
      <c r="H61" s="107"/>
      <c r="I61" s="105"/>
    </row>
    <row r="62">
      <c r="A62" s="15"/>
      <c r="B62" s="102"/>
      <c r="C62" s="103"/>
      <c r="D62" s="33"/>
      <c r="E62" s="103"/>
      <c r="F62" s="111" t="s">
        <v>97</v>
      </c>
      <c r="G62" s="99"/>
      <c r="H62" s="100"/>
      <c r="I62" s="112">
        <f>ROUND(I$21*0.08*0.4*$D$64*$E$61,2)</f>
        <v>4.33</v>
      </c>
    </row>
    <row r="63">
      <c r="A63" s="15"/>
      <c r="B63" s="113"/>
      <c r="C63" s="114"/>
      <c r="D63" s="33"/>
      <c r="E63" s="114"/>
      <c r="F63" s="115" t="s">
        <v>98</v>
      </c>
      <c r="H63" s="107"/>
      <c r="I63" s="113"/>
    </row>
    <row r="64">
      <c r="A64" s="58"/>
      <c r="B64" s="95">
        <v>43864.0</v>
      </c>
      <c r="C64" s="96" t="s">
        <v>99</v>
      </c>
      <c r="D64" s="116">
        <v>0.5</v>
      </c>
      <c r="E64" s="96" t="s">
        <v>93</v>
      </c>
      <c r="F64" s="73" t="s">
        <v>100</v>
      </c>
      <c r="G64" s="61"/>
      <c r="H64" s="74"/>
      <c r="I64" s="101">
        <f>ROUND(((I$21/30*7*$D$64)+(I$21/30*(7+3)*(1-$D$64)))/12*$D$64*$E$67,2)</f>
        <v>12.78</v>
      </c>
    </row>
    <row r="65">
      <c r="A65" s="58"/>
      <c r="B65" s="102"/>
      <c r="C65" s="103"/>
      <c r="D65" s="33"/>
      <c r="E65" s="103"/>
      <c r="F65" s="117" t="s">
        <v>101</v>
      </c>
      <c r="G65" s="17"/>
      <c r="H65" s="18"/>
      <c r="I65" s="105"/>
    </row>
    <row r="66">
      <c r="A66" s="58"/>
      <c r="B66" s="102"/>
      <c r="C66" s="103"/>
      <c r="D66" s="33"/>
      <c r="E66" s="103"/>
      <c r="F66" s="106" t="s">
        <v>102</v>
      </c>
      <c r="H66" s="107"/>
      <c r="I66" s="118">
        <f>ROUND($H$53*I64,2)</f>
        <v>4.7</v>
      </c>
    </row>
    <row r="67">
      <c r="A67" s="58"/>
      <c r="B67" s="102"/>
      <c r="C67" s="103"/>
      <c r="D67" s="33"/>
      <c r="E67" s="109">
        <v>0.8</v>
      </c>
      <c r="F67" s="77" t="s">
        <v>97</v>
      </c>
      <c r="G67" s="61"/>
      <c r="H67" s="74"/>
      <c r="I67" s="101">
        <f>ROUND(I$21*0.08*0.4*$D$64*$E$67,2)</f>
        <v>17.32</v>
      </c>
    </row>
    <row r="68">
      <c r="A68" s="58"/>
      <c r="B68" s="113"/>
      <c r="C68" s="114"/>
      <c r="D68" s="35"/>
      <c r="E68" s="114"/>
      <c r="F68" s="119" t="s">
        <v>98</v>
      </c>
      <c r="G68" s="17"/>
      <c r="H68" s="18"/>
      <c r="I68" s="105"/>
    </row>
    <row r="69">
      <c r="A69" s="15"/>
      <c r="B69" s="53" t="s">
        <v>45</v>
      </c>
      <c r="H69" s="44"/>
      <c r="I69" s="54">
        <f>SUM(I58:I68)</f>
        <v>51.92</v>
      </c>
    </row>
    <row r="70">
      <c r="A70" s="37"/>
      <c r="B70" s="37"/>
    </row>
    <row r="71">
      <c r="A71" s="39" t="s">
        <v>103</v>
      </c>
      <c r="B71" s="40"/>
      <c r="C71" s="40"/>
      <c r="D71" s="40"/>
      <c r="E71" s="40"/>
      <c r="F71" s="40"/>
      <c r="G71" s="40"/>
      <c r="H71" s="40"/>
      <c r="I71" s="40"/>
    </row>
    <row r="72">
      <c r="A72" s="120"/>
      <c r="B72" s="120"/>
      <c r="C72" s="121" t="s">
        <v>104</v>
      </c>
      <c r="D72" s="99"/>
      <c r="E72" s="99"/>
      <c r="F72" s="99"/>
      <c r="G72" s="99"/>
      <c r="H72" s="100"/>
      <c r="I72" s="122">
        <f>(I21+I55+I69)/(I14/12)</f>
        <v>133.7314361</v>
      </c>
    </row>
    <row r="73">
      <c r="A73" s="120"/>
      <c r="B73" s="120"/>
      <c r="C73" s="123" t="s">
        <v>105</v>
      </c>
      <c r="D73" s="57"/>
      <c r="E73" s="57"/>
      <c r="F73" s="57"/>
      <c r="G73" s="57"/>
      <c r="H73" s="105"/>
      <c r="I73" s="113"/>
    </row>
    <row r="74">
      <c r="A74" s="120"/>
      <c r="B74" s="120"/>
      <c r="C74" s="124" t="s">
        <v>106</v>
      </c>
      <c r="D74" s="125"/>
      <c r="E74" s="126" t="s">
        <v>107</v>
      </c>
      <c r="F74" s="127" t="s">
        <v>108</v>
      </c>
      <c r="G74" s="126" t="s">
        <v>109</v>
      </c>
      <c r="H74" s="126" t="s">
        <v>236</v>
      </c>
      <c r="I74" s="128" t="s">
        <v>237</v>
      </c>
    </row>
    <row r="75">
      <c r="A75" s="58"/>
      <c r="B75" s="120"/>
      <c r="C75" s="129" t="s">
        <v>67</v>
      </c>
      <c r="D75" s="125"/>
      <c r="E75" s="130">
        <v>1.0</v>
      </c>
      <c r="F75" s="131">
        <v>30.0</v>
      </c>
      <c r="G75" s="132">
        <f t="shared" ref="G75:G77" si="3">I$14/365.25</f>
        <v>0.686899384</v>
      </c>
      <c r="H75" s="133">
        <f t="shared" ref="H75:H86" si="4">ROUNDUP(E75*F75*G75/12,2)</f>
        <v>1.72</v>
      </c>
      <c r="I75" s="134">
        <f t="shared" ref="I75:I86" si="5">ROUND($H75*I$72,2)</f>
        <v>230.02</v>
      </c>
    </row>
    <row r="76">
      <c r="A76" s="58"/>
      <c r="B76" s="120"/>
      <c r="C76" s="129" t="s">
        <v>112</v>
      </c>
      <c r="D76" s="125"/>
      <c r="E76" s="135">
        <v>0.0625</v>
      </c>
      <c r="F76" s="131">
        <v>15.0</v>
      </c>
      <c r="G76" s="132">
        <f t="shared" si="3"/>
        <v>0.686899384</v>
      </c>
      <c r="H76" s="133">
        <f t="shared" si="4"/>
        <v>0.06</v>
      </c>
      <c r="I76" s="134">
        <f t="shared" si="5"/>
        <v>8.02</v>
      </c>
    </row>
    <row r="77">
      <c r="A77" s="58"/>
      <c r="B77" s="120"/>
      <c r="C77" s="129" t="s">
        <v>113</v>
      </c>
      <c r="D77" s="125"/>
      <c r="E77" s="135">
        <v>1.0</v>
      </c>
      <c r="F77" s="131">
        <v>5.0</v>
      </c>
      <c r="G77" s="132">
        <f t="shared" si="3"/>
        <v>0.686899384</v>
      </c>
      <c r="H77" s="133">
        <f t="shared" si="4"/>
        <v>0.29</v>
      </c>
      <c r="I77" s="134">
        <f t="shared" si="5"/>
        <v>38.78</v>
      </c>
    </row>
    <row r="78">
      <c r="A78" s="58"/>
      <c r="B78" s="120"/>
      <c r="C78" s="129" t="s">
        <v>114</v>
      </c>
      <c r="D78" s="125"/>
      <c r="E78" s="135">
        <v>0.25</v>
      </c>
      <c r="F78" s="131">
        <v>1.0</v>
      </c>
      <c r="G78" s="132">
        <v>1.0</v>
      </c>
      <c r="H78" s="133">
        <f t="shared" si="4"/>
        <v>0.03</v>
      </c>
      <c r="I78" s="134">
        <f t="shared" si="5"/>
        <v>4.01</v>
      </c>
    </row>
    <row r="79">
      <c r="A79" s="58"/>
      <c r="B79" s="120"/>
      <c r="C79" s="129" t="s">
        <v>115</v>
      </c>
      <c r="D79" s="125"/>
      <c r="E79" s="135">
        <v>0.25</v>
      </c>
      <c r="F79" s="131">
        <v>2.0</v>
      </c>
      <c r="G79" s="132">
        <f>I$14/365.25</f>
        <v>0.686899384</v>
      </c>
      <c r="H79" s="133">
        <f t="shared" si="4"/>
        <v>0.03</v>
      </c>
      <c r="I79" s="134">
        <f t="shared" si="5"/>
        <v>4.01</v>
      </c>
    </row>
    <row r="80">
      <c r="A80" s="58"/>
      <c r="B80" s="120"/>
      <c r="C80" s="129" t="s">
        <v>116</v>
      </c>
      <c r="D80" s="125"/>
      <c r="E80" s="135">
        <v>0.125</v>
      </c>
      <c r="F80" s="131">
        <v>3.0</v>
      </c>
      <c r="G80" s="132">
        <v>1.0</v>
      </c>
      <c r="H80" s="133">
        <f t="shared" si="4"/>
        <v>0.04</v>
      </c>
      <c r="I80" s="134">
        <f t="shared" si="5"/>
        <v>5.35</v>
      </c>
    </row>
    <row r="81">
      <c r="A81" s="58"/>
      <c r="B81" s="120"/>
      <c r="C81" s="129" t="s">
        <v>117</v>
      </c>
      <c r="D81" s="125"/>
      <c r="E81" s="135">
        <v>0.25</v>
      </c>
      <c r="F81" s="131">
        <v>1.0</v>
      </c>
      <c r="G81" s="132">
        <v>1.0</v>
      </c>
      <c r="H81" s="133">
        <f t="shared" si="4"/>
        <v>0.03</v>
      </c>
      <c r="I81" s="134">
        <f t="shared" si="5"/>
        <v>4.01</v>
      </c>
    </row>
    <row r="82">
      <c r="A82" s="58"/>
      <c r="B82" s="120"/>
      <c r="C82" s="129" t="s">
        <v>118</v>
      </c>
      <c r="D82" s="125"/>
      <c r="E82" s="135">
        <v>0.0625</v>
      </c>
      <c r="F82" s="131">
        <v>1.0</v>
      </c>
      <c r="G82" s="132">
        <v>1.0</v>
      </c>
      <c r="H82" s="133">
        <f t="shared" si="4"/>
        <v>0.01</v>
      </c>
      <c r="I82" s="134">
        <f t="shared" si="5"/>
        <v>1.34</v>
      </c>
    </row>
    <row r="83">
      <c r="A83" s="58"/>
      <c r="B83" s="120"/>
      <c r="C83" s="129" t="s">
        <v>119</v>
      </c>
      <c r="D83" s="125"/>
      <c r="E83" s="135">
        <v>0.2</v>
      </c>
      <c r="F83" s="136">
        <v>20.0</v>
      </c>
      <c r="G83" s="132">
        <f t="shared" ref="G83:G84" si="6">I$14/365.25</f>
        <v>0.686899384</v>
      </c>
      <c r="H83" s="133">
        <f t="shared" si="4"/>
        <v>0.23</v>
      </c>
      <c r="I83" s="134">
        <f t="shared" si="5"/>
        <v>30.76</v>
      </c>
    </row>
    <row r="84">
      <c r="A84" s="58"/>
      <c r="B84" s="120"/>
      <c r="C84" s="129" t="s">
        <v>120</v>
      </c>
      <c r="D84" s="125"/>
      <c r="E84" s="135">
        <v>0.01</v>
      </c>
      <c r="F84" s="131">
        <v>180.0</v>
      </c>
      <c r="G84" s="132">
        <f t="shared" si="6"/>
        <v>0.686899384</v>
      </c>
      <c r="H84" s="133">
        <f t="shared" si="4"/>
        <v>0.11</v>
      </c>
      <c r="I84" s="134">
        <f t="shared" si="5"/>
        <v>14.71</v>
      </c>
    </row>
    <row r="85">
      <c r="A85" s="58"/>
      <c r="B85" s="120"/>
      <c r="C85" s="129" t="s">
        <v>121</v>
      </c>
      <c r="D85" s="125"/>
      <c r="E85" s="135">
        <v>0.01</v>
      </c>
      <c r="F85" s="131">
        <v>6.0</v>
      </c>
      <c r="G85" s="132">
        <v>1.0</v>
      </c>
      <c r="H85" s="133">
        <f t="shared" si="4"/>
        <v>0.01</v>
      </c>
      <c r="I85" s="134">
        <f t="shared" si="5"/>
        <v>1.34</v>
      </c>
    </row>
    <row r="86">
      <c r="A86" s="58"/>
      <c r="B86" s="120"/>
      <c r="C86" s="129" t="s">
        <v>122</v>
      </c>
      <c r="D86" s="125"/>
      <c r="E86" s="137">
        <v>0.5</v>
      </c>
      <c r="F86" s="131">
        <v>1.0</v>
      </c>
      <c r="G86" s="132">
        <v>1.0</v>
      </c>
      <c r="H86" s="133">
        <f t="shared" si="4"/>
        <v>0.05</v>
      </c>
      <c r="I86" s="134">
        <f t="shared" si="5"/>
        <v>6.69</v>
      </c>
    </row>
    <row r="87">
      <c r="A87" s="15"/>
      <c r="B87" s="15"/>
      <c r="C87" s="138"/>
      <c r="D87" s="138"/>
      <c r="E87" s="138"/>
      <c r="F87" s="138"/>
      <c r="G87" s="138"/>
      <c r="H87" s="139" t="s">
        <v>45</v>
      </c>
      <c r="I87" s="54">
        <f>SUM(I75:I86)</f>
        <v>349.04</v>
      </c>
    </row>
    <row r="88">
      <c r="A88" s="37"/>
      <c r="B88" s="140"/>
      <c r="C88" s="140"/>
      <c r="D88" s="140"/>
      <c r="E88" s="140"/>
      <c r="F88" s="140"/>
      <c r="G88" s="140"/>
      <c r="H88" s="140"/>
      <c r="I88" s="140"/>
    </row>
    <row r="89">
      <c r="A89" s="39" t="s">
        <v>123</v>
      </c>
      <c r="B89" s="40"/>
      <c r="C89" s="40"/>
      <c r="D89" s="40"/>
      <c r="E89" s="40"/>
      <c r="F89" s="40"/>
      <c r="G89" s="40"/>
      <c r="H89" s="40"/>
      <c r="I89" s="40"/>
    </row>
    <row r="90">
      <c r="A90" s="141"/>
      <c r="B90" s="141"/>
      <c r="C90" s="141"/>
      <c r="D90" s="141"/>
      <c r="E90" s="85" t="s">
        <v>124</v>
      </c>
      <c r="F90" s="21"/>
      <c r="G90" s="21"/>
      <c r="H90" s="22"/>
      <c r="I90" s="134">
        <f>Insumos_Jardinagem!H24</f>
        <v>161.7808333</v>
      </c>
    </row>
    <row r="91">
      <c r="A91" s="141"/>
      <c r="B91" s="141"/>
      <c r="C91" s="141"/>
      <c r="D91" s="141"/>
      <c r="E91" s="20" t="s">
        <v>125</v>
      </c>
      <c r="F91" s="21"/>
      <c r="G91" s="21"/>
      <c r="H91" s="22"/>
      <c r="I91" s="134">
        <f>Insumos_Jardinagem!H46</f>
        <v>214.1096111</v>
      </c>
    </row>
    <row r="92">
      <c r="A92" s="141"/>
      <c r="B92" s="141"/>
      <c r="C92" s="141"/>
      <c r="D92" s="141"/>
      <c r="E92" s="20" t="s">
        <v>126</v>
      </c>
      <c r="F92" s="21"/>
      <c r="G92" s="21"/>
      <c r="H92" s="22"/>
      <c r="I92" s="134">
        <f>Insumos_Jardinagem!H54</f>
        <v>218.5991667</v>
      </c>
    </row>
    <row r="93">
      <c r="A93" s="15"/>
      <c r="B93" s="15"/>
      <c r="H93" s="143" t="s">
        <v>45</v>
      </c>
      <c r="I93" s="54">
        <f>sum(I90:I92)</f>
        <v>594.4896111</v>
      </c>
    </row>
    <row r="94">
      <c r="A94" s="144"/>
      <c r="B94" s="144"/>
      <c r="C94" s="144"/>
      <c r="D94" s="144"/>
      <c r="E94" s="144"/>
      <c r="F94" s="144"/>
      <c r="G94" s="144"/>
      <c r="H94" s="144"/>
      <c r="I94" s="144"/>
    </row>
    <row r="95">
      <c r="A95" s="39" t="s">
        <v>127</v>
      </c>
      <c r="B95" s="40"/>
      <c r="C95" s="40"/>
      <c r="D95" s="40"/>
      <c r="E95" s="40"/>
      <c r="F95" s="40"/>
      <c r="G95" s="40"/>
      <c r="H95" s="40"/>
      <c r="I95" s="40"/>
    </row>
    <row r="96">
      <c r="A96" s="58"/>
      <c r="B96" s="145">
        <v>43836.0</v>
      </c>
      <c r="C96" s="146" t="s">
        <v>128</v>
      </c>
      <c r="D96" s="61"/>
      <c r="E96" s="61"/>
      <c r="F96" s="61"/>
      <c r="G96" s="147" t="s">
        <v>129</v>
      </c>
      <c r="H96" s="61"/>
      <c r="I96" s="148">
        <f>SUM(I21+I55+I69+I87+I93)</f>
        <v>3739.519611</v>
      </c>
    </row>
    <row r="97">
      <c r="A97" s="58"/>
      <c r="B97" s="103"/>
      <c r="C97" s="149" t="s">
        <v>130</v>
      </c>
      <c r="G97" s="70" t="s">
        <v>131</v>
      </c>
      <c r="I97" s="150">
        <v>0.15</v>
      </c>
    </row>
    <row r="98">
      <c r="A98" s="58"/>
      <c r="B98" s="114"/>
      <c r="C98" s="151"/>
      <c r="D98" s="17"/>
      <c r="E98" s="17"/>
      <c r="F98" s="17"/>
      <c r="G98" s="70" t="s">
        <v>132</v>
      </c>
      <c r="I98" s="152">
        <f>ROUND(I97*I96,2)</f>
        <v>560.93</v>
      </c>
    </row>
    <row r="99">
      <c r="A99" s="58"/>
      <c r="B99" s="145">
        <v>43867.0</v>
      </c>
      <c r="C99" s="146" t="s">
        <v>133</v>
      </c>
      <c r="D99" s="61"/>
      <c r="E99" s="61"/>
      <c r="F99" s="61"/>
      <c r="G99" s="147" t="s">
        <v>129</v>
      </c>
      <c r="H99" s="61"/>
      <c r="I99" s="148">
        <f>SUM(I21+I55+I69+I87+I93+I98)</f>
        <v>4300.449611</v>
      </c>
    </row>
    <row r="100">
      <c r="A100" s="58"/>
      <c r="B100" s="103"/>
      <c r="C100" s="149" t="s">
        <v>134</v>
      </c>
      <c r="G100" s="70" t="s">
        <v>131</v>
      </c>
      <c r="I100" s="150">
        <v>0.15</v>
      </c>
    </row>
    <row r="101">
      <c r="A101" s="58"/>
      <c r="B101" s="114"/>
      <c r="C101" s="151"/>
      <c r="D101" s="17"/>
      <c r="E101" s="17"/>
      <c r="F101" s="17"/>
      <c r="G101" s="70" t="s">
        <v>132</v>
      </c>
      <c r="I101" s="148">
        <f>ROUND(I100*I99,2)</f>
        <v>645.07</v>
      </c>
    </row>
    <row r="102">
      <c r="A102" s="58"/>
      <c r="B102" s="145">
        <v>43896.0</v>
      </c>
      <c r="C102" s="146" t="s">
        <v>135</v>
      </c>
      <c r="D102" s="153"/>
      <c r="E102" s="153"/>
      <c r="F102" s="153"/>
      <c r="G102" s="154"/>
      <c r="H102" s="154"/>
      <c r="I102" s="155">
        <f>SUM(I21+I55+I69+I87+I93+I98+I101)</f>
        <v>4945.519611</v>
      </c>
    </row>
    <row r="103">
      <c r="A103" s="58"/>
      <c r="B103" s="103"/>
      <c r="C103" s="156" t="s">
        <v>136</v>
      </c>
      <c r="H103" s="157">
        <f t="shared" ref="H103:I103" si="7">SUM(H104:H106)</f>
        <v>0.1225</v>
      </c>
      <c r="I103" s="158">
        <f t="shared" si="7"/>
        <v>690.4</v>
      </c>
    </row>
    <row r="104">
      <c r="A104" s="159"/>
      <c r="B104" s="103"/>
      <c r="C104" s="160"/>
      <c r="D104" s="161" t="s">
        <v>137</v>
      </c>
      <c r="E104" s="74"/>
      <c r="F104" s="162" t="s">
        <v>138</v>
      </c>
      <c r="G104" s="22"/>
      <c r="H104" s="163">
        <v>0.0165</v>
      </c>
      <c r="I104" s="164">
        <f t="shared" ref="I104:I106" si="8">ROUND((I$102/(1-$H$103))*$H104,2)</f>
        <v>92.99</v>
      </c>
    </row>
    <row r="105">
      <c r="A105" s="159"/>
      <c r="B105" s="103"/>
      <c r="C105" s="160"/>
      <c r="D105" s="151"/>
      <c r="E105" s="18"/>
      <c r="F105" s="162" t="s">
        <v>139</v>
      </c>
      <c r="G105" s="22"/>
      <c r="H105" s="163">
        <v>0.076</v>
      </c>
      <c r="I105" s="83">
        <f t="shared" si="8"/>
        <v>428.33</v>
      </c>
    </row>
    <row r="106">
      <c r="A106" s="159"/>
      <c r="B106" s="114"/>
      <c r="C106" s="165"/>
      <c r="D106" s="166" t="s">
        <v>140</v>
      </c>
      <c r="E106" s="166"/>
      <c r="F106" s="162" t="s">
        <v>141</v>
      </c>
      <c r="G106" s="22"/>
      <c r="H106" s="163">
        <v>0.03</v>
      </c>
      <c r="I106" s="83">
        <f t="shared" si="8"/>
        <v>169.08</v>
      </c>
    </row>
    <row r="107">
      <c r="A107" s="15"/>
      <c r="B107" s="88" t="s">
        <v>45</v>
      </c>
      <c r="H107" s="167">
        <f>SUM(I97+I100+H104+H105+H106)</f>
        <v>0.4225</v>
      </c>
      <c r="I107" s="54">
        <f>SUM(I98+I101+I103)</f>
        <v>1896.4</v>
      </c>
    </row>
    <row r="108">
      <c r="A108" s="37"/>
      <c r="B108" s="37"/>
      <c r="C108" s="37"/>
      <c r="D108" s="37"/>
      <c r="E108" s="37"/>
      <c r="F108" s="38"/>
      <c r="G108" s="38"/>
      <c r="H108" s="38"/>
      <c r="I108" s="38"/>
    </row>
    <row r="109">
      <c r="A109" s="168" t="s">
        <v>142</v>
      </c>
      <c r="B109" s="13"/>
      <c r="C109" s="13"/>
      <c r="D109" s="13"/>
      <c r="E109" s="13"/>
      <c r="F109" s="13"/>
      <c r="G109" s="13"/>
      <c r="H109" s="13"/>
      <c r="I109" s="169"/>
    </row>
    <row r="110">
      <c r="A110" s="170"/>
      <c r="B110" s="170"/>
      <c r="C110" s="16" t="str">
        <f>A16</f>
        <v>MÓDULO 1 - COMPOSIÇÃO DA REMUNERAÇÃO</v>
      </c>
      <c r="D110" s="17"/>
      <c r="E110" s="17"/>
      <c r="F110" s="17"/>
      <c r="G110" s="17"/>
      <c r="H110" s="18"/>
      <c r="I110" s="164">
        <f>I21</f>
        <v>1352.93</v>
      </c>
    </row>
    <row r="111">
      <c r="A111" s="170"/>
      <c r="B111" s="170"/>
      <c r="C111" s="20" t="str">
        <f>A23</f>
        <v>MÓDULO 2 - BENEFÍCIOS E ENCARGOS</v>
      </c>
      <c r="D111" s="21"/>
      <c r="E111" s="21"/>
      <c r="F111" s="21"/>
      <c r="G111" s="21"/>
      <c r="H111" s="22"/>
      <c r="I111" s="83">
        <f>I55</f>
        <v>1391.14</v>
      </c>
    </row>
    <row r="112">
      <c r="A112" s="170"/>
      <c r="B112" s="170"/>
      <c r="C112" s="20" t="str">
        <f>A57</f>
        <v>MÓDULO 3 - PROVISÃO PARA RESCISÃO</v>
      </c>
      <c r="D112" s="21"/>
      <c r="E112" s="21"/>
      <c r="F112" s="21"/>
      <c r="G112" s="21"/>
      <c r="H112" s="22"/>
      <c r="I112" s="83">
        <f>I69</f>
        <v>51.92</v>
      </c>
    </row>
    <row r="113">
      <c r="A113" s="170"/>
      <c r="B113" s="170"/>
      <c r="C113" s="20" t="str">
        <f>A71</f>
        <v>MÓDULO 4 - CUSTO DE REPOSIÇÃO DO PROFISSIONAL AUSENTE</v>
      </c>
      <c r="D113" s="21"/>
      <c r="E113" s="21"/>
      <c r="F113" s="21"/>
      <c r="G113" s="21"/>
      <c r="H113" s="22"/>
      <c r="I113" s="83">
        <f>I87</f>
        <v>349.04</v>
      </c>
    </row>
    <row r="114">
      <c r="A114" s="170"/>
      <c r="B114" s="170"/>
      <c r="C114" s="20" t="str">
        <f>A89</f>
        <v>MÓDULO 5 - INSUMOS</v>
      </c>
      <c r="D114" s="21"/>
      <c r="E114" s="21"/>
      <c r="F114" s="21"/>
      <c r="G114" s="21"/>
      <c r="H114" s="22"/>
      <c r="I114" s="83">
        <f>I93</f>
        <v>594.4896111</v>
      </c>
    </row>
    <row r="115">
      <c r="A115" s="170"/>
      <c r="B115" s="170"/>
      <c r="C115" s="20" t="str">
        <f>A95</f>
        <v>MÓDULO 6 - CUSTOS INDIRETOS, LUCRO E TRIBUTOS</v>
      </c>
      <c r="D115" s="21"/>
      <c r="E115" s="21"/>
      <c r="F115" s="21"/>
      <c r="G115" s="21"/>
      <c r="H115" s="22"/>
      <c r="I115" s="83">
        <f>I107</f>
        <v>1896.4</v>
      </c>
    </row>
    <row r="116">
      <c r="A116" s="170"/>
      <c r="B116" s="171"/>
      <c r="C116" s="172" t="s">
        <v>143</v>
      </c>
      <c r="D116" s="61"/>
      <c r="E116" s="61"/>
      <c r="F116" s="61"/>
      <c r="G116" s="61"/>
      <c r="H116" s="74"/>
      <c r="I116" s="54">
        <f>SUM(I110:I115)</f>
        <v>5635.919611</v>
      </c>
    </row>
    <row r="117">
      <c r="A117" s="173"/>
      <c r="B117" s="173"/>
      <c r="C117" s="174" t="s">
        <v>144</v>
      </c>
      <c r="H117" s="44"/>
      <c r="I117" s="175">
        <f>I11</f>
        <v>1</v>
      </c>
    </row>
    <row r="118">
      <c r="A118" s="176"/>
      <c r="B118" s="176"/>
      <c r="C118" s="176"/>
      <c r="D118" s="176"/>
      <c r="E118" s="176"/>
      <c r="F118" s="176"/>
      <c r="G118" s="176"/>
      <c r="H118" s="176"/>
      <c r="I118" s="176"/>
    </row>
    <row r="119">
      <c r="A119" s="177" t="s">
        <v>145</v>
      </c>
      <c r="B119" s="13"/>
      <c r="C119" s="13"/>
      <c r="D119" s="13"/>
      <c r="E119" s="13"/>
      <c r="F119" s="13"/>
      <c r="G119" s="13"/>
      <c r="H119" s="13"/>
      <c r="I119" s="14"/>
    </row>
    <row r="120" ht="30.75" customHeight="1">
      <c r="A120" s="15"/>
      <c r="B120" s="15"/>
      <c r="C120" s="15"/>
      <c r="D120" s="15"/>
      <c r="E120" s="15"/>
      <c r="F120" s="15"/>
      <c r="G120" s="15"/>
      <c r="H120" s="178"/>
      <c r="I120" s="179">
        <f>round(I116*I117,2)</f>
        <v>5635.92</v>
      </c>
    </row>
  </sheetData>
  <mergeCells count="147">
    <mergeCell ref="C39:H39"/>
    <mergeCell ref="C40:H40"/>
    <mergeCell ref="B33:H33"/>
    <mergeCell ref="B35:I35"/>
    <mergeCell ref="C36:H36"/>
    <mergeCell ref="I36:I37"/>
    <mergeCell ref="C37:H37"/>
    <mergeCell ref="C38:H38"/>
    <mergeCell ref="I38:I39"/>
    <mergeCell ref="A1:I1"/>
    <mergeCell ref="A2:I2"/>
    <mergeCell ref="A3:H3"/>
    <mergeCell ref="D4:H4"/>
    <mergeCell ref="D5:H5"/>
    <mergeCell ref="D6:H6"/>
    <mergeCell ref="D7:H7"/>
    <mergeCell ref="D8:H8"/>
    <mergeCell ref="D9:H9"/>
    <mergeCell ref="D11:D14"/>
    <mergeCell ref="F11:H11"/>
    <mergeCell ref="F12:H12"/>
    <mergeCell ref="F13:H13"/>
    <mergeCell ref="F14:H14"/>
    <mergeCell ref="C19:H19"/>
    <mergeCell ref="C20:H20"/>
    <mergeCell ref="A16:I16"/>
    <mergeCell ref="B17:B18"/>
    <mergeCell ref="C17:H17"/>
    <mergeCell ref="I17:I18"/>
    <mergeCell ref="C18:H18"/>
    <mergeCell ref="B19:B20"/>
    <mergeCell ref="I19:I20"/>
    <mergeCell ref="B26:B28"/>
    <mergeCell ref="B29:B30"/>
    <mergeCell ref="B31:B32"/>
    <mergeCell ref="B36:B37"/>
    <mergeCell ref="B38:B39"/>
    <mergeCell ref="B40:B41"/>
    <mergeCell ref="B21:H21"/>
    <mergeCell ref="A23:I23"/>
    <mergeCell ref="B25:I25"/>
    <mergeCell ref="C26:D27"/>
    <mergeCell ref="E26:H26"/>
    <mergeCell ref="E27:H27"/>
    <mergeCell ref="C28:F28"/>
    <mergeCell ref="C29:D29"/>
    <mergeCell ref="G29:H29"/>
    <mergeCell ref="C30:F30"/>
    <mergeCell ref="G30:H30"/>
    <mergeCell ref="C31:H31"/>
    <mergeCell ref="I31:I32"/>
    <mergeCell ref="C32:H32"/>
    <mergeCell ref="I40:I41"/>
    <mergeCell ref="C41:H41"/>
    <mergeCell ref="B42:H42"/>
    <mergeCell ref="B44:I44"/>
    <mergeCell ref="C45:G45"/>
    <mergeCell ref="C46:G46"/>
    <mergeCell ref="C47:G47"/>
    <mergeCell ref="C48:G48"/>
    <mergeCell ref="C49:G49"/>
    <mergeCell ref="C50:G50"/>
    <mergeCell ref="C51:G51"/>
    <mergeCell ref="C52:G52"/>
    <mergeCell ref="G55:H55"/>
    <mergeCell ref="A57:I57"/>
    <mergeCell ref="F58:H58"/>
    <mergeCell ref="I58:I59"/>
    <mergeCell ref="F59:H59"/>
    <mergeCell ref="F60:H60"/>
    <mergeCell ref="I60:I61"/>
    <mergeCell ref="F61:H61"/>
    <mergeCell ref="I62:I63"/>
    <mergeCell ref="C64:C68"/>
    <mergeCell ref="D64:D68"/>
    <mergeCell ref="E64:E66"/>
    <mergeCell ref="E67:E68"/>
    <mergeCell ref="B53:F53"/>
    <mergeCell ref="B58:B63"/>
    <mergeCell ref="C58:C63"/>
    <mergeCell ref="D58:D63"/>
    <mergeCell ref="E58:E60"/>
    <mergeCell ref="E61:E63"/>
    <mergeCell ref="B64:B68"/>
    <mergeCell ref="F62:H62"/>
    <mergeCell ref="F63:H63"/>
    <mergeCell ref="F64:H64"/>
    <mergeCell ref="I64:I65"/>
    <mergeCell ref="F65:H65"/>
    <mergeCell ref="F66:H66"/>
    <mergeCell ref="I67:I68"/>
    <mergeCell ref="C100:F101"/>
    <mergeCell ref="C103:G103"/>
    <mergeCell ref="F105:G105"/>
    <mergeCell ref="F106:G106"/>
    <mergeCell ref="C97:F98"/>
    <mergeCell ref="G97:H97"/>
    <mergeCell ref="G98:H98"/>
    <mergeCell ref="B99:B101"/>
    <mergeCell ref="C99:F99"/>
    <mergeCell ref="G99:H99"/>
    <mergeCell ref="B102:B106"/>
    <mergeCell ref="C115:H115"/>
    <mergeCell ref="C116:H116"/>
    <mergeCell ref="C117:H117"/>
    <mergeCell ref="A119:H119"/>
    <mergeCell ref="B107:G107"/>
    <mergeCell ref="A109:H109"/>
    <mergeCell ref="C110:H110"/>
    <mergeCell ref="C111:H111"/>
    <mergeCell ref="C112:H112"/>
    <mergeCell ref="C113:H113"/>
    <mergeCell ref="C114:H114"/>
    <mergeCell ref="F67:H67"/>
    <mergeCell ref="F68:H68"/>
    <mergeCell ref="B69:H69"/>
    <mergeCell ref="B70:I70"/>
    <mergeCell ref="A71:I71"/>
    <mergeCell ref="C72:H72"/>
    <mergeCell ref="I72:I73"/>
    <mergeCell ref="C73:H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96:F96"/>
    <mergeCell ref="G96:H96"/>
    <mergeCell ref="A89:I89"/>
    <mergeCell ref="E90:H90"/>
    <mergeCell ref="E91:H91"/>
    <mergeCell ref="E92:H92"/>
    <mergeCell ref="C93:G93"/>
    <mergeCell ref="A95:I95"/>
    <mergeCell ref="B96:B98"/>
    <mergeCell ref="G100:H100"/>
    <mergeCell ref="G101:H101"/>
    <mergeCell ref="D104:E105"/>
    <mergeCell ref="F104:G104"/>
  </mergeCells>
  <printOptions/>
  <pageMargins bottom="0.75" footer="0.0" header="0.0" left="0.7" right="0.7" top="0.75"/>
  <pageSetup fitToHeight="0"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.38"/>
    <col customWidth="1" min="2" max="2" width="3.63"/>
    <col customWidth="1" min="3" max="3" width="35.88"/>
    <col customWidth="1" min="4" max="4" width="5.88"/>
    <col customWidth="1" min="5" max="6" width="7.63"/>
    <col customWidth="1" min="7" max="7" width="5.88"/>
    <col customWidth="1" min="8" max="8" width="7.88"/>
  </cols>
  <sheetData>
    <row r="1">
      <c r="A1" s="180" t="s">
        <v>146</v>
      </c>
    </row>
    <row r="2">
      <c r="A2" s="181" t="s">
        <v>232</v>
      </c>
    </row>
    <row r="3">
      <c r="A3" s="182"/>
      <c r="B3" s="182"/>
      <c r="C3" s="182"/>
      <c r="D3" s="182"/>
      <c r="E3" s="182"/>
      <c r="F3" s="182"/>
      <c r="G3" s="182"/>
      <c r="H3" s="182"/>
    </row>
    <row r="4">
      <c r="A4" s="203" t="s">
        <v>124</v>
      </c>
      <c r="B4" s="204"/>
      <c r="C4" s="204"/>
      <c r="D4" s="204"/>
      <c r="E4" s="204"/>
      <c r="F4" s="204"/>
      <c r="G4" s="204"/>
      <c r="H4" s="204"/>
    </row>
    <row r="5">
      <c r="A5" s="184"/>
      <c r="B5" s="185" t="s">
        <v>148</v>
      </c>
      <c r="C5" s="185" t="s">
        <v>149</v>
      </c>
      <c r="D5" s="186" t="s">
        <v>150</v>
      </c>
      <c r="E5" s="187" t="s">
        <v>151</v>
      </c>
      <c r="F5" s="188" t="s">
        <v>152</v>
      </c>
      <c r="G5" s="186" t="s">
        <v>153</v>
      </c>
      <c r="H5" s="188" t="s">
        <v>154</v>
      </c>
    </row>
    <row r="6">
      <c r="A6" s="189"/>
      <c r="B6" s="190">
        <v>1.0</v>
      </c>
      <c r="C6" s="191" t="s">
        <v>155</v>
      </c>
      <c r="D6" s="192">
        <v>5.0</v>
      </c>
      <c r="E6" s="193">
        <v>70.4</v>
      </c>
      <c r="F6" s="194">
        <f t="shared" ref="F6:F23" si="1">D6*E6</f>
        <v>352</v>
      </c>
      <c r="G6" s="192">
        <v>12.0</v>
      </c>
      <c r="H6" s="194">
        <f t="shared" ref="H6:H23" si="2">F6/G6</f>
        <v>29.33333333</v>
      </c>
    </row>
    <row r="7">
      <c r="A7" s="189"/>
      <c r="B7" s="192">
        <v>2.0</v>
      </c>
      <c r="C7" s="195" t="s">
        <v>156</v>
      </c>
      <c r="D7" s="192">
        <v>5.0</v>
      </c>
      <c r="E7" s="193">
        <v>51.25</v>
      </c>
      <c r="F7" s="194">
        <f t="shared" si="1"/>
        <v>256.25</v>
      </c>
      <c r="G7" s="192">
        <v>12.0</v>
      </c>
      <c r="H7" s="194">
        <f t="shared" si="2"/>
        <v>21.35416667</v>
      </c>
    </row>
    <row r="8">
      <c r="A8" s="189"/>
      <c r="B8" s="192">
        <v>3.0</v>
      </c>
      <c r="C8" s="195" t="s">
        <v>157</v>
      </c>
      <c r="D8" s="192">
        <v>3.0</v>
      </c>
      <c r="E8" s="193">
        <v>60.68</v>
      </c>
      <c r="F8" s="194">
        <f t="shared" si="1"/>
        <v>182.04</v>
      </c>
      <c r="G8" s="192">
        <v>12.0</v>
      </c>
      <c r="H8" s="194">
        <f t="shared" si="2"/>
        <v>15.17</v>
      </c>
    </row>
    <row r="9">
      <c r="A9" s="189"/>
      <c r="B9" s="192">
        <v>4.0</v>
      </c>
      <c r="C9" s="195" t="s">
        <v>158</v>
      </c>
      <c r="D9" s="192">
        <v>2.0</v>
      </c>
      <c r="E9" s="193">
        <v>84.75</v>
      </c>
      <c r="F9" s="194">
        <f t="shared" si="1"/>
        <v>169.5</v>
      </c>
      <c r="G9" s="192">
        <v>12.0</v>
      </c>
      <c r="H9" s="194">
        <f t="shared" si="2"/>
        <v>14.125</v>
      </c>
    </row>
    <row r="10">
      <c r="A10" s="189"/>
      <c r="B10" s="192">
        <v>5.0</v>
      </c>
      <c r="C10" s="195" t="s">
        <v>159</v>
      </c>
      <c r="D10" s="192">
        <v>1.0</v>
      </c>
      <c r="E10" s="193">
        <v>143.7</v>
      </c>
      <c r="F10" s="194">
        <f t="shared" si="1"/>
        <v>143.7</v>
      </c>
      <c r="G10" s="192">
        <v>24.0</v>
      </c>
      <c r="H10" s="194">
        <f t="shared" si="2"/>
        <v>5.9875</v>
      </c>
    </row>
    <row r="11">
      <c r="A11" s="189"/>
      <c r="B11" s="192">
        <v>6.0</v>
      </c>
      <c r="C11" s="195" t="s">
        <v>160</v>
      </c>
      <c r="D11" s="192">
        <v>3.0</v>
      </c>
      <c r="E11" s="193">
        <v>62.93</v>
      </c>
      <c r="F11" s="194">
        <f t="shared" si="1"/>
        <v>188.79</v>
      </c>
      <c r="G11" s="192">
        <v>12.0</v>
      </c>
      <c r="H11" s="194">
        <f t="shared" si="2"/>
        <v>15.7325</v>
      </c>
    </row>
    <row r="12">
      <c r="A12" s="189"/>
      <c r="B12" s="192">
        <v>7.0</v>
      </c>
      <c r="C12" s="195" t="s">
        <v>163</v>
      </c>
      <c r="D12" s="192">
        <v>1.0</v>
      </c>
      <c r="E12" s="193">
        <v>15.76</v>
      </c>
      <c r="F12" s="194">
        <f t="shared" si="1"/>
        <v>15.76</v>
      </c>
      <c r="G12" s="192">
        <v>12.0</v>
      </c>
      <c r="H12" s="194">
        <f t="shared" si="2"/>
        <v>1.313333333</v>
      </c>
    </row>
    <row r="13">
      <c r="A13" s="189"/>
      <c r="B13" s="192">
        <v>8.0</v>
      </c>
      <c r="C13" s="195" t="s">
        <v>164</v>
      </c>
      <c r="D13" s="192">
        <v>1.0</v>
      </c>
      <c r="E13" s="193">
        <v>5.41</v>
      </c>
      <c r="F13" s="194">
        <f t="shared" si="1"/>
        <v>5.41</v>
      </c>
      <c r="G13" s="192">
        <v>4.0</v>
      </c>
      <c r="H13" s="194">
        <f t="shared" si="2"/>
        <v>1.3525</v>
      </c>
    </row>
    <row r="14">
      <c r="A14" s="189"/>
      <c r="B14" s="192">
        <v>9.0</v>
      </c>
      <c r="C14" s="195" t="s">
        <v>165</v>
      </c>
      <c r="D14" s="192">
        <v>1.0</v>
      </c>
      <c r="E14" s="193">
        <v>3.46</v>
      </c>
      <c r="F14" s="194">
        <f t="shared" si="1"/>
        <v>3.46</v>
      </c>
      <c r="G14" s="192">
        <v>4.0</v>
      </c>
      <c r="H14" s="194">
        <f t="shared" si="2"/>
        <v>0.865</v>
      </c>
    </row>
    <row r="15">
      <c r="A15" s="189"/>
      <c r="B15" s="192">
        <v>10.0</v>
      </c>
      <c r="C15" s="195" t="s">
        <v>166</v>
      </c>
      <c r="D15" s="192">
        <v>1.0</v>
      </c>
      <c r="E15" s="193">
        <v>15.56</v>
      </c>
      <c r="F15" s="194">
        <f t="shared" si="1"/>
        <v>15.56</v>
      </c>
      <c r="G15" s="192">
        <v>3.0</v>
      </c>
      <c r="H15" s="194">
        <f t="shared" si="2"/>
        <v>5.186666667</v>
      </c>
    </row>
    <row r="16">
      <c r="A16" s="189"/>
      <c r="B16" s="192">
        <v>11.0</v>
      </c>
      <c r="C16" s="195" t="s">
        <v>167</v>
      </c>
      <c r="D16" s="192">
        <v>1.0</v>
      </c>
      <c r="E16" s="193">
        <v>13.34</v>
      </c>
      <c r="F16" s="194">
        <f t="shared" si="1"/>
        <v>13.34</v>
      </c>
      <c r="G16" s="192">
        <v>4.0</v>
      </c>
      <c r="H16" s="194">
        <f t="shared" si="2"/>
        <v>3.335</v>
      </c>
    </row>
    <row r="17">
      <c r="A17" s="189"/>
      <c r="B17" s="192">
        <v>12.0</v>
      </c>
      <c r="C17" s="195" t="s">
        <v>168</v>
      </c>
      <c r="D17" s="192">
        <v>1.0</v>
      </c>
      <c r="E17" s="193">
        <v>2.52</v>
      </c>
      <c r="F17" s="194">
        <f t="shared" si="1"/>
        <v>2.52</v>
      </c>
      <c r="G17" s="192">
        <v>1.0</v>
      </c>
      <c r="H17" s="194">
        <f t="shared" si="2"/>
        <v>2.52</v>
      </c>
    </row>
    <row r="18">
      <c r="A18" s="189"/>
      <c r="B18" s="192">
        <v>13.0</v>
      </c>
      <c r="C18" s="195" t="s">
        <v>169</v>
      </c>
      <c r="D18" s="192">
        <v>3.0</v>
      </c>
      <c r="E18" s="193">
        <v>8.19</v>
      </c>
      <c r="F18" s="194">
        <f t="shared" si="1"/>
        <v>24.57</v>
      </c>
      <c r="G18" s="192">
        <v>1.0</v>
      </c>
      <c r="H18" s="194">
        <f t="shared" si="2"/>
        <v>24.57</v>
      </c>
    </row>
    <row r="19">
      <c r="A19" s="189"/>
      <c r="B19" s="192">
        <v>14.0</v>
      </c>
      <c r="C19" s="195" t="s">
        <v>170</v>
      </c>
      <c r="D19" s="192">
        <v>1.0</v>
      </c>
      <c r="E19" s="193">
        <v>4.01</v>
      </c>
      <c r="F19" s="194">
        <f t="shared" si="1"/>
        <v>4.01</v>
      </c>
      <c r="G19" s="192">
        <v>3.0</v>
      </c>
      <c r="H19" s="194">
        <f t="shared" si="2"/>
        <v>1.336666667</v>
      </c>
    </row>
    <row r="20">
      <c r="A20" s="189"/>
      <c r="B20" s="192">
        <v>15.0</v>
      </c>
      <c r="C20" s="195" t="s">
        <v>238</v>
      </c>
      <c r="D20" s="192">
        <v>1.0</v>
      </c>
      <c r="E20" s="193">
        <v>43.77</v>
      </c>
      <c r="F20" s="194">
        <f t="shared" si="1"/>
        <v>43.77</v>
      </c>
      <c r="G20" s="192">
        <v>12.0</v>
      </c>
      <c r="H20" s="194">
        <f t="shared" si="2"/>
        <v>3.6475</v>
      </c>
    </row>
    <row r="21">
      <c r="A21" s="189"/>
      <c r="B21" s="192">
        <v>16.0</v>
      </c>
      <c r="C21" s="195" t="s">
        <v>239</v>
      </c>
      <c r="D21" s="192">
        <v>1.0</v>
      </c>
      <c r="E21" s="193">
        <v>34.76</v>
      </c>
      <c r="F21" s="194">
        <f t="shared" si="1"/>
        <v>34.76</v>
      </c>
      <c r="G21" s="192">
        <v>12.0</v>
      </c>
      <c r="H21" s="194">
        <f t="shared" si="2"/>
        <v>2.896666667</v>
      </c>
    </row>
    <row r="22">
      <c r="A22" s="189"/>
      <c r="B22" s="192">
        <v>17.0</v>
      </c>
      <c r="C22" s="195" t="s">
        <v>240</v>
      </c>
      <c r="D22" s="192">
        <v>2.0</v>
      </c>
      <c r="E22" s="193">
        <v>18.33</v>
      </c>
      <c r="F22" s="194">
        <f t="shared" si="1"/>
        <v>36.66</v>
      </c>
      <c r="G22" s="192">
        <v>12.0</v>
      </c>
      <c r="H22" s="194">
        <f t="shared" si="2"/>
        <v>3.055</v>
      </c>
    </row>
    <row r="23">
      <c r="A23" s="189"/>
      <c r="B23" s="192">
        <v>18.0</v>
      </c>
      <c r="C23" s="195" t="s">
        <v>171</v>
      </c>
      <c r="D23" s="192">
        <v>1.0</v>
      </c>
      <c r="E23" s="193">
        <v>10.0</v>
      </c>
      <c r="F23" s="194">
        <f t="shared" si="1"/>
        <v>10</v>
      </c>
      <c r="G23" s="192">
        <v>1.0</v>
      </c>
      <c r="H23" s="194">
        <f t="shared" si="2"/>
        <v>10</v>
      </c>
    </row>
    <row r="24">
      <c r="A24" s="196"/>
      <c r="B24" s="184"/>
      <c r="C24" s="184"/>
      <c r="D24" s="184"/>
      <c r="E24" s="197" t="s">
        <v>172</v>
      </c>
      <c r="F24" s="21"/>
      <c r="G24" s="21"/>
      <c r="H24" s="198">
        <f>SUM(H6:H23)</f>
        <v>161.7808333</v>
      </c>
    </row>
    <row r="25">
      <c r="A25" s="205" t="s">
        <v>125</v>
      </c>
      <c r="B25" s="204"/>
      <c r="C25" s="204"/>
      <c r="D25" s="204"/>
      <c r="E25" s="204"/>
      <c r="F25" s="204"/>
      <c r="G25" s="204"/>
      <c r="H25" s="204"/>
    </row>
    <row r="26">
      <c r="A26" s="184"/>
      <c r="B26" s="185" t="s">
        <v>148</v>
      </c>
      <c r="C26" s="185" t="s">
        <v>149</v>
      </c>
      <c r="D26" s="186" t="s">
        <v>150</v>
      </c>
      <c r="E26" s="187" t="s">
        <v>151</v>
      </c>
      <c r="F26" s="188" t="s">
        <v>152</v>
      </c>
      <c r="G26" s="186" t="s">
        <v>153</v>
      </c>
      <c r="H26" s="188" t="s">
        <v>154</v>
      </c>
    </row>
    <row r="27">
      <c r="A27" s="189"/>
      <c r="B27" s="190">
        <v>1.0</v>
      </c>
      <c r="C27" s="191" t="s">
        <v>241</v>
      </c>
      <c r="D27" s="192">
        <v>1.0</v>
      </c>
      <c r="E27" s="193">
        <v>2229.03</v>
      </c>
      <c r="F27" s="194">
        <f t="shared" ref="F27:F45" si="3">D27*E27</f>
        <v>2229.03</v>
      </c>
      <c r="G27" s="192">
        <v>60.0</v>
      </c>
      <c r="H27" s="194">
        <f t="shared" ref="H27:H45" si="4">F27/G27</f>
        <v>37.1505</v>
      </c>
    </row>
    <row r="28">
      <c r="A28" s="189"/>
      <c r="B28" s="192">
        <v>2.0</v>
      </c>
      <c r="C28" s="195" t="s">
        <v>242</v>
      </c>
      <c r="D28" s="192">
        <v>1.0</v>
      </c>
      <c r="E28" s="193">
        <v>2993.92</v>
      </c>
      <c r="F28" s="194">
        <f t="shared" si="3"/>
        <v>2993.92</v>
      </c>
      <c r="G28" s="192">
        <v>60.0</v>
      </c>
      <c r="H28" s="194">
        <f t="shared" si="4"/>
        <v>49.89866667</v>
      </c>
    </row>
    <row r="29">
      <c r="A29" s="189"/>
      <c r="B29" s="192">
        <v>3.0</v>
      </c>
      <c r="C29" s="195" t="s">
        <v>243</v>
      </c>
      <c r="D29" s="192">
        <v>1.0</v>
      </c>
      <c r="E29" s="193">
        <v>1522.47</v>
      </c>
      <c r="F29" s="194">
        <f t="shared" si="3"/>
        <v>1522.47</v>
      </c>
      <c r="G29" s="192">
        <v>60.0</v>
      </c>
      <c r="H29" s="194">
        <f t="shared" si="4"/>
        <v>25.3745</v>
      </c>
    </row>
    <row r="30">
      <c r="A30" s="189"/>
      <c r="B30" s="192">
        <v>4.0</v>
      </c>
      <c r="C30" s="195" t="s">
        <v>244</v>
      </c>
      <c r="D30" s="192">
        <v>1.0</v>
      </c>
      <c r="E30" s="193">
        <v>3493.52</v>
      </c>
      <c r="F30" s="194">
        <f t="shared" si="3"/>
        <v>3493.52</v>
      </c>
      <c r="G30" s="192">
        <v>60.0</v>
      </c>
      <c r="H30" s="194">
        <f t="shared" si="4"/>
        <v>58.22533333</v>
      </c>
    </row>
    <row r="31">
      <c r="A31" s="189"/>
      <c r="B31" s="192">
        <v>5.0</v>
      </c>
      <c r="C31" s="195" t="s">
        <v>245</v>
      </c>
      <c r="D31" s="192">
        <v>1.0</v>
      </c>
      <c r="E31" s="193">
        <v>459.64</v>
      </c>
      <c r="F31" s="194">
        <f t="shared" si="3"/>
        <v>459.64</v>
      </c>
      <c r="G31" s="192">
        <v>120.0</v>
      </c>
      <c r="H31" s="194">
        <f t="shared" si="4"/>
        <v>3.830333333</v>
      </c>
    </row>
    <row r="32">
      <c r="A32" s="189"/>
      <c r="B32" s="192">
        <v>6.0</v>
      </c>
      <c r="C32" s="195" t="s">
        <v>246</v>
      </c>
      <c r="D32" s="192">
        <v>1.0</v>
      </c>
      <c r="E32" s="193">
        <v>157.4</v>
      </c>
      <c r="F32" s="194">
        <f t="shared" si="3"/>
        <v>157.4</v>
      </c>
      <c r="G32" s="192">
        <v>36.0</v>
      </c>
      <c r="H32" s="194">
        <f t="shared" si="4"/>
        <v>4.372222222</v>
      </c>
    </row>
    <row r="33">
      <c r="A33" s="189"/>
      <c r="B33" s="192">
        <v>7.0</v>
      </c>
      <c r="C33" s="195" t="s">
        <v>247</v>
      </c>
      <c r="D33" s="192">
        <v>1.0</v>
      </c>
      <c r="E33" s="193">
        <v>43.11</v>
      </c>
      <c r="F33" s="194">
        <f t="shared" si="3"/>
        <v>43.11</v>
      </c>
      <c r="G33" s="192">
        <v>36.0</v>
      </c>
      <c r="H33" s="194">
        <f t="shared" si="4"/>
        <v>1.1975</v>
      </c>
    </row>
    <row r="34">
      <c r="A34" s="189"/>
      <c r="B34" s="192">
        <v>8.0</v>
      </c>
      <c r="C34" s="195" t="s">
        <v>248</v>
      </c>
      <c r="D34" s="192">
        <v>1.0</v>
      </c>
      <c r="E34" s="193">
        <v>39.85</v>
      </c>
      <c r="F34" s="194">
        <f t="shared" si="3"/>
        <v>39.85</v>
      </c>
      <c r="G34" s="192">
        <v>36.0</v>
      </c>
      <c r="H34" s="194">
        <f t="shared" si="4"/>
        <v>1.106944444</v>
      </c>
    </row>
    <row r="35">
      <c r="A35" s="189"/>
      <c r="B35" s="192">
        <v>9.0</v>
      </c>
      <c r="C35" s="191" t="s">
        <v>249</v>
      </c>
      <c r="D35" s="192">
        <v>1.0</v>
      </c>
      <c r="E35" s="193">
        <v>248.5</v>
      </c>
      <c r="F35" s="194">
        <f t="shared" si="3"/>
        <v>248.5</v>
      </c>
      <c r="G35" s="192">
        <v>36.0</v>
      </c>
      <c r="H35" s="194">
        <f t="shared" si="4"/>
        <v>6.902777778</v>
      </c>
    </row>
    <row r="36">
      <c r="A36" s="189"/>
      <c r="B36" s="192">
        <v>10.0</v>
      </c>
      <c r="C36" s="191" t="s">
        <v>250</v>
      </c>
      <c r="D36" s="192">
        <v>1.0</v>
      </c>
      <c r="E36" s="193">
        <v>22.97</v>
      </c>
      <c r="F36" s="194">
        <f t="shared" si="3"/>
        <v>22.97</v>
      </c>
      <c r="G36" s="192">
        <v>12.0</v>
      </c>
      <c r="H36" s="194">
        <f t="shared" si="4"/>
        <v>1.914166667</v>
      </c>
    </row>
    <row r="37">
      <c r="A37" s="189"/>
      <c r="B37" s="192">
        <v>11.0</v>
      </c>
      <c r="C37" s="191" t="s">
        <v>251</v>
      </c>
      <c r="D37" s="192">
        <v>1.0</v>
      </c>
      <c r="E37" s="193">
        <v>29.53</v>
      </c>
      <c r="F37" s="194">
        <f t="shared" si="3"/>
        <v>29.53</v>
      </c>
      <c r="G37" s="192">
        <v>4.0</v>
      </c>
      <c r="H37" s="194">
        <f t="shared" si="4"/>
        <v>7.3825</v>
      </c>
    </row>
    <row r="38">
      <c r="A38" s="189"/>
      <c r="B38" s="192">
        <v>12.0</v>
      </c>
      <c r="C38" s="191" t="s">
        <v>252</v>
      </c>
      <c r="D38" s="192">
        <v>1.0</v>
      </c>
      <c r="E38" s="193">
        <v>23.47</v>
      </c>
      <c r="F38" s="194">
        <f t="shared" si="3"/>
        <v>23.47</v>
      </c>
      <c r="G38" s="192">
        <v>60.0</v>
      </c>
      <c r="H38" s="194">
        <f t="shared" si="4"/>
        <v>0.3911666667</v>
      </c>
    </row>
    <row r="39">
      <c r="A39" s="189"/>
      <c r="B39" s="192">
        <v>13.0</v>
      </c>
      <c r="C39" s="191" t="s">
        <v>253</v>
      </c>
      <c r="D39" s="192">
        <v>1.0</v>
      </c>
      <c r="E39" s="193">
        <v>30.29</v>
      </c>
      <c r="F39" s="194">
        <f t="shared" si="3"/>
        <v>30.29</v>
      </c>
      <c r="G39" s="192">
        <v>12.0</v>
      </c>
      <c r="H39" s="194">
        <f t="shared" si="4"/>
        <v>2.524166667</v>
      </c>
    </row>
    <row r="40">
      <c r="A40" s="189"/>
      <c r="B40" s="192">
        <v>14.0</v>
      </c>
      <c r="C40" s="191" t="s">
        <v>254</v>
      </c>
      <c r="D40" s="192">
        <v>1.0</v>
      </c>
      <c r="E40" s="193">
        <v>38.42</v>
      </c>
      <c r="F40" s="194">
        <f t="shared" si="3"/>
        <v>38.42</v>
      </c>
      <c r="G40" s="192">
        <v>60.0</v>
      </c>
      <c r="H40" s="194">
        <f t="shared" si="4"/>
        <v>0.6403333333</v>
      </c>
    </row>
    <row r="41">
      <c r="A41" s="189"/>
      <c r="B41" s="192">
        <v>15.0</v>
      </c>
      <c r="C41" s="191" t="s">
        <v>255</v>
      </c>
      <c r="D41" s="192">
        <v>1.0</v>
      </c>
      <c r="E41" s="193">
        <v>38.18</v>
      </c>
      <c r="F41" s="194">
        <f t="shared" si="3"/>
        <v>38.18</v>
      </c>
      <c r="G41" s="192">
        <v>60.0</v>
      </c>
      <c r="H41" s="194">
        <f t="shared" si="4"/>
        <v>0.6363333333</v>
      </c>
    </row>
    <row r="42">
      <c r="A42" s="189"/>
      <c r="B42" s="192">
        <v>16.0</v>
      </c>
      <c r="C42" s="191" t="s">
        <v>256</v>
      </c>
      <c r="D42" s="192">
        <v>1.0</v>
      </c>
      <c r="E42" s="193">
        <v>44.48</v>
      </c>
      <c r="F42" s="194">
        <f t="shared" si="3"/>
        <v>44.48</v>
      </c>
      <c r="G42" s="192">
        <v>60.0</v>
      </c>
      <c r="H42" s="194">
        <f t="shared" si="4"/>
        <v>0.7413333333</v>
      </c>
    </row>
    <row r="43">
      <c r="A43" s="189"/>
      <c r="B43" s="192">
        <v>17.0</v>
      </c>
      <c r="C43" s="191" t="s">
        <v>257</v>
      </c>
      <c r="D43" s="192">
        <v>1.0</v>
      </c>
      <c r="E43" s="193">
        <v>42.93</v>
      </c>
      <c r="F43" s="194">
        <f t="shared" si="3"/>
        <v>42.93</v>
      </c>
      <c r="G43" s="192">
        <v>60.0</v>
      </c>
      <c r="H43" s="194">
        <f t="shared" si="4"/>
        <v>0.7155</v>
      </c>
    </row>
    <row r="44">
      <c r="A44" s="189"/>
      <c r="B44" s="192">
        <v>18.0</v>
      </c>
      <c r="C44" s="191" t="s">
        <v>258</v>
      </c>
      <c r="D44" s="192">
        <v>1.0</v>
      </c>
      <c r="E44" s="193">
        <v>66.32</v>
      </c>
      <c r="F44" s="194">
        <f t="shared" si="3"/>
        <v>66.32</v>
      </c>
      <c r="G44" s="192">
        <v>60.0</v>
      </c>
      <c r="H44" s="194">
        <f t="shared" si="4"/>
        <v>1.105333333</v>
      </c>
    </row>
    <row r="45">
      <c r="A45" s="189"/>
      <c r="B45" s="192">
        <v>19.0</v>
      </c>
      <c r="C45" s="191" t="s">
        <v>175</v>
      </c>
      <c r="D45" s="192">
        <v>1.0</v>
      </c>
      <c r="E45" s="193">
        <v>10.0</v>
      </c>
      <c r="F45" s="194">
        <f t="shared" si="3"/>
        <v>10</v>
      </c>
      <c r="G45" s="192">
        <v>1.0</v>
      </c>
      <c r="H45" s="194">
        <f t="shared" si="4"/>
        <v>10</v>
      </c>
    </row>
    <row r="46">
      <c r="A46" s="196"/>
      <c r="B46" s="184"/>
      <c r="C46" s="184"/>
      <c r="D46" s="184"/>
      <c r="E46" s="197" t="s">
        <v>172</v>
      </c>
      <c r="F46" s="21"/>
      <c r="G46" s="21"/>
      <c r="H46" s="198">
        <f>SUM(H27:H45)</f>
        <v>214.1096111</v>
      </c>
    </row>
    <row r="47">
      <c r="A47" s="203" t="s">
        <v>126</v>
      </c>
      <c r="B47" s="204"/>
      <c r="C47" s="204"/>
      <c r="D47" s="204"/>
      <c r="E47" s="204"/>
      <c r="F47" s="204"/>
      <c r="G47" s="204"/>
      <c r="H47" s="204"/>
    </row>
    <row r="48">
      <c r="A48" s="184"/>
      <c r="B48" s="185" t="s">
        <v>148</v>
      </c>
      <c r="C48" s="185" t="s">
        <v>149</v>
      </c>
      <c r="D48" s="186" t="s">
        <v>150</v>
      </c>
      <c r="E48" s="187" t="s">
        <v>151</v>
      </c>
      <c r="F48" s="188" t="s">
        <v>152</v>
      </c>
      <c r="G48" s="186" t="s">
        <v>153</v>
      </c>
      <c r="H48" s="188" t="s">
        <v>154</v>
      </c>
    </row>
    <row r="49">
      <c r="A49" s="189"/>
      <c r="B49" s="190">
        <v>1.0</v>
      </c>
      <c r="C49" s="191" t="s">
        <v>259</v>
      </c>
      <c r="D49" s="192">
        <v>300.0</v>
      </c>
      <c r="E49" s="193">
        <v>6.25</v>
      </c>
      <c r="F49" s="194">
        <f t="shared" ref="F49:F53" si="5">D49*E49</f>
        <v>1875</v>
      </c>
      <c r="G49" s="192">
        <v>12.0</v>
      </c>
      <c r="H49" s="194">
        <f t="shared" ref="H49:H53" si="6">F49/G49</f>
        <v>156.25</v>
      </c>
    </row>
    <row r="50">
      <c r="A50" s="189"/>
      <c r="B50" s="192">
        <v>2.0</v>
      </c>
      <c r="C50" s="195" t="s">
        <v>260</v>
      </c>
      <c r="D50" s="192">
        <v>6.0</v>
      </c>
      <c r="E50" s="193">
        <v>50.54</v>
      </c>
      <c r="F50" s="194">
        <f t="shared" si="5"/>
        <v>303.24</v>
      </c>
      <c r="G50" s="192">
        <v>12.0</v>
      </c>
      <c r="H50" s="194">
        <f t="shared" si="6"/>
        <v>25.27</v>
      </c>
    </row>
    <row r="51">
      <c r="A51" s="189"/>
      <c r="B51" s="192">
        <v>3.0</v>
      </c>
      <c r="C51" s="195" t="s">
        <v>261</v>
      </c>
      <c r="D51" s="192">
        <v>5.0</v>
      </c>
      <c r="E51" s="193">
        <v>26.52</v>
      </c>
      <c r="F51" s="194">
        <f t="shared" si="5"/>
        <v>132.6</v>
      </c>
      <c r="G51" s="192">
        <v>12.0</v>
      </c>
      <c r="H51" s="194">
        <f t="shared" si="6"/>
        <v>11.05</v>
      </c>
    </row>
    <row r="52">
      <c r="A52" s="189"/>
      <c r="B52" s="192">
        <v>4.0</v>
      </c>
      <c r="C52" s="195" t="s">
        <v>262</v>
      </c>
      <c r="D52" s="192">
        <v>5.0</v>
      </c>
      <c r="E52" s="193">
        <v>38.47</v>
      </c>
      <c r="F52" s="194">
        <f t="shared" si="5"/>
        <v>192.35</v>
      </c>
      <c r="G52" s="192">
        <v>12.0</v>
      </c>
      <c r="H52" s="194">
        <f t="shared" si="6"/>
        <v>16.02916667</v>
      </c>
    </row>
    <row r="53">
      <c r="A53" s="189"/>
      <c r="B53" s="192">
        <v>5.0</v>
      </c>
      <c r="C53" s="195" t="s">
        <v>231</v>
      </c>
      <c r="D53" s="192">
        <v>1.0</v>
      </c>
      <c r="E53" s="193">
        <v>10.0</v>
      </c>
      <c r="F53" s="194">
        <f t="shared" si="5"/>
        <v>10</v>
      </c>
      <c r="G53" s="192">
        <v>1.0</v>
      </c>
      <c r="H53" s="194">
        <f t="shared" si="6"/>
        <v>10</v>
      </c>
    </row>
    <row r="54">
      <c r="A54" s="196"/>
      <c r="B54" s="184"/>
      <c r="C54" s="184"/>
      <c r="D54" s="184"/>
      <c r="E54" s="197" t="s">
        <v>172</v>
      </c>
      <c r="F54" s="21"/>
      <c r="G54" s="21"/>
      <c r="H54" s="198">
        <f>SUM(H49:H53)</f>
        <v>218.5991667</v>
      </c>
    </row>
    <row r="55">
      <c r="A55" s="182"/>
      <c r="B55" s="182"/>
      <c r="C55" s="182"/>
      <c r="D55" s="182"/>
      <c r="E55" s="182"/>
      <c r="F55" s="182"/>
      <c r="G55" s="182"/>
      <c r="H55" s="182"/>
    </row>
  </sheetData>
  <mergeCells count="8">
    <mergeCell ref="A1:H1"/>
    <mergeCell ref="A2:H2"/>
    <mergeCell ref="A4:H4"/>
    <mergeCell ref="E24:G24"/>
    <mergeCell ref="A25:H25"/>
    <mergeCell ref="E46:G46"/>
    <mergeCell ref="A47:H47"/>
    <mergeCell ref="E54:G54"/>
  </mergeCells>
  <printOptions/>
  <pageMargins bottom="0.75" footer="0.0" header="0.0" left="0.7" right="0.7" top="0.75"/>
  <pageSetup paperSize="9" scale="8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2020-09-03T18:06:06Z</dcterms:created>
  <dc:creator>Matheus Welter</dc:creator>
</cp:coreProperties>
</file>