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Pessoal\Desktop\"/>
    </mc:Choice>
  </mc:AlternateContent>
  <xr:revisionPtr revIDLastSave="0" documentId="8_{1D53CDF0-318B-4055-AD9B-0594ED38D21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2x36 diurno" sheetId="2" r:id="rId1"/>
    <sheet name="12x36 noturno" sheetId="3" r:id="rId2"/>
    <sheet name="22 horas" sheetId="4" r:id="rId3"/>
    <sheet name="Quadro Valor Global" sheetId="5" r:id="rId4"/>
  </sheets>
  <calcPr calcId="191029"/>
  <extLst>
    <ext uri="GoogleSheetsCustomDataVersion2">
      <go:sheetsCustomData xmlns:go="http://customooxmlschemas.google.com/" r:id="rId9" roundtripDataChecksum="Y6OjaK6JHdFGiWpk8KOF1X0sqV86HtHZKdJFEsPqAY4="/>
    </ext>
  </extLst>
</workbook>
</file>

<file path=xl/calcChain.xml><?xml version="1.0" encoding="utf-8"?>
<calcChain xmlns="http://schemas.openxmlformats.org/spreadsheetml/2006/main">
  <c r="I8" i="5" l="1"/>
  <c r="I9" i="5" s="1"/>
  <c r="J7" i="5"/>
  <c r="J6" i="5"/>
  <c r="J5" i="5"/>
  <c r="I202" i="4"/>
  <c r="I201" i="4"/>
  <c r="I198" i="4"/>
  <c r="I199" i="4" s="1"/>
  <c r="I134" i="4" s="1"/>
  <c r="I193" i="4"/>
  <c r="I192" i="4"/>
  <c r="I186" i="4"/>
  <c r="I185" i="4"/>
  <c r="I184" i="4"/>
  <c r="I187" i="4" s="1"/>
  <c r="I188" i="4" s="1"/>
  <c r="I183" i="4"/>
  <c r="I182" i="4"/>
  <c r="H159" i="4"/>
  <c r="I128" i="4"/>
  <c r="I74" i="4"/>
  <c r="I69" i="4"/>
  <c r="I82" i="4" s="1"/>
  <c r="I90" i="4" s="1"/>
  <c r="H57" i="4"/>
  <c r="H63" i="4" s="1"/>
  <c r="I38" i="4"/>
  <c r="I37" i="4"/>
  <c r="I40" i="4" s="1"/>
  <c r="I36" i="4"/>
  <c r="I35" i="4"/>
  <c r="H28" i="4"/>
  <c r="H27" i="4"/>
  <c r="H26" i="4"/>
  <c r="I203" i="3"/>
  <c r="I204" i="3" s="1"/>
  <c r="I201" i="3"/>
  <c r="I200" i="3"/>
  <c r="I194" i="3"/>
  <c r="I195" i="3" s="1"/>
  <c r="I188" i="3"/>
  <c r="I187" i="3"/>
  <c r="I186" i="3"/>
  <c r="I189" i="3" s="1"/>
  <c r="I190" i="3" s="1"/>
  <c r="I191" i="3" s="1"/>
  <c r="I135" i="3" s="1"/>
  <c r="I185" i="3"/>
  <c r="I184" i="3"/>
  <c r="H161" i="3"/>
  <c r="I130" i="3"/>
  <c r="I82" i="3"/>
  <c r="I77" i="3"/>
  <c r="I72" i="3"/>
  <c r="I84" i="3" s="1"/>
  <c r="I92" i="3" s="1"/>
  <c r="H66" i="3"/>
  <c r="H60" i="3"/>
  <c r="I38" i="3"/>
  <c r="I35" i="3"/>
  <c r="I36" i="3" s="1"/>
  <c r="H26" i="3"/>
  <c r="I200" i="2"/>
  <c r="I199" i="2"/>
  <c r="I194" i="2"/>
  <c r="I193" i="2"/>
  <c r="I187" i="2"/>
  <c r="I186" i="2"/>
  <c r="I185" i="2"/>
  <c r="I184" i="2"/>
  <c r="I183" i="2"/>
  <c r="H160" i="2"/>
  <c r="I135" i="2"/>
  <c r="I129" i="2"/>
  <c r="I91" i="2"/>
  <c r="I81" i="2"/>
  <c r="I75" i="2"/>
  <c r="H64" i="2"/>
  <c r="H58" i="2"/>
  <c r="I39" i="2"/>
  <c r="I35" i="2"/>
  <c r="I34" i="2"/>
  <c r="I70" i="2" s="1"/>
  <c r="I83" i="2" s="1"/>
  <c r="H27" i="2"/>
  <c r="I41" i="2" s="1"/>
  <c r="H26" i="2"/>
  <c r="B108" i="4" l="1"/>
  <c r="I99" i="4"/>
  <c r="I48" i="4"/>
  <c r="I168" i="4"/>
  <c r="I47" i="4"/>
  <c r="I97" i="4"/>
  <c r="I95" i="4"/>
  <c r="I136" i="3"/>
  <c r="I139" i="3"/>
  <c r="I174" i="3" s="1"/>
  <c r="I98" i="4"/>
  <c r="H112" i="4"/>
  <c r="I56" i="2"/>
  <c r="I133" i="4"/>
  <c r="I137" i="4" s="1"/>
  <c r="I172" i="4" s="1"/>
  <c r="I189" i="4"/>
  <c r="I49" i="2"/>
  <c r="I98" i="2"/>
  <c r="I99" i="2" s="1"/>
  <c r="I48" i="2"/>
  <c r="I50" i="2" s="1"/>
  <c r="I89" i="2" s="1"/>
  <c r="I59" i="2"/>
  <c r="I43" i="2"/>
  <c r="B109" i="2"/>
  <c r="H114" i="3"/>
  <c r="I188" i="2"/>
  <c r="I189" i="2" s="1"/>
  <c r="I190" i="2" s="1"/>
  <c r="I134" i="2" s="1"/>
  <c r="I138" i="2" s="1"/>
  <c r="I173" i="2" s="1"/>
  <c r="H27" i="3"/>
  <c r="I42" i="3" s="1"/>
  <c r="H28" i="3"/>
  <c r="I37" i="3" s="1"/>
  <c r="I40" i="3" s="1"/>
  <c r="H113" i="2"/>
  <c r="I100" i="2"/>
  <c r="J8" i="5"/>
  <c r="I60" i="2" l="1"/>
  <c r="I49" i="4"/>
  <c r="I63" i="2"/>
  <c r="I96" i="4"/>
  <c r="I100" i="4" s="1"/>
  <c r="I113" i="2"/>
  <c r="I62" i="2"/>
  <c r="I58" i="2"/>
  <c r="I61" i="2"/>
  <c r="I101" i="3"/>
  <c r="I64" i="3"/>
  <c r="I63" i="3"/>
  <c r="I51" i="3"/>
  <c r="I44" i="3"/>
  <c r="I99" i="3"/>
  <c r="I100" i="3" s="1"/>
  <c r="I50" i="3"/>
  <c r="I52" i="3" s="1"/>
  <c r="I90" i="3" s="1"/>
  <c r="I60" i="3"/>
  <c r="I97" i="3"/>
  <c r="B110" i="3"/>
  <c r="I96" i="2"/>
  <c r="I112" i="4"/>
  <c r="I169" i="2"/>
  <c r="I57" i="2"/>
  <c r="I64" i="2" s="1"/>
  <c r="I90" i="2" s="1"/>
  <c r="I92" i="2" s="1"/>
  <c r="I170" i="4" l="1"/>
  <c r="H108" i="4"/>
  <c r="I116" i="4"/>
  <c r="I170" i="2"/>
  <c r="E109" i="2"/>
  <c r="I98" i="3"/>
  <c r="I102" i="3"/>
  <c r="I97" i="2"/>
  <c r="I101" i="2"/>
  <c r="I62" i="3"/>
  <c r="I114" i="3"/>
  <c r="I118" i="3"/>
  <c r="I61" i="3"/>
  <c r="I88" i="4"/>
  <c r="I58" i="4"/>
  <c r="I59" i="4"/>
  <c r="I57" i="4"/>
  <c r="I61" i="4"/>
  <c r="I60" i="4"/>
  <c r="I62" i="4"/>
  <c r="I56" i="4"/>
  <c r="I55" i="4"/>
  <c r="I58" i="3"/>
  <c r="I170" i="3"/>
  <c r="I59" i="3"/>
  <c r="I65" i="3"/>
  <c r="H110" i="3" l="1"/>
  <c r="I172" i="3"/>
  <c r="H109" i="2"/>
  <c r="I109" i="2" s="1"/>
  <c r="I171" i="2"/>
  <c r="I117" i="2"/>
  <c r="I66" i="3"/>
  <c r="I91" i="3" s="1"/>
  <c r="I93" i="3" s="1"/>
  <c r="I63" i="4"/>
  <c r="I89" i="4" s="1"/>
  <c r="I91" i="4"/>
  <c r="I118" i="2" l="1"/>
  <c r="I114" i="2"/>
  <c r="I116" i="2"/>
  <c r="I115" i="2"/>
  <c r="I169" i="4"/>
  <c r="E108" i="4"/>
  <c r="I108" i="4" s="1"/>
  <c r="I171" i="3"/>
  <c r="E110" i="3"/>
  <c r="I110" i="3" s="1"/>
  <c r="I115" i="3" l="1"/>
  <c r="I117" i="3"/>
  <c r="I116" i="3"/>
  <c r="I119" i="3"/>
  <c r="I119" i="2"/>
  <c r="I128" i="2" s="1"/>
  <c r="I130" i="2" s="1"/>
  <c r="I115" i="4"/>
  <c r="I114" i="4"/>
  <c r="I113" i="4"/>
  <c r="I117" i="4"/>
  <c r="I172" i="2" l="1"/>
  <c r="I174" i="2" s="1"/>
  <c r="I144" i="2"/>
  <c r="I120" i="3"/>
  <c r="I129" i="3" s="1"/>
  <c r="I131" i="3" s="1"/>
  <c r="I118" i="4"/>
  <c r="I127" i="4" s="1"/>
  <c r="I129" i="4" s="1"/>
  <c r="I173" i="3" l="1"/>
  <c r="I175" i="3" s="1"/>
  <c r="I145" i="3"/>
  <c r="I171" i="4"/>
  <c r="I173" i="4" s="1"/>
  <c r="I143" i="4"/>
  <c r="I145" i="2"/>
  <c r="I144" i="4" l="1"/>
  <c r="I146" i="3"/>
  <c r="I146" i="2"/>
  <c r="I147" i="2" s="1"/>
  <c r="I148" i="2" s="1"/>
  <c r="I147" i="3" l="1"/>
  <c r="I148" i="3" s="1"/>
  <c r="I149" i="3" s="1"/>
  <c r="I157" i="2"/>
  <c r="I158" i="2" s="1"/>
  <c r="I175" i="2" s="1"/>
  <c r="I176" i="2" s="1"/>
  <c r="I151" i="2"/>
  <c r="I152" i="2"/>
  <c r="I145" i="4"/>
  <c r="I146" i="4" s="1"/>
  <c r="I147" i="4" s="1"/>
  <c r="I152" i="3" l="1"/>
  <c r="I158" i="3"/>
  <c r="I153" i="3"/>
  <c r="I151" i="4"/>
  <c r="I150" i="4"/>
  <c r="I156" i="4"/>
  <c r="I157" i="4" s="1"/>
  <c r="I174" i="4" s="1"/>
  <c r="I175" i="4" s="1"/>
  <c r="I159" i="3"/>
  <c r="I176" i="3" s="1"/>
  <c r="I177" i="3" s="1"/>
  <c r="I160" i="2"/>
  <c r="I159" i="4" l="1"/>
  <c r="I161" i="3"/>
</calcChain>
</file>

<file path=xl/sharedStrings.xml><?xml version="1.0" encoding="utf-8"?>
<sst xmlns="http://schemas.openxmlformats.org/spreadsheetml/2006/main" count="887" uniqueCount="311">
  <si>
    <t>Nº do processo:</t>
  </si>
  <si>
    <t>Licitação nº:</t>
  </si>
  <si>
    <t>Dia:</t>
  </si>
  <si>
    <t xml:space="preserve">DISCRIMINAÇÃO DOS SERVIÇOS (DADOS REFERENTES À CONTRATAÇÃO) </t>
  </si>
  <si>
    <t>A</t>
  </si>
  <si>
    <t>Data de apresentação da proposta (dia/mês/ano)</t>
  </si>
  <si>
    <t>B</t>
  </si>
  <si>
    <t>Município/UF</t>
  </si>
  <si>
    <t>C</t>
  </si>
  <si>
    <t>Ano do Acordo, Convenção ou Dissídio Coletivo</t>
  </si>
  <si>
    <t>D</t>
  </si>
  <si>
    <t>Número de meses de execução contratual</t>
  </si>
  <si>
    <t xml:space="preserve">IDENTIFICAÇÃO DO SERVIÇO </t>
  </si>
  <si>
    <t>Dados para composição dos custos referente à mão de 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</si>
  <si>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</si>
  <si>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</si>
  <si>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</si>
  <si>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Data-Base da Categoria (dia/mês/ano)</t>
  </si>
  <si>
    <t>Módulo 1: Composição da Remuneração</t>
  </si>
  <si>
    <t xml:space="preserve">Composição da Remuneração </t>
  </si>
  <si>
    <t>Percentual
(R$)</t>
  </si>
  <si>
    <t xml:space="preserve">Valor
(R$) </t>
  </si>
  <si>
    <t>E</t>
  </si>
  <si>
    <t>F</t>
  </si>
  <si>
    <t xml:space="preserve">Outros (especificar)                                          </t>
  </si>
  <si>
    <t xml:space="preserve">Total </t>
  </si>
  <si>
    <t>Módulo 2 – Encargos e Benefícios Anuais, Mensais e Diários</t>
  </si>
  <si>
    <t>2.1</t>
  </si>
  <si>
    <t>13º (décimo terceiro) Salário, Férias e Adicional de Férias</t>
  </si>
  <si>
    <t>Valor (R$)</t>
  </si>
  <si>
    <t>Total</t>
  </si>
  <si>
    <t>2.2</t>
  </si>
  <si>
    <t>GPS, FGTS e outras contribuições</t>
  </si>
  <si>
    <t>Percentual (%)</t>
  </si>
  <si>
    <t>Valor
 (R$)</t>
  </si>
  <si>
    <t>INSS</t>
  </si>
  <si>
    <t>Salário Educação</t>
  </si>
  <si>
    <t>RAT =</t>
  </si>
  <si>
    <t xml:space="preserve"> FAP =</t>
  </si>
  <si>
    <t>SESC ou SESI</t>
  </si>
  <si>
    <t>SENAC ou SENAI</t>
  </si>
  <si>
    <t>SEBRAE</t>
  </si>
  <si>
    <t>G</t>
  </si>
  <si>
    <t>INCRA</t>
  </si>
  <si>
    <t>H</t>
  </si>
  <si>
    <t>FGTS</t>
  </si>
  <si>
    <t>Submódulo 2.3 – Benefícios Mensais e Diários</t>
  </si>
  <si>
    <t>2.3</t>
  </si>
  <si>
    <t>Benefícios Mensais e Diários</t>
  </si>
  <si>
    <t>-</t>
  </si>
  <si>
    <t xml:space="preserve">     B.3) Participação do empregado em percentual sobre o auxílio-alimentação</t>
  </si>
  <si>
    <t>Assistência Médica e Familiar</t>
  </si>
  <si>
    <t>Auxílio-creche</t>
  </si>
  <si>
    <t>sumiu</t>
  </si>
  <si>
    <t xml:space="preserve">Outros (especificar)                                            </t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</si>
  <si>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</si>
  <si>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</si>
  <si>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</si>
  <si>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t>Módulo 3 - Provisão para Rescisão</t>
  </si>
  <si>
    <t>Provisão para Rescisão</t>
  </si>
  <si>
    <t>Valor  (R$)</t>
  </si>
  <si>
    <t>Incidência do FGTS sobre o Aviso Prévio Indenizado</t>
  </si>
  <si>
    <t xml:space="preserve">Incidência de GPS, FGTS e outras contribuições sobre o Aviso Prévio Trabalhado         </t>
  </si>
  <si>
    <t>Nota 1: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</si>
  <si>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</si>
  <si>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</si>
  <si>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t>MÓD 1 =</t>
  </si>
  <si>
    <t>MÓD 3 =</t>
  </si>
  <si>
    <t xml:space="preserve">Submódulo 4.1 – Substituto nas Ausências Legais </t>
  </si>
  <si>
    <t>4.1</t>
  </si>
  <si>
    <t>Substituto nas Ausências Legais</t>
  </si>
  <si>
    <t>Submódulo 4.2 – Substituto na Intrajornada</t>
  </si>
  <si>
    <t xml:space="preserve">4.2 </t>
  </si>
  <si>
    <t>Substituto na Intrajornada</t>
  </si>
  <si>
    <t>Substituto na cobertura de Intervalo para repouso ou alimentação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</si>
  <si>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</si>
  <si>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</si>
  <si>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</si>
  <si>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</si>
  <si>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</si>
  <si>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t xml:space="preserve">Outros (especificar) </t>
  </si>
  <si>
    <t>Módulo 6 -  Custos Indiretos, Lucro e Tributos</t>
  </si>
  <si>
    <t xml:space="preserve">Custos Indiretos, Lucro e Tributos </t>
  </si>
  <si>
    <t>Valor
(R$)</t>
  </si>
  <si>
    <t>Custos Indiretos</t>
  </si>
  <si>
    <t>Lucro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</si>
  <si>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</si>
  <si>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</si>
  <si>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C.1    Tributos Federais (especificar)</t>
  </si>
  <si>
    <t>C.2   Tributos Estaduais (especificar)</t>
  </si>
  <si>
    <t>C.3   Tributos Municipais (especificar):</t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</si>
  <si>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</si>
  <si>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</si>
  <si>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</si>
  <si>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</si>
  <si>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</si>
  <si>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</si>
  <si>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>Módulo 1 - Composição da Remuneração</t>
  </si>
  <si>
    <t>Módulo 3 – Provisão para Rescisão</t>
  </si>
  <si>
    <t>Módulo 4 – Custo de Reposição do Profissional Ausente</t>
  </si>
  <si>
    <t>Subtotal (A + B + C + D + E)</t>
  </si>
  <si>
    <t>Módulo 6 - Custos Indiretos, Lucro e Tributos</t>
  </si>
  <si>
    <t>4. QUADRO DEMONSTRATIVO DO VALOR GLOBAL DA PROPOSTA</t>
  </si>
  <si>
    <t>VALOR GLOBAL DA PROPOSTA</t>
  </si>
  <si>
    <t>DESCRIÇÃO</t>
  </si>
  <si>
    <t>VALOR (R$)</t>
  </si>
  <si>
    <t>Especificação dos Materiais/Máquinas/Equipamentos</t>
  </si>
  <si>
    <t xml:space="preserve">Quantidade </t>
  </si>
  <si>
    <t xml:space="preserve">ANEXO IV
Pregão IFRS nº 90020/2025
SERVIÇO PORTARIA - Regime de Tributação: Lucro Real </t>
  </si>
  <si>
    <r>
      <rPr>
        <b/>
        <sz val="18"/>
        <color theme="1"/>
        <rFont val="Arial"/>
      </rPr>
      <t>ANEXO -</t>
    </r>
    <r>
      <rPr>
        <b/>
        <sz val="18"/>
        <color rgb="FFFF0000"/>
        <rFont val="Arial"/>
      </rPr>
      <t xml:space="preserve"> </t>
    </r>
    <r>
      <rPr>
        <b/>
        <sz val="18"/>
        <color rgb="FF0000FF"/>
        <rFont val="Arial"/>
      </rPr>
      <t xml:space="preserve">CONTA VINCULADA
</t>
    </r>
    <r>
      <rPr>
        <b/>
        <sz val="18"/>
        <color theme="1"/>
        <rFont val="Arial"/>
      </rPr>
      <t xml:space="preserve">MODELO DE PLANILHA DE CUSTOS E FORMAÇÃO DE PREÇOS </t>
    </r>
    <r>
      <rPr>
        <b/>
        <sz val="18"/>
        <color rgb="FF800080"/>
        <rFont val="Arial"/>
      </rPr>
      <t xml:space="preserve"> </t>
    </r>
  </si>
  <si>
    <t>23364.000244/2025-25</t>
  </si>
  <si>
    <t>Pregão IFRS nº 90020/2025</t>
  </si>
  <si>
    <t>POSTO DIURNO</t>
  </si>
  <si>
    <t>Dia: xx/xx/2025</t>
  </si>
  <si>
    <t>FARROUPILHA/RS</t>
  </si>
  <si>
    <r>
      <rPr>
        <b/>
        <sz val="10"/>
        <color rgb="FFFF0000"/>
        <rFont val="Arial"/>
      </rPr>
      <t xml:space="preserve">01/01/25 a 31/12/25
SIND DAS EMPR DE ASSEIO E CONSERVACAO DO EST DO R G S, SINDICATO DOS TRAB EM EMP DE ASSEIO CONS LIMP URB, AMB E AREAS VERDES E EMP DE
SERV TERC DO RAMO DE ASSEIO CONS LIMP URB AMB E AREAS VE DE CXS,
</t>
    </r>
    <r>
      <rPr>
        <sz val="10"/>
        <color rgb="FFFF0000"/>
        <rFont val="Arial"/>
      </rPr>
      <t>(que engloba Farroupilha)</t>
    </r>
  </si>
  <si>
    <t xml:space="preserve">Tipo de Serviço:  PORTARIA
                                                                                          </t>
  </si>
  <si>
    <t>Unidade
 de 
Medida</t>
  </si>
  <si>
    <t xml:space="preserve">Quantidade total a contratar (Em função da unidade de medida) </t>
  </si>
  <si>
    <t>12 X 36 horas diurnas - segunda a domingo das 07:00 às 19:00</t>
  </si>
  <si>
    <t>POSTO</t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</si>
  <si>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</si>
  <si>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t>Porteiro(a)</t>
  </si>
  <si>
    <r>
      <rPr>
        <b/>
        <sz val="10"/>
        <color theme="1"/>
        <rFont val="Arial"/>
      </rPr>
      <t xml:space="preserve">Salário Normativo da Categoria Profissional - </t>
    </r>
    <r>
      <rPr>
        <b/>
        <sz val="10"/>
        <color rgb="FF0000FF"/>
        <rFont val="Arial"/>
      </rPr>
      <t xml:space="preserve">para a jornada de </t>
    </r>
    <r>
      <rPr>
        <b/>
        <sz val="12"/>
        <color rgb="FF0000FF"/>
        <rFont val="Arial"/>
      </rPr>
      <t>44</t>
    </r>
    <r>
      <rPr>
        <b/>
        <sz val="10"/>
        <color rgb="FF0000FF"/>
        <rFont val="Arial"/>
      </rPr>
      <t xml:space="preserve"> h/sem</t>
    </r>
  </si>
  <si>
    <t>1º de janeiro de 2025</t>
  </si>
  <si>
    <r>
      <rPr>
        <b/>
        <sz val="10"/>
        <color rgb="FFFF0000"/>
        <rFont val="Arial"/>
      </rPr>
      <t xml:space="preserve">Valor do salárioxhora - </t>
    </r>
    <r>
      <rPr>
        <b/>
        <sz val="10"/>
        <color rgb="FF0000FF"/>
        <rFont val="Arial"/>
      </rPr>
      <t>VSH = (Valor do salário normativo / 220 h)</t>
    </r>
  </si>
  <si>
    <r>
      <rPr>
        <b/>
        <sz val="10"/>
        <color rgb="FFFF0000"/>
        <rFont val="Arial"/>
      </rPr>
      <t xml:space="preserve">Valor da hora com 50% </t>
    </r>
    <r>
      <rPr>
        <b/>
        <sz val="10"/>
        <color rgb="FF0000FF"/>
        <rFont val="Arial"/>
      </rPr>
      <t>= H50 = valor da hora + 50%</t>
    </r>
  </si>
  <si>
    <t>Quantidade de porteiros por posto de serviço</t>
  </si>
  <si>
    <r>
      <rPr>
        <b/>
        <sz val="10"/>
        <color theme="1"/>
        <rFont val="Arial"/>
      </rPr>
      <t xml:space="preserve">Salário-Base  </t>
    </r>
    <r>
      <rPr>
        <b/>
        <sz val="10"/>
        <color rgb="FF0000FF"/>
        <rFont val="Arial"/>
      </rPr>
      <t xml:space="preserve"> jornada de 12x36 horas</t>
    </r>
    <r>
      <rPr>
        <b/>
        <sz val="10"/>
        <color theme="1"/>
        <rFont val="Arial"/>
      </rPr>
      <t xml:space="preserve"> </t>
    </r>
    <r>
      <rPr>
        <b/>
        <sz val="10"/>
        <color rgb="FFFF0000"/>
        <rFont val="Arial"/>
      </rPr>
      <t xml:space="preserve">Art. 59-A Lei 5.452/1943; Cláusula 54 CCT (valor integral)  </t>
    </r>
    <r>
      <rPr>
        <b/>
        <sz val="10"/>
        <color theme="1"/>
        <rFont val="Arial"/>
      </rPr>
      <t xml:space="preserve">                                              </t>
    </r>
  </si>
  <si>
    <r>
      <rPr>
        <b/>
        <sz val="10"/>
        <color theme="1"/>
        <rFont val="Arial"/>
      </rPr>
      <t>Adicional de Insalubridade</t>
    </r>
    <r>
      <rPr>
        <b/>
        <sz val="8"/>
        <color theme="1"/>
        <rFont val="Arial"/>
      </rPr>
      <t xml:space="preserve"> </t>
    </r>
    <r>
      <rPr>
        <b/>
        <sz val="8"/>
        <color rgb="FFFF0000"/>
        <rFont val="Arial"/>
      </rPr>
      <t xml:space="preserve"> </t>
    </r>
  </si>
  <si>
    <r>
      <rPr>
        <b/>
        <sz val="10"/>
        <color theme="1"/>
        <rFont val="Arial"/>
      </rPr>
      <t xml:space="preserve">Adicional Noturno  sobre: 7h de 60min p/dia   </t>
    </r>
    <r>
      <rPr>
        <b/>
        <sz val="10"/>
        <color rgb="FFFF0000"/>
        <rFont val="Arial"/>
      </rPr>
      <t xml:space="preserve">Cálculo do valor: (ANx </t>
    </r>
    <r>
      <rPr>
        <b/>
        <sz val="10"/>
        <color rgb="FFFF0000"/>
        <rFont val="Arial"/>
      </rPr>
      <t>7h)</t>
    </r>
    <r>
      <rPr>
        <b/>
        <sz val="10"/>
        <color rgb="FFFF0000"/>
        <rFont val="Arial"/>
      </rPr>
      <t xml:space="preserve">x15dx2port. </t>
    </r>
    <r>
      <rPr>
        <b/>
        <sz val="10"/>
        <color rgb="FF0000FF"/>
        <rFont val="Arial"/>
      </rPr>
      <t>Das 22h às 5h.</t>
    </r>
    <r>
      <rPr>
        <b/>
        <sz val="10"/>
        <color theme="1"/>
        <rFont val="Arial"/>
      </rPr>
      <t xml:space="preserve">  </t>
    </r>
  </si>
  <si>
    <r>
      <rPr>
        <b/>
        <sz val="10"/>
        <color theme="1"/>
        <rFont val="Arial"/>
      </rPr>
      <t xml:space="preserve">Adicional de Hora Noturna Reduzida: 1h por dia: </t>
    </r>
    <r>
      <rPr>
        <b/>
        <sz val="10"/>
        <color rgb="FFFF0000"/>
        <rFont val="Arial"/>
      </rPr>
      <t>Cálculo do valor: (VSH*1h)x15d*2port.*120%)</t>
    </r>
  </si>
  <si>
    <t xml:space="preserve">Remuneração 1 = Total da Remuneração de verbas de natureza salarial nas quais incidem INSS + FGTS + Férias + 13º, etc.   </t>
  </si>
  <si>
    <r>
      <rPr>
        <b/>
        <sz val="10"/>
        <color theme="1"/>
        <rFont val="Arial"/>
      </rPr>
      <t xml:space="preserve">Intervalo Intrajornada </t>
    </r>
    <r>
      <rPr>
        <b/>
        <sz val="10"/>
        <color rgb="FFFF0000"/>
        <rFont val="Arial"/>
      </rPr>
      <t>(Adicional de Intervalo):Pagamento de 30 min. de Intervalo. Cláusula 54ª. Cálculo do valor: H50 x 15d x2portx</t>
    </r>
    <r>
      <rPr>
        <b/>
        <sz val="10"/>
        <color rgb="FF0000FF"/>
        <rFont val="Arial"/>
      </rPr>
      <t>0,5h</t>
    </r>
    <r>
      <rPr>
        <b/>
        <sz val="10"/>
        <color rgb="FFFF0000"/>
        <rFont val="Arial"/>
      </rPr>
      <t xml:space="preserve">) - </t>
    </r>
  </si>
  <si>
    <r>
      <rPr>
        <b/>
        <sz val="14"/>
        <color theme="1"/>
        <rFont val="Arial"/>
      </rPr>
      <t xml:space="preserve">Remuneração 2 = Total da Remuneração que o(s) empregado(s) irá(ão) receber
</t>
    </r>
    <r>
      <rPr>
        <b/>
        <sz val="11"/>
        <color rgb="FF0000FF"/>
        <rFont val="Arial"/>
      </rPr>
      <t xml:space="preserve">Valor entra nos seguintes cálculos: Item 2, "A" - Quadro-Resumo do Custo por Posto de Trabalho, Custos Indiretos, Lucro e Tributos. </t>
    </r>
  </si>
  <si>
    <r>
      <rPr>
        <b/>
        <sz val="11"/>
        <color theme="1"/>
        <rFont val="Arial"/>
      </rPr>
      <t>Submódulo 2.1 – 13º (décimo terceiro) Salário</t>
    </r>
    <r>
      <rPr>
        <b/>
        <sz val="11"/>
        <color rgb="FFFF0000"/>
        <rFont val="Arial"/>
      </rPr>
      <t xml:space="preserve"> </t>
    </r>
    <r>
      <rPr>
        <b/>
        <sz val="11"/>
        <color theme="1"/>
        <rFont val="Arial"/>
      </rPr>
      <t xml:space="preserve"> e Adicional de Férias                                                                
</t>
    </r>
  </si>
  <si>
    <t>13º (décimo terceiro) Salário e Adicional de Férias</t>
  </si>
  <si>
    <r>
      <rPr>
        <b/>
        <sz val="10"/>
        <color theme="1"/>
        <rFont val="Arial"/>
      </rPr>
      <t>13º (décimo terceiro) Salário</t>
    </r>
    <r>
      <rPr>
        <b/>
        <sz val="11"/>
        <color theme="1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</si>
  <si>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FF0000"/>
        <rFont val="Arial"/>
      </rPr>
      <t xml:space="preserve">Adicional de Férias Obrigatória a cotação de 3,025% sobre o valor do Módulo 1 - Composição da Remuneração, conforme Anexo XII da IN 5/17 (Férias + Adicional = 12,10% = 9,075% + 3,025%). </t>
    </r>
    <r>
      <rPr>
        <b/>
        <sz val="10"/>
        <color rgb="FF4A86E8"/>
        <rFont val="Arial"/>
      </rPr>
      <t xml:space="preserve">É vedada a cotação de Férias neste Submódulo, em face de tratar-se de Conta Vinculada. O custo do empregado substituto, quando o titular gozar férias, deverá ser previsto no Submódulo 4.1.A. Isso demonstra que a provisão de Férias neste Submódulo não teria  finalidade, em razão de que o pagamento do titular no seu mês de gozo de férias será feito pelo Módulo 1 - Composição da Remuneração. Na hipótese de o contrato não ser prorrogado, o pagamento relativo a Férias do empregado deverá ser efetivado pela provisão feita no Submódulo 4.1.A                                        
</t>
    </r>
  </si>
  <si>
    <t xml:space="preserve">Nota 1:  Como a planilha de custos e formação de preços é calculada mensalmente, provisiona-se proporcionalmente 1/12 (um doze avos) dos valores referentes à gratificação natalina.
Nota 2: O adicional de férias contido no Submódulo 2.1 corresponde a 3,025% do Módulo 1, em face do Anexo XII da IN nº 5/2017 exigir 12,10% no somatório de Férias + 1/3 de Férias (9,075% + 3,025%).
</t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</si>
  <si>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</si>
  <si>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b/>
        <sz val="9"/>
        <color rgb="FFFF0000"/>
        <rFont val="Arial"/>
      </rPr>
      <t>Cálculo do valor: % do RAT (Riscos Ambientais do Trabalho) x FAP (Fator Acidentário de Prevenção de cada empresa)</t>
    </r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</si>
  <si>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  </r>
    <r>
      <rPr>
        <sz val="9"/>
        <color rgb="FF009900"/>
        <rFont val="Arial"/>
      </rPr>
      <t>.</t>
    </r>
  </si>
  <si>
    <r>
      <rPr>
        <b/>
        <sz val="10"/>
        <color theme="1"/>
        <rFont val="Arial"/>
      </rPr>
      <t xml:space="preserve">Transporte                                               </t>
    </r>
    <r>
      <rPr>
        <b/>
        <sz val="10"/>
        <color rgb="FFFF0000"/>
        <rFont val="Arial"/>
      </rPr>
      <t>Cálculo do valor: [(2xVTx30) – (6%xSB)]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</si>
  <si>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A.1) Valor da passagem do transporte coletivo no município de prestação dos serviços: </t>
    </r>
    <r>
      <rPr>
        <b/>
        <sz val="8"/>
        <color rgb="FFFF0000"/>
        <rFont val="Arial"/>
      </rPr>
      <t>DECRETO MUNICIPAL Nº 7.616, DE 07 DE FEVEREIRO DE 2025.</t>
    </r>
  </si>
  <si>
    <r>
      <rPr>
        <b/>
        <sz val="9"/>
        <color theme="1"/>
        <rFont val="Arial"/>
      </rPr>
      <t xml:space="preserve">     </t>
    </r>
    <r>
      <rPr>
        <b/>
        <sz val="9"/>
        <color rgb="FFFF0000"/>
        <rFont val="Arial"/>
      </rPr>
      <t xml:space="preserve"> A.2) Quantidade de passagens por dia por empregado: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</si>
  <si>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A.3) Quantidade de dias do mês de recebimento de passagens </t>
    </r>
  </si>
  <si>
    <r>
      <rPr>
        <sz val="9"/>
        <color theme="1"/>
        <rFont val="Arial"/>
      </rPr>
      <t xml:space="preserve">     </t>
    </r>
    <r>
      <rPr>
        <b/>
        <sz val="9"/>
        <color rgb="FFFF0000"/>
        <rFont val="Arial"/>
      </rPr>
      <t>A.4) Participação do empregado em percentual do salário-base (cláusula 20 da CCT)</t>
    </r>
  </si>
  <si>
    <r>
      <rPr>
        <b/>
        <sz val="10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10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</si>
  <si>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B.1) Valor do auxílio-alimentação (cláusula 18 da CCT): </t>
    </r>
  </si>
  <si>
    <r>
      <rPr>
        <b/>
        <sz val="9"/>
        <color theme="1"/>
        <rFont val="Arial"/>
      </rPr>
      <t xml:space="preserve">    </t>
    </r>
    <r>
      <rPr>
        <b/>
        <sz val="9"/>
        <color rgb="FFFF0000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</si>
  <si>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</t>
    </r>
    <r>
      <rPr>
        <b/>
        <sz val="10"/>
        <color rgb="FFFF0000"/>
        <rFont val="Arial"/>
      </rPr>
      <t xml:space="preserve">(cláusula 30 da CCT)  </t>
    </r>
    <r>
      <rPr>
        <b/>
        <sz val="10"/>
        <color rgb="FF0000FF"/>
        <rFont val="Arial"/>
      </rPr>
      <t>Sem participação do empregado (24,10 por empregado)</t>
    </r>
  </si>
  <si>
    <r>
      <rPr>
        <b/>
        <sz val="10"/>
        <color theme="1"/>
        <rFont val="Arial"/>
      </rPr>
      <t xml:space="preserve">Aviso Prévio Indenizado    </t>
    </r>
    <r>
      <rPr>
        <b/>
        <sz val="9"/>
        <color rgb="FFFF0000"/>
        <rFont val="Arial"/>
      </rPr>
      <t xml:space="preserve"> Cálculo do valor = [Rem/12 + 13º/12 + (Férias + 1/3 Férias)/12] x (30/30=1) x 5% de rotatividade anual - Os reflexos de 13º, F e 1/3F são referentes a 1 mês de APInd -</t>
    </r>
    <r>
      <rPr>
        <b/>
        <sz val="8"/>
        <color rgb="FFFF0000"/>
        <rFont val="Arial"/>
      </rPr>
      <t xml:space="preserve">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</t>
    </r>
  </si>
  <si>
    <r>
      <rPr>
        <b/>
        <sz val="10"/>
        <color theme="1"/>
        <rFont val="Arial"/>
      </rPr>
      <t xml:space="preserve">Aviso Prévio Trabalhado </t>
    </r>
    <r>
      <rPr>
        <b/>
        <sz val="9"/>
        <color rgb="FFFF0000"/>
        <rFont val="Arial"/>
      </rPr>
      <t>Cálculo do valor= [(Rem/30)x7]/</t>
    </r>
    <r>
      <rPr>
        <b/>
        <sz val="11"/>
        <color rgb="FF0000FF"/>
        <rFont val="Arial"/>
      </rPr>
      <t>12</t>
    </r>
    <r>
      <rPr>
        <b/>
        <sz val="9"/>
        <color rgb="FFFF0000"/>
        <rFont val="Arial"/>
      </rPr>
      <t xml:space="preserve"> meses do contratox</t>
    </r>
    <r>
      <rPr>
        <b/>
        <sz val="9"/>
        <color rgb="FF0000FF"/>
        <rFont val="Arial"/>
      </rPr>
      <t>100%</t>
    </r>
    <r>
      <rPr>
        <b/>
        <sz val="9"/>
        <color rgb="FFFF0000"/>
        <rFont val="Arial"/>
      </rPr>
      <t xml:space="preserve"> dos empregados </t>
    </r>
    <r>
      <rPr>
        <b/>
        <sz val="8"/>
        <color rgb="FFFF0000"/>
        <rFont val="Arial"/>
      </rPr>
      <t xml:space="preserve">- ao final do contrato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</si>
  <si>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>Multa do FGTS sobre o Aviso Prévio Trabalhado e sobre o Aviso Prévio Indenizado</t>
    </r>
    <r>
      <rPr>
        <b/>
        <sz val="8"/>
        <color rgb="FFFF0000"/>
        <rFont val="Arial"/>
      </rPr>
      <t>Obrigatória a cotação de 4% sobre o valor do Módulo 1 – Composição da Remuneração, conforme Anexo XII da IN Seges nº 5/2017</t>
    </r>
  </si>
  <si>
    <r>
      <rPr>
        <b/>
        <sz val="11"/>
        <color rgb="FF0000FF"/>
        <rFont val="Arial"/>
      </rPr>
      <t xml:space="preserve">Base de cálculo para o Custo de Reposição do Profissional Ausente (substituto): BCCPA = MÓDULO 1 + MÓDULO 2 (-VA - VT) + FÉRIAS + MÓDULO 3 - </t>
    </r>
    <r>
      <rPr>
        <b/>
        <sz val="11"/>
        <color rgb="FFFF0000"/>
        <rFont val="Arial"/>
      </rPr>
      <t>exceto o 1) Substituto da cobertura de Férias; e 2) o Afastamento Maternidade, pois que neste a Rem e o 13º podem ser compensados pelo INSS,  e que têm cálculos diferenciados, conforme neles constam.</t>
    </r>
  </si>
  <si>
    <r>
      <rPr>
        <b/>
        <sz val="11"/>
        <color rgb="FF0000FF"/>
        <rFont val="Arial"/>
      </rPr>
      <t xml:space="preserve">MÓD 2 </t>
    </r>
    <r>
      <rPr>
        <b/>
        <sz val="10"/>
        <color rgb="FFFF0000"/>
        <rFont val="Arial"/>
      </rPr>
      <t>(sem VA e VT)</t>
    </r>
    <r>
      <rPr>
        <b/>
        <sz val="11"/>
        <color rgb="FF0000FF"/>
        <rFont val="Arial"/>
      </rPr>
      <t xml:space="preserve"> + Férias =</t>
    </r>
  </si>
  <si>
    <r>
      <rPr>
        <b/>
        <sz val="10"/>
        <color theme="1"/>
        <rFont val="Arial"/>
      </rPr>
      <t xml:space="preserve">Substituto na cobertura de Férias </t>
    </r>
    <r>
      <rPr>
        <b/>
        <sz val="8"/>
        <color rgb="FFFF0000"/>
        <rFont val="Arial"/>
      </rPr>
      <t xml:space="preserve">Obrigatória a cotação de 9,075% sobre o valor do (Módulo 1 - Composição da Remuneração  </t>
    </r>
    <r>
      <rPr>
        <b/>
        <sz val="8"/>
        <color rgb="FF4A86E8"/>
        <rFont val="Arial"/>
      </rPr>
      <t>mais o</t>
    </r>
    <r>
      <rPr>
        <b/>
        <sz val="8"/>
        <color rgb="FFFF0000"/>
        <rFont val="Arial"/>
      </rPr>
      <t xml:space="preserve"> percentual do Submódulo 2.2 sobre o cálculo anterior, conforme Anexo XII da IN 5/17 (Férias + Adicional = 12,10% = 9,075% + 3,025%) </t>
    </r>
  </si>
  <si>
    <r>
      <rPr>
        <b/>
        <sz val="10"/>
        <color theme="1"/>
        <rFont val="Arial"/>
      </rPr>
      <t xml:space="preserve">Substituto na cobertura de Ausências Legais 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/30)x1dia]/12</t>
    </r>
  </si>
  <si>
    <r>
      <rPr>
        <b/>
        <sz val="10"/>
        <color theme="1"/>
        <rFont val="Arial"/>
      </rPr>
      <t xml:space="preserve">Substituto na cobertura de Licença-Paternidade
</t>
    </r>
    <r>
      <rPr>
        <b/>
        <sz val="10"/>
        <color rgb="FFFF0000"/>
        <rFont val="Arial"/>
      </rPr>
      <t>Cálculo do valor = 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</si>
  <si>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Substituto na cobertura de Ausência por acidente de trabalho
</t>
    </r>
    <r>
      <rPr>
        <b/>
        <sz val="10"/>
        <color rgb="FFFF0000"/>
        <rFont val="Arial"/>
      </rPr>
      <t>Cálculo do valor = [(</t>
    </r>
    <r>
      <rPr>
        <b/>
        <sz val="10"/>
        <color rgb="FF4A86E8"/>
        <rFont val="Arial"/>
      </rPr>
      <t>BCCPA</t>
    </r>
    <r>
      <rPr>
        <b/>
        <sz val="10"/>
        <color rgb="FFFF0000"/>
        <rFont val="Arial"/>
      </rPr>
      <t>)  sobre a Rem)/30x0,97 dias]/12</t>
    </r>
  </si>
  <si>
    <r>
      <rPr>
        <b/>
        <sz val="10"/>
        <color theme="1"/>
        <rFont val="Arial"/>
      </rPr>
      <t xml:space="preserve">Substituto na cobertura de Afastamento Maternidade
</t>
    </r>
    <r>
      <rPr>
        <b/>
        <sz val="10"/>
        <color rgb="FFFF0000"/>
        <rFont val="Arial"/>
      </rPr>
      <t xml:space="preserve">Cálculo do valor = [((Férias + Férias / 3) + SUB2.2 x (Férias + Férias / 3)) x (4/12)] x 2% + [( FGTS x Rem + SUB 2.2 x 13º + SUB2.3 – VA – VT + MÓD3) x (4/12)] } x 2%     
</t>
    </r>
    <r>
      <rPr>
        <b/>
        <sz val="10"/>
        <color rgb="FF4A86E8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</si>
  <si>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theme="1"/>
        <rFont val="Arial"/>
      </rPr>
      <t xml:space="preserve">Substituto na cobertura de Ausência por doença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 xml:space="preserve">)/30)x3dias]/12
</t>
    </r>
    <r>
      <rPr>
        <b/>
        <sz val="9"/>
        <color rgb="FF4A86E8"/>
        <rFont val="Arial"/>
      </rPr>
      <t>Incluído por permissão da IN Seges nº 5/2017, Anexo VII-B, item 1.7, alíneas "b" e "c".5.</t>
    </r>
  </si>
  <si>
    <r>
      <rPr>
        <b/>
        <sz val="10"/>
        <color theme="1"/>
        <rFont val="Arial"/>
      </rPr>
      <t xml:space="preserve">Uniformes  </t>
    </r>
    <r>
      <rPr>
        <b/>
        <sz val="10"/>
        <color rgb="FF0000FF"/>
        <rFont val="Arial"/>
      </rPr>
      <t xml:space="preserve">para o posto </t>
    </r>
  </si>
  <si>
    <r>
      <rPr>
        <b/>
        <sz val="10"/>
        <color theme="1"/>
        <rFont val="Arial"/>
      </rPr>
      <t>Materiais / Equipamentos</t>
    </r>
    <r>
      <rPr>
        <b/>
        <sz val="10"/>
        <color rgb="FF0000FF"/>
        <rFont val="Arial"/>
      </rPr>
      <t xml:space="preserve"> (ponto eletrônico e guarda-chuva para os 3 postos)</t>
    </r>
  </si>
  <si>
    <t>Outros (especificar)</t>
  </si>
  <si>
    <t>0.00</t>
  </si>
  <si>
    <t>BASE DE CÁLCULO DOS CUSTOS INDIRETOS  =  (Total do Módulo 1 – Composição da  Remuneração2 + Total do Módulo 2 - Encargos e Benefícios Anuais, Mensais e Diários + Total do Módulo 3 – Provisão da Rescisão + Total do Módulo 4 - Custo de Reposição do Profissional Ausente + Total do Módulo 5 - Insumos Diversos)</t>
  </si>
  <si>
    <t>BASE DE CÁLCULO DO LUCRO = (Total do Módulo 1 – Composição da  Remuneração2 + Total do Módulo 2 - Encargos e Benefícios Anuais, Mensais e Diários + Total do Módulo 3 – Provisão da Rescisão + Total do Módulo 4 - Custo de Reposição do Profissional Ausente + Total do Módulo 5 - Insumos Diversos + Custos Indiretos)</t>
  </si>
  <si>
    <t>BASE DE CÁLCULO DOS TRIBUTOS = (Total do Módulo 1 – Composição da  Remuneração2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</si>
  <si>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a) Cofins</t>
    </r>
    <r>
      <rPr>
        <b/>
        <sz val="10"/>
        <color rgb="FF000000"/>
        <rFont val="Arial"/>
      </rPr>
      <t xml:space="preserve">  </t>
    </r>
    <r>
      <rPr>
        <sz val="8"/>
        <color rgb="FFFF0000"/>
        <rFont val="Arial"/>
      </rPr>
      <t xml:space="preserve">(depende do regime de tributação - utilizada a hipótese de Lucro Real) 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</si>
  <si>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b) PIS</t>
    </r>
    <r>
      <rPr>
        <b/>
        <sz val="10"/>
        <color rgb="FF000000"/>
        <rFont val="Arial"/>
      </rPr>
      <t xml:space="preserve"> </t>
    </r>
    <r>
      <rPr>
        <sz val="9"/>
        <color rgb="FFFF0000"/>
        <rFont val="Arial"/>
      </rPr>
      <t xml:space="preserve">(depende do regime de tributação - utilizada a hipótese de Lucro Real)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</si>
  <si>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b/>
        <sz val="12"/>
        <color theme="1"/>
        <rFont val="Arial"/>
      </rPr>
      <t xml:space="preserve"> c) IRPJ</t>
    </r>
    <r>
      <rPr>
        <b/>
        <sz val="12"/>
        <color rgb="FFFF0000"/>
        <rFont val="Arial"/>
      </rPr>
      <t xml:space="preserve"> </t>
    </r>
    <r>
      <rPr>
        <b/>
        <sz val="12"/>
        <color rgb="FF0000FF"/>
        <rFont val="Arial"/>
      </rPr>
      <t>-</t>
    </r>
    <r>
      <rPr>
        <b/>
        <sz val="9"/>
        <color rgb="FF0000FF"/>
        <rFont val="Arial"/>
      </rPr>
      <t xml:space="preserve"> 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</si>
  <si>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 d) CSLL </t>
    </r>
    <r>
      <rPr>
        <b/>
        <sz val="10"/>
        <color rgb="FF0000FF"/>
        <rFont val="Arial"/>
      </rPr>
      <t xml:space="preserve">- </t>
    </r>
    <r>
      <rPr>
        <b/>
        <sz val="9"/>
        <color rgb="FF0000FF"/>
        <rFont val="Arial"/>
      </rPr>
      <t xml:space="preserve">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</si>
  <si>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a) ISS </t>
    </r>
    <r>
      <rPr>
        <sz val="12"/>
        <color theme="1"/>
        <rFont val="Arial"/>
      </rPr>
      <t xml:space="preserve">      </t>
    </r>
    <r>
      <rPr>
        <sz val="8"/>
        <color rgb="FFFF0000"/>
        <rFont val="Arial"/>
      </rPr>
      <t>(no município de prestação dos serviços) LEI MUNICIPAL Nº 4.928, DE 16 DE SETEMBRO DE 2024.</t>
    </r>
  </si>
  <si>
    <r>
      <rPr>
        <b/>
        <sz val="12"/>
        <color theme="1"/>
        <rFont val="Arial"/>
      </rPr>
      <t xml:space="preserve">
</t>
    </r>
    <r>
      <rPr>
        <b/>
        <sz val="11"/>
        <color theme="1"/>
        <rFont val="Arial"/>
      </rPr>
      <t xml:space="preserve">2. QUADRO-RESUMO DO CUSTO POR POSTO DE TRABALHO
</t>
    </r>
  </si>
  <si>
    <t xml:space="preserve">                          Mão de obra vinculada à execução contratual (valor por posto (dois empregados))</t>
  </si>
  <si>
    <t>Módulo 1 - Composição da Remuneração2</t>
  </si>
  <si>
    <t xml:space="preserve">Módulo 5 - Insumo Diversos </t>
  </si>
  <si>
    <t>Valor Mensal Total do Posto</t>
  </si>
  <si>
    <t xml:space="preserve"> MATERIAIS, MÁQUINAS E EQUIPAMENTOS ALOCADOS NA EXECUÇÃO CONTRATUAL</t>
  </si>
  <si>
    <t>UNIFORMES por empregado</t>
  </si>
  <si>
    <t>ITENS</t>
  </si>
  <si>
    <t>QUANT. ANUAL / EMPREGADO</t>
  </si>
  <si>
    <t>VLR. UNIT</t>
  </si>
  <si>
    <t>VALOR</t>
  </si>
  <si>
    <t>Conjunto de uniforme com calça e camisa- 100% algodão ou poliester, tipo unissex.</t>
  </si>
  <si>
    <t xml:space="preserve">Pares de calçados modelo social,fechado,  confeccionado em couro, palmilha antibacteriana e com solado em material antiderrapante. </t>
  </si>
  <si>
    <t xml:space="preserve">Agasalho leve, tipo suéter, em algodão ou lã.
</t>
  </si>
  <si>
    <t xml:space="preserve">Agasalho pesado, tipo 
jaqueta/japona, com bolsos 
embutidos, capuz 
conjugado/removível, fechamento frontal, forrada/acolchoada, em material térmico e impermeável (ex.: poliamida com resina).
</t>
  </si>
  <si>
    <t>Crachá em PVC, com nome da empresa, nome do empregado, função e foto.</t>
  </si>
  <si>
    <t>Subtotal</t>
  </si>
  <si>
    <t>Custo mensal p/ empregado</t>
  </si>
  <si>
    <t>Custo mensal p/ posto</t>
  </si>
  <si>
    <t>EQUIPAMENTOS</t>
  </si>
  <si>
    <t>QUANT. / 60 MESES / 3 POSTOS</t>
  </si>
  <si>
    <t>Ponto eletrônico (amortizado em 60 meses e dividido entre os postos)</t>
  </si>
  <si>
    <t xml:space="preserve"> </t>
  </si>
  <si>
    <t>MATERIAIS</t>
  </si>
  <si>
    <t>QUANT. ANUAL / 3 POSTOS</t>
  </si>
  <si>
    <t>Guarda chuva profissional (amortizado em 12 meses e dividido entre os postos)</t>
  </si>
  <si>
    <r>
      <rPr>
        <b/>
        <sz val="18"/>
        <color theme="1"/>
        <rFont val="Arial"/>
      </rPr>
      <t>ANEXO -</t>
    </r>
    <r>
      <rPr>
        <b/>
        <sz val="18"/>
        <color rgb="FFFF0000"/>
        <rFont val="Arial"/>
      </rPr>
      <t xml:space="preserve"> </t>
    </r>
    <r>
      <rPr>
        <b/>
        <sz val="18"/>
        <color rgb="FF0000FF"/>
        <rFont val="Arial"/>
      </rPr>
      <t xml:space="preserve">CONTA VINCULADA
</t>
    </r>
    <r>
      <rPr>
        <b/>
        <sz val="18"/>
        <color theme="1"/>
        <rFont val="Arial"/>
      </rPr>
      <t xml:space="preserve">MODELO DE PLANILHA DE CUSTOS E FORMAÇÃO DE PREÇOS </t>
    </r>
    <r>
      <rPr>
        <b/>
        <sz val="18"/>
        <color rgb="FF800080"/>
        <rFont val="Arial"/>
      </rPr>
      <t xml:space="preserve"> </t>
    </r>
  </si>
  <si>
    <t xml:space="preserve">23364.000244/2025-25			</t>
  </si>
  <si>
    <t>POSTO NOTURNO</t>
  </si>
  <si>
    <r>
      <rPr>
        <b/>
        <sz val="10"/>
        <color rgb="FFFF0000"/>
        <rFont val="Arial"/>
      </rPr>
      <t xml:space="preserve">01/01/25 a 31/12/25
SIND DAS EMPR DE ASSEIO E CONSERVACAO DO EST DO R G S, SINDICATO DOS TRAB EM EMP DE ASSEIO CONS LIMP URB, AMB E AREAS VERDES E EMP DE
SERV TERC DO RAMO DE ASSEIO CONS LIMP URB AMB E AREAS VE DE CXS,
</t>
    </r>
    <r>
      <rPr>
        <sz val="10"/>
        <color rgb="FFFF0000"/>
        <rFont val="Arial"/>
      </rPr>
      <t>(que engloba Farroupilha)</t>
    </r>
  </si>
  <si>
    <t>12 X 36 horas noturnas - segunda a domingo das 19:00 as 07:00</t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</si>
  <si>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</si>
  <si>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r>
      <rPr>
        <b/>
        <sz val="10"/>
        <color theme="1"/>
        <rFont val="Arial"/>
      </rPr>
      <t xml:space="preserve">Salário Normativo da Categoria Profissional - </t>
    </r>
    <r>
      <rPr>
        <b/>
        <sz val="10"/>
        <color rgb="FF0000FF"/>
        <rFont val="Arial"/>
      </rPr>
      <t xml:space="preserve">para a jornada de </t>
    </r>
    <r>
      <rPr>
        <b/>
        <sz val="12"/>
        <color rgb="FF0000FF"/>
        <rFont val="Arial"/>
      </rPr>
      <t>44</t>
    </r>
    <r>
      <rPr>
        <b/>
        <sz val="10"/>
        <color rgb="FF0000FF"/>
        <rFont val="Arial"/>
      </rPr>
      <t xml:space="preserve"> h/sem</t>
    </r>
  </si>
  <si>
    <r>
      <rPr>
        <b/>
        <sz val="10"/>
        <color rgb="FFFF0000"/>
        <rFont val="Arial"/>
      </rPr>
      <t xml:space="preserve">Valor do salárioxhora - </t>
    </r>
    <r>
      <rPr>
        <b/>
        <sz val="10"/>
        <color rgb="FF0000FF"/>
        <rFont val="Arial"/>
      </rPr>
      <t>VSH = (Valor do salário normativo / 220 h)</t>
    </r>
  </si>
  <si>
    <r>
      <rPr>
        <b/>
        <sz val="10"/>
        <color rgb="FFFF0000"/>
        <rFont val="Arial"/>
      </rPr>
      <t xml:space="preserve">Valor da hora com 50% </t>
    </r>
    <r>
      <rPr>
        <b/>
        <sz val="10"/>
        <color rgb="FF0000FF"/>
        <rFont val="Arial"/>
      </rPr>
      <t>= H50 = valor da hora + 50%</t>
    </r>
  </si>
  <si>
    <r>
      <rPr>
        <b/>
        <sz val="10"/>
        <color rgb="FFFF0000"/>
        <rFont val="Arial"/>
      </rPr>
      <t xml:space="preserve">Valor da hora do adicional noturno - </t>
    </r>
    <r>
      <rPr>
        <b/>
        <sz val="10"/>
        <color rgb="FF0000FF"/>
        <rFont val="Arial"/>
      </rPr>
      <t>AN =</t>
    </r>
    <r>
      <rPr>
        <b/>
        <sz val="10"/>
        <color rgb="FFFF0000"/>
        <rFont val="Arial"/>
      </rPr>
      <t xml:space="preserve"> </t>
    </r>
    <r>
      <rPr>
        <b/>
        <sz val="10"/>
        <color rgb="FF0000FF"/>
        <rFont val="Arial"/>
      </rPr>
      <t>valor da hora x 20%</t>
    </r>
  </si>
  <si>
    <r>
      <rPr>
        <b/>
        <sz val="10"/>
        <color theme="1"/>
        <rFont val="Arial"/>
      </rPr>
      <t xml:space="preserve">Salário-Base  </t>
    </r>
    <r>
      <rPr>
        <b/>
        <sz val="10"/>
        <color rgb="FF0000FF"/>
        <rFont val="Arial"/>
      </rPr>
      <t xml:space="preserve"> jornada de 12x36 horas</t>
    </r>
    <r>
      <rPr>
        <b/>
        <sz val="10"/>
        <color theme="1"/>
        <rFont val="Arial"/>
      </rPr>
      <t xml:space="preserve"> </t>
    </r>
    <r>
      <rPr>
        <b/>
        <sz val="10"/>
        <color rgb="FFFF0000"/>
        <rFont val="Arial"/>
      </rPr>
      <t xml:space="preserve">Art. 59-A Lei 5.452/1943; Cláusula 54 CCT (valor integral)  </t>
    </r>
    <r>
      <rPr>
        <b/>
        <sz val="10"/>
        <color theme="1"/>
        <rFont val="Arial"/>
      </rPr>
      <t xml:space="preserve">                                              </t>
    </r>
  </si>
  <si>
    <r>
      <rPr>
        <b/>
        <sz val="10"/>
        <color theme="1"/>
        <rFont val="Arial"/>
      </rPr>
      <t>Adicional de Insalubridade</t>
    </r>
    <r>
      <rPr>
        <b/>
        <sz val="8"/>
        <color theme="1"/>
        <rFont val="Arial"/>
      </rPr>
      <t xml:space="preserve"> </t>
    </r>
    <r>
      <rPr>
        <b/>
        <sz val="8"/>
        <color rgb="FFFF0000"/>
        <rFont val="Arial"/>
      </rPr>
      <t xml:space="preserve"> </t>
    </r>
  </si>
  <si>
    <r>
      <rPr>
        <b/>
        <sz val="10"/>
        <color theme="1"/>
        <rFont val="Arial"/>
      </rPr>
      <t>Adicional Noturno  sobre:</t>
    </r>
    <r>
      <rPr>
        <b/>
        <sz val="10"/>
        <color rgb="FF0000FF"/>
        <rFont val="Arial"/>
      </rPr>
      <t xml:space="preserve"> 7h p/dia Das 22h às 5h. </t>
    </r>
    <r>
      <rPr>
        <b/>
        <sz val="10"/>
        <color theme="1"/>
        <rFont val="Arial"/>
      </rPr>
      <t xml:space="preserve">    </t>
    </r>
    <r>
      <rPr>
        <b/>
        <sz val="10"/>
        <color rgb="FFFF0000"/>
        <rFont val="Arial"/>
      </rPr>
      <t xml:space="preserve">Cálculo do valor: (ANx 7h)x15dx2port. </t>
    </r>
  </si>
  <si>
    <r>
      <rPr>
        <b/>
        <sz val="10"/>
        <color theme="1"/>
        <rFont val="Arial"/>
      </rPr>
      <t xml:space="preserve">Adicional de Hora Noturna Reduzida: 1h por dia: </t>
    </r>
    <r>
      <rPr>
        <b/>
        <sz val="10"/>
        <color rgb="FFFF0000"/>
        <rFont val="Arial"/>
      </rPr>
      <t>Cálculo do valor: (VSH*1h)x15d*2port.*120%)</t>
    </r>
  </si>
  <si>
    <r>
      <rPr>
        <b/>
        <sz val="10"/>
        <color theme="1"/>
        <rFont val="Arial"/>
      </rPr>
      <t xml:space="preserve">Intervalo Intrajornada </t>
    </r>
    <r>
      <rPr>
        <b/>
        <sz val="10"/>
        <color rgb="FFFF0000"/>
        <rFont val="Arial"/>
      </rPr>
      <t>(Adicional de Intervalo):Pagamento de 30 min. de Intervalo. Cláusula 54ª. Cálculo do valor: H50 x 15d x2portx</t>
    </r>
    <r>
      <rPr>
        <b/>
        <sz val="10"/>
        <color rgb="FF0000FF"/>
        <rFont val="Arial"/>
      </rPr>
      <t>0,5h</t>
    </r>
    <r>
      <rPr>
        <b/>
        <sz val="10"/>
        <color rgb="FFFF0000"/>
        <rFont val="Arial"/>
      </rPr>
      <t xml:space="preserve">) - </t>
    </r>
  </si>
  <si>
    <r>
      <rPr>
        <b/>
        <sz val="14"/>
        <color theme="1"/>
        <rFont val="Arial"/>
      </rPr>
      <t xml:space="preserve">Remuneração 2 = Total da Remuneração que o(s) empregado(s) irá(ão) receber
</t>
    </r>
    <r>
      <rPr>
        <b/>
        <sz val="11"/>
        <color rgb="FF0000FF"/>
        <rFont val="Arial"/>
      </rPr>
      <t xml:space="preserve">Valor entra nos seguintes cálculos: Item 2, "A" - Quadro-Resumo do Custo por Posto de Trabalho, Custos Indiretos, Lucro e Tributos. </t>
    </r>
  </si>
  <si>
    <t>Nota 1:  O Adicional Noturno e a Hora Noturna Reduzida, conforme art. 73 da CLT, serão pagos entre 22h e 5h do dia seguinte, sem prorrogação quando da jornada 12x36h.
Nota 2: Adicional Noturno: - Considera hora noturna de 22h às 5h do dia segunte, portanto 7 horas noturnas de uma jornada de 12h; - acréscimo de 20 % (conforme art. 73 da CLT)
Nota 3: Adicional de Hora Noturna Reduzida: A título de pagamento adicional computa-se o pagamento de 7min e 30 s a cada hora noturna, por 7 horas, totalizando 52min e 30 s, o que significa 1 hora da jornada de 12h.</t>
  </si>
  <si>
    <t xml:space="preserve">Submódulo 2.1 – 13º (décimo terceiro) Salário e Adicional de Férias                                                                
</t>
  </si>
  <si>
    <r>
      <rPr>
        <b/>
        <sz val="10"/>
        <color theme="1"/>
        <rFont val="Arial"/>
      </rPr>
      <t>13º (décimo terceiro) Salário</t>
    </r>
    <r>
      <rPr>
        <b/>
        <sz val="11"/>
        <color theme="1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</si>
  <si>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FF0000"/>
        <rFont val="Arial"/>
      </rPr>
      <t xml:space="preserve">Adicional de Férias Obrigatória a cotação de 3,025% sobre o valor do Módulo 1 - Composição da Remuneração, conforme Anexo XII da IN 5/17 (Férias + Adicional = 12,10% = 9,075% + 3,025%). </t>
    </r>
    <r>
      <rPr>
        <b/>
        <sz val="10"/>
        <color rgb="FF4A86E8"/>
        <rFont val="Arial"/>
      </rPr>
      <t xml:space="preserve">É vedada a cotação de Férias neste Submódulo, em face de tratar-se de Conta Vinculada. O custo do empregado substituto, quando o titular gozar férias, deverá ser previsto no Submódulo 4.1.A. Isso demonstra que a provisão de Férias neste Submódulo não teria  finalidade, em razão de que o pagamento do titular no seu mês de gozo de férias será feito pelo Módulo 1 - Composição da Remuneração. Na hipótese de o contrato não ser prorrogado, o pagamento relativo a Férias do empregado deverá ser efetivado pela provisão feita no Submódulo 4.1.A                                        
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</si>
  <si>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</si>
  <si>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b/>
        <sz val="9"/>
        <color rgb="FFFF0000"/>
        <rFont val="Arial"/>
      </rPr>
      <t>Cálculo do valor: % do RAT (Riscos Ambientais do Trabalho) x FAP (Fator Acidentário de Prevenção de cada empresa)</t>
    </r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</si>
  <si>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  </r>
    <r>
      <rPr>
        <sz val="9"/>
        <color rgb="FF009900"/>
        <rFont val="Arial"/>
      </rPr>
      <t>.</t>
    </r>
  </si>
  <si>
    <r>
      <rPr>
        <b/>
        <sz val="10"/>
        <color theme="1"/>
        <rFont val="Arial"/>
      </rPr>
      <t xml:space="preserve">Transporte                                               </t>
    </r>
    <r>
      <rPr>
        <b/>
        <sz val="10"/>
        <color rgb="FFFF0000"/>
        <rFont val="Arial"/>
      </rPr>
      <t>Cálculo do valor: [(2xVTx30) – (6%xSB)]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</si>
  <si>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A.1) Valor da passagem do transporte coletivo no município de prestação dos serviços: </t>
    </r>
    <r>
      <rPr>
        <b/>
        <sz val="8"/>
        <color rgb="FFFF0000"/>
        <rFont val="Arial"/>
      </rPr>
      <t>DECRETO MUNICIPAL Nº 7.616, DE 07 DE FEVEREIRO DE 2025.</t>
    </r>
  </si>
  <si>
    <r>
      <rPr>
        <b/>
        <sz val="9"/>
        <color theme="1"/>
        <rFont val="Arial"/>
      </rPr>
      <t xml:space="preserve">     </t>
    </r>
    <r>
      <rPr>
        <b/>
        <sz val="9"/>
        <color rgb="FFFF0000"/>
        <rFont val="Arial"/>
      </rPr>
      <t xml:space="preserve"> A.2) Quantidade de passagens por dia por empregado: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</si>
  <si>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A.3) Quantidade de dias do mês de recebimento de passagens </t>
    </r>
  </si>
  <si>
    <r>
      <rPr>
        <sz val="9"/>
        <color theme="1"/>
        <rFont val="Arial"/>
      </rPr>
      <t xml:space="preserve">     </t>
    </r>
    <r>
      <rPr>
        <b/>
        <sz val="9"/>
        <color rgb="FFFF0000"/>
        <rFont val="Arial"/>
      </rPr>
      <t>A.4) Participação do empregado em percentual do salário-base (cláusula 20 da CCT)</t>
    </r>
  </si>
  <si>
    <r>
      <rPr>
        <b/>
        <sz val="10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10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</si>
  <si>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B.1) Valor do auxílio-alimentação (cláusula 18 da CCT): </t>
    </r>
  </si>
  <si>
    <r>
      <rPr>
        <b/>
        <sz val="9"/>
        <color theme="1"/>
        <rFont val="Arial"/>
      </rPr>
      <t xml:space="preserve">    </t>
    </r>
    <r>
      <rPr>
        <b/>
        <sz val="9"/>
        <color rgb="FFFF0000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</si>
  <si>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</t>
    </r>
    <r>
      <rPr>
        <b/>
        <sz val="10"/>
        <color rgb="FFFF0000"/>
        <rFont val="Arial"/>
      </rPr>
      <t xml:space="preserve">(cláusula 30 da CCT)  </t>
    </r>
    <r>
      <rPr>
        <b/>
        <sz val="10"/>
        <color rgb="FF0000FF"/>
        <rFont val="Arial"/>
      </rPr>
      <t>Sem participação do empregado (24,10 por empregado)</t>
    </r>
  </si>
  <si>
    <r>
      <rPr>
        <b/>
        <sz val="10"/>
        <color theme="1"/>
        <rFont val="Arial"/>
      </rPr>
      <t xml:space="preserve">Aviso Prévio Indenizado    </t>
    </r>
    <r>
      <rPr>
        <b/>
        <sz val="9"/>
        <color rgb="FFFF0000"/>
        <rFont val="Arial"/>
      </rPr>
      <t xml:space="preserve"> Cálculo do valor = [Rem/12 + 13º/12 + (Férias + 1/3 Férias)/12] x (30/30=1) x 5% de rotatividade anual - Os reflexos de 13º, F e 1/3F são referentes a 1 mês de APInd -</t>
    </r>
    <r>
      <rPr>
        <b/>
        <sz val="8"/>
        <color rgb="FFFF0000"/>
        <rFont val="Arial"/>
      </rPr>
      <t xml:space="preserve">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</t>
    </r>
  </si>
  <si>
    <r>
      <rPr>
        <b/>
        <sz val="10"/>
        <color theme="1"/>
        <rFont val="Arial"/>
      </rPr>
      <t xml:space="preserve">Aviso Prévio Trabalhado </t>
    </r>
    <r>
      <rPr>
        <b/>
        <sz val="9"/>
        <color rgb="FFFF0000"/>
        <rFont val="Arial"/>
      </rPr>
      <t>Cálculo do valor= [(Rem/30)x7]/</t>
    </r>
    <r>
      <rPr>
        <b/>
        <sz val="11"/>
        <color rgb="FF0000FF"/>
        <rFont val="Arial"/>
      </rPr>
      <t>12</t>
    </r>
    <r>
      <rPr>
        <b/>
        <sz val="9"/>
        <color rgb="FFFF0000"/>
        <rFont val="Arial"/>
      </rPr>
      <t xml:space="preserve"> meses do contratox</t>
    </r>
    <r>
      <rPr>
        <b/>
        <sz val="9"/>
        <color rgb="FF0000FF"/>
        <rFont val="Arial"/>
      </rPr>
      <t>100%</t>
    </r>
    <r>
      <rPr>
        <b/>
        <sz val="9"/>
        <color rgb="FFFF0000"/>
        <rFont val="Arial"/>
      </rPr>
      <t xml:space="preserve"> dos empregados </t>
    </r>
    <r>
      <rPr>
        <b/>
        <sz val="8"/>
        <color rgb="FFFF0000"/>
        <rFont val="Arial"/>
      </rPr>
      <t xml:space="preserve">- ao final do contrato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</si>
  <si>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>Multa do FGTS sobre o Aviso Prévio Trabalhado e sobre o Aviso Prévio Indenizado</t>
    </r>
    <r>
      <rPr>
        <b/>
        <sz val="8"/>
        <color rgb="FFFF0000"/>
        <rFont val="Arial"/>
      </rPr>
      <t>Obrigatória a cotação de 4% sobre o valor do Módulo 1 – Composição da Remuneração, conforme Anexo XII da IN Seges nº 5/2017</t>
    </r>
  </si>
  <si>
    <r>
      <rPr>
        <b/>
        <sz val="11"/>
        <color rgb="FF0000FF"/>
        <rFont val="Arial"/>
      </rPr>
      <t xml:space="preserve">Base de cálculo para o Custo de Reposição do Profissional Ausente (substituto): BCCPA = MÓDULO 1 + MÓDULO 2 (-VA - VT) + FÉRIAS + MÓDULO 3 - </t>
    </r>
    <r>
      <rPr>
        <b/>
        <sz val="11"/>
        <color rgb="FFFF0000"/>
        <rFont val="Arial"/>
      </rPr>
      <t>exceto o 1) Substituto da cobertura de Férias; e 2) o Afastamento Maternidade, pois que neste a Rem e o 13º podem ser compensados pelo INSS,  e que têm cálculos diferenciados, conforme neles constam.</t>
    </r>
  </si>
  <si>
    <r>
      <rPr>
        <b/>
        <sz val="11"/>
        <color rgb="FF0000FF"/>
        <rFont val="Arial"/>
      </rPr>
      <t xml:space="preserve">MÓD 2 </t>
    </r>
    <r>
      <rPr>
        <b/>
        <sz val="10"/>
        <color rgb="FFFF0000"/>
        <rFont val="Arial"/>
      </rPr>
      <t>(sem VA e VT)</t>
    </r>
    <r>
      <rPr>
        <b/>
        <sz val="11"/>
        <color rgb="FF0000FF"/>
        <rFont val="Arial"/>
      </rPr>
      <t xml:space="preserve"> + Férias =</t>
    </r>
  </si>
  <si>
    <r>
      <rPr>
        <b/>
        <sz val="10"/>
        <color theme="1"/>
        <rFont val="Arial"/>
      </rPr>
      <t xml:space="preserve">Substituto na cobertura de Férias </t>
    </r>
    <r>
      <rPr>
        <b/>
        <sz val="8"/>
        <color rgb="FFFF0000"/>
        <rFont val="Arial"/>
      </rPr>
      <t xml:space="preserve">Obrigatória a cotação de 9,075% sobre o valor do (Módulo 1 - Composição da Remuneração  </t>
    </r>
    <r>
      <rPr>
        <b/>
        <sz val="8"/>
        <color rgb="FF4A86E8"/>
        <rFont val="Arial"/>
      </rPr>
      <t>mais o</t>
    </r>
    <r>
      <rPr>
        <b/>
        <sz val="8"/>
        <color rgb="FFFF0000"/>
        <rFont val="Arial"/>
      </rPr>
      <t xml:space="preserve"> percentual do Submódulo 2.2 sobre o cálculo anterior, conforme Anexo XII da IN 5/17 (Férias + Adicional = 12,10% = 9,075% + 3,025%) </t>
    </r>
  </si>
  <si>
    <r>
      <rPr>
        <b/>
        <sz val="10"/>
        <color theme="1"/>
        <rFont val="Arial"/>
      </rPr>
      <t xml:space="preserve">Substituto na cobertura de Ausências Legais 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/30)x1dia]/12</t>
    </r>
  </si>
  <si>
    <r>
      <rPr>
        <b/>
        <sz val="10"/>
        <color theme="1"/>
        <rFont val="Arial"/>
      </rPr>
      <t xml:space="preserve">Substituto na cobertura de Licença-Paternidade
</t>
    </r>
    <r>
      <rPr>
        <b/>
        <sz val="10"/>
        <color rgb="FFFF0000"/>
        <rFont val="Arial"/>
      </rPr>
      <t>Cálculo do valor = 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</si>
  <si>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Substituto na cobertura de Ausência por acidente de trabalho
</t>
    </r>
    <r>
      <rPr>
        <b/>
        <sz val="10"/>
        <color rgb="FFFF0000"/>
        <rFont val="Arial"/>
      </rPr>
      <t>Cálculo do valor = [(</t>
    </r>
    <r>
      <rPr>
        <b/>
        <sz val="10"/>
        <color rgb="FF4A86E8"/>
        <rFont val="Arial"/>
      </rPr>
      <t>BCCPA</t>
    </r>
    <r>
      <rPr>
        <b/>
        <sz val="10"/>
        <color rgb="FFFF0000"/>
        <rFont val="Arial"/>
      </rPr>
      <t>)  sobre a Rem)/30x0,97 dias]/12</t>
    </r>
  </si>
  <si>
    <r>
      <rPr>
        <b/>
        <sz val="10"/>
        <color theme="1"/>
        <rFont val="Arial"/>
      </rPr>
      <t xml:space="preserve">Substituto na cobertura de Afastamento Maternidade
</t>
    </r>
    <r>
      <rPr>
        <b/>
        <sz val="10"/>
        <color rgb="FFFF0000"/>
        <rFont val="Arial"/>
      </rPr>
      <t xml:space="preserve">Cálculo do valor = [((Férias + Férias / 3) + SUB2.2 x (Férias + Férias / 3)) x (4/12)] x 2% + [( FGTS x Rem + SUB 2.2 x 13º + SUB2.3 – VA – VT + MÓD3) x (4/12)] } x 2%     
</t>
    </r>
    <r>
      <rPr>
        <b/>
        <sz val="10"/>
        <color rgb="FF4A86E8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</si>
  <si>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theme="1"/>
        <rFont val="Arial"/>
      </rPr>
      <t xml:space="preserve">Substituto na cobertura de Ausência por doença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 xml:space="preserve">)/30)x3dias]/12
</t>
    </r>
    <r>
      <rPr>
        <b/>
        <sz val="9"/>
        <color rgb="FF4A86E8"/>
        <rFont val="Arial"/>
      </rPr>
      <t>Incluído por permissão da IN Seges nº 5/2017, Anexo VII-B, item 1.7, alíneas "b" e "c".5.</t>
    </r>
  </si>
  <si>
    <r>
      <rPr>
        <b/>
        <sz val="10"/>
        <color theme="1"/>
        <rFont val="Arial"/>
      </rPr>
      <t xml:space="preserve">Uniformes  </t>
    </r>
    <r>
      <rPr>
        <b/>
        <sz val="10"/>
        <color rgb="FF0000FF"/>
        <rFont val="Arial"/>
      </rPr>
      <t xml:space="preserve">para o posto </t>
    </r>
  </si>
  <si>
    <r>
      <rPr>
        <b/>
        <sz val="10"/>
        <color theme="1"/>
        <rFont val="Arial"/>
      </rPr>
      <t xml:space="preserve">Materiais / Equipamentos </t>
    </r>
    <r>
      <rPr>
        <b/>
        <sz val="10"/>
        <color rgb="FF0000FF"/>
        <rFont val="Arial"/>
      </rPr>
      <t>(Com 1 lanterna para o posto) (ponto eletrônico e guarda-chuva para os 3 postos</t>
    </r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</si>
  <si>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a) Cofins</t>
    </r>
    <r>
      <rPr>
        <b/>
        <sz val="10"/>
        <color rgb="FF000000"/>
        <rFont val="Arial"/>
      </rPr>
      <t xml:space="preserve">  </t>
    </r>
    <r>
      <rPr>
        <sz val="8"/>
        <color rgb="FFFF0000"/>
        <rFont val="Arial"/>
      </rPr>
      <t xml:space="preserve">(depende do regime de tributação - utilizada a hipótese de Lucro Real) 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</si>
  <si>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b) PIS</t>
    </r>
    <r>
      <rPr>
        <b/>
        <sz val="10"/>
        <color rgb="FF000000"/>
        <rFont val="Arial"/>
      </rPr>
      <t xml:space="preserve"> </t>
    </r>
    <r>
      <rPr>
        <sz val="9"/>
        <color rgb="FFFF0000"/>
        <rFont val="Arial"/>
      </rPr>
      <t xml:space="preserve">(depende do regime de tributação - utilizada a hipótese de Lucro Real)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</si>
  <si>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b/>
        <sz val="12"/>
        <color theme="1"/>
        <rFont val="Arial"/>
      </rPr>
      <t xml:space="preserve"> c) IRPJ</t>
    </r>
    <r>
      <rPr>
        <b/>
        <sz val="12"/>
        <color rgb="FFFF0000"/>
        <rFont val="Arial"/>
      </rPr>
      <t xml:space="preserve"> </t>
    </r>
    <r>
      <rPr>
        <b/>
        <sz val="12"/>
        <color rgb="FF0000FF"/>
        <rFont val="Arial"/>
      </rPr>
      <t>-</t>
    </r>
    <r>
      <rPr>
        <b/>
        <sz val="9"/>
        <color rgb="FF0000FF"/>
        <rFont val="Arial"/>
      </rPr>
      <t xml:space="preserve"> 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</si>
  <si>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 d) CSLL </t>
    </r>
    <r>
      <rPr>
        <b/>
        <sz val="10"/>
        <color rgb="FF0000FF"/>
        <rFont val="Arial"/>
      </rPr>
      <t xml:space="preserve">- </t>
    </r>
    <r>
      <rPr>
        <b/>
        <sz val="9"/>
        <color rgb="FF0000FF"/>
        <rFont val="Arial"/>
      </rPr>
      <t xml:space="preserve">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</si>
  <si>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a) ISS </t>
    </r>
    <r>
      <rPr>
        <sz val="12"/>
        <color theme="1"/>
        <rFont val="Arial"/>
      </rPr>
      <t xml:space="preserve">      </t>
    </r>
    <r>
      <rPr>
        <sz val="8"/>
        <color rgb="FFFF0000"/>
        <rFont val="Arial"/>
      </rPr>
      <t>(no município de prestação dos serviços) LEI MUNICIPAL Nº 4.928, DE 16 DE SETEMBRO DE 2024.</t>
    </r>
  </si>
  <si>
    <r>
      <rPr>
        <b/>
        <sz val="12"/>
        <color theme="1"/>
        <rFont val="Arial"/>
      </rPr>
      <t xml:space="preserve">
</t>
    </r>
    <r>
      <rPr>
        <b/>
        <sz val="11"/>
        <color theme="1"/>
        <rFont val="Arial"/>
      </rPr>
      <t xml:space="preserve">2. QUADRO-RESUMO DO CUSTO POR POSTO DE TRABALHO
</t>
    </r>
  </si>
  <si>
    <t>QUANT. ANUAL / POSTO</t>
  </si>
  <si>
    <t>Lanterna</t>
  </si>
  <si>
    <r>
      <rPr>
        <b/>
        <sz val="18"/>
        <color theme="1"/>
        <rFont val="Arial"/>
      </rPr>
      <t>ANEXO -</t>
    </r>
    <r>
      <rPr>
        <b/>
        <sz val="18"/>
        <color rgb="FFFF0000"/>
        <rFont val="Arial"/>
      </rPr>
      <t xml:space="preserve"> </t>
    </r>
    <r>
      <rPr>
        <b/>
        <sz val="18"/>
        <color rgb="FF0000FF"/>
        <rFont val="Arial"/>
      </rPr>
      <t xml:space="preserve">CONTA VINCULADA
</t>
    </r>
    <r>
      <rPr>
        <b/>
        <sz val="18"/>
        <color theme="1"/>
        <rFont val="Arial"/>
      </rPr>
      <t xml:space="preserve">MODELO DE PLANILHA DE CUSTOS E FORMAÇÃO DE PREÇOS </t>
    </r>
    <r>
      <rPr>
        <b/>
        <sz val="18"/>
        <color rgb="FF800080"/>
        <rFont val="Arial"/>
      </rPr>
      <t xml:space="preserve"> </t>
    </r>
  </si>
  <si>
    <t>POSTO 22H</t>
  </si>
  <si>
    <r>
      <rPr>
        <b/>
        <sz val="10"/>
        <color rgb="FFFF0000"/>
        <rFont val="Arial"/>
      </rPr>
      <t xml:space="preserve">01/01/25 a 31/12/25
SIND DAS EMPR DE ASSEIO E CONSERVACAO DO EST DO R G S, SINDICATO DOS TRAB EM EMP DE ASSEIO CONS LIMP URB, AMB E AREAS VERDES E EMP DE
SERV TERC DO RAMO DE ASSEIO CONS LIMP URB AMB E AREAS VE DE CXS,
</t>
    </r>
    <r>
      <rPr>
        <sz val="10"/>
        <color rgb="FFFF0000"/>
        <rFont val="Arial"/>
      </rPr>
      <t>(que engloba Farroupilha)</t>
    </r>
  </si>
  <si>
    <t>SERVIÇO DE PORTARIA 22 horas - segunda a sexta -  18:36 às 23:00 de segunda à sexta</t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</si>
  <si>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</si>
  <si>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r>
      <rPr>
        <b/>
        <sz val="10"/>
        <color theme="1"/>
        <rFont val="Arial"/>
      </rPr>
      <t xml:space="preserve">Salário Normativo da Categoria Profissional - </t>
    </r>
    <r>
      <rPr>
        <b/>
        <sz val="10"/>
        <color rgb="FF0000FF"/>
        <rFont val="Arial"/>
      </rPr>
      <t xml:space="preserve">para a jornada de </t>
    </r>
    <r>
      <rPr>
        <b/>
        <sz val="12"/>
        <color rgb="FF0000FF"/>
        <rFont val="Arial"/>
      </rPr>
      <t>44</t>
    </r>
    <r>
      <rPr>
        <b/>
        <sz val="10"/>
        <color rgb="FF0000FF"/>
        <rFont val="Arial"/>
      </rPr>
      <t xml:space="preserve"> h/sem</t>
    </r>
  </si>
  <si>
    <r>
      <rPr>
        <b/>
        <sz val="10"/>
        <color rgb="FFFF0000"/>
        <rFont val="Arial"/>
      </rPr>
      <t xml:space="preserve">Valor do salárioxhora - </t>
    </r>
    <r>
      <rPr>
        <b/>
        <sz val="10"/>
        <color rgb="FF0000FF"/>
        <rFont val="Arial"/>
      </rPr>
      <t>VSH = (Valor do salário normativo / 220 h)</t>
    </r>
  </si>
  <si>
    <r>
      <rPr>
        <b/>
        <sz val="10"/>
        <color rgb="FFFF0000"/>
        <rFont val="Arial"/>
      </rPr>
      <t xml:space="preserve">Valor da hora com 50% </t>
    </r>
    <r>
      <rPr>
        <b/>
        <sz val="10"/>
        <color rgb="FF0000FF"/>
        <rFont val="Arial"/>
      </rPr>
      <t>= H50 = valor da hora + 50%</t>
    </r>
  </si>
  <si>
    <r>
      <rPr>
        <b/>
        <sz val="10"/>
        <color rgb="FFFF0000"/>
        <rFont val="Arial"/>
      </rPr>
      <t xml:space="preserve">Valor da hora do adicional noturno - </t>
    </r>
    <r>
      <rPr>
        <b/>
        <sz val="10"/>
        <color rgb="FF0000FF"/>
        <rFont val="Arial"/>
      </rPr>
      <t>AN =</t>
    </r>
    <r>
      <rPr>
        <b/>
        <sz val="10"/>
        <color rgb="FFFF0000"/>
        <rFont val="Arial"/>
      </rPr>
      <t xml:space="preserve"> </t>
    </r>
    <r>
      <rPr>
        <b/>
        <sz val="10"/>
        <color rgb="FF0000FF"/>
        <rFont val="Arial"/>
      </rPr>
      <t>valor da hora x 20%</t>
    </r>
  </si>
  <si>
    <r>
      <rPr>
        <b/>
        <sz val="10"/>
        <color theme="1"/>
        <rFont val="Arial"/>
      </rPr>
      <t xml:space="preserve">Salário-Base  </t>
    </r>
    <r>
      <rPr>
        <b/>
        <sz val="10"/>
        <color rgb="FF0000FF"/>
        <rFont val="Arial"/>
      </rPr>
      <t xml:space="preserve"> para jornada de 22 horas semanais  (CH/6)*(30)*(SB/220)    </t>
    </r>
    <r>
      <rPr>
        <b/>
        <sz val="10"/>
        <color theme="1"/>
        <rFont val="Arial"/>
      </rPr>
      <t xml:space="preserve">                                            </t>
    </r>
  </si>
  <si>
    <r>
      <rPr>
        <b/>
        <sz val="10"/>
        <color theme="1"/>
        <rFont val="Arial"/>
      </rPr>
      <t>Adicional de Insalubridade</t>
    </r>
    <r>
      <rPr>
        <b/>
        <sz val="8"/>
        <color theme="1"/>
        <rFont val="Arial"/>
      </rPr>
      <t xml:space="preserve"> </t>
    </r>
    <r>
      <rPr>
        <b/>
        <sz val="8"/>
        <color rgb="FFFF0000"/>
        <rFont val="Arial"/>
      </rPr>
      <t xml:space="preserve"> </t>
    </r>
  </si>
  <si>
    <r>
      <rPr>
        <b/>
        <sz val="10"/>
        <color theme="1"/>
        <rFont val="Arial"/>
      </rPr>
      <t xml:space="preserve">Adicional Noturno  sobre: </t>
    </r>
    <r>
      <rPr>
        <b/>
        <sz val="10"/>
        <color rgb="FF0000FF"/>
        <rFont val="Arial"/>
      </rPr>
      <t>1h p/dia Das 22h às 23h.</t>
    </r>
    <r>
      <rPr>
        <b/>
        <sz val="10"/>
        <color theme="1"/>
        <rFont val="Arial"/>
      </rPr>
      <t xml:space="preserve">   </t>
    </r>
    <r>
      <rPr>
        <b/>
        <sz val="10"/>
        <color rgb="FFFF0000"/>
        <rFont val="Arial"/>
      </rPr>
      <t xml:space="preserve">Cálculo do valor: (ANx 1h)x22dx1port. </t>
    </r>
    <r>
      <rPr>
        <b/>
        <sz val="10"/>
        <color theme="1"/>
        <rFont val="Arial"/>
      </rPr>
      <t xml:space="preserve">  </t>
    </r>
  </si>
  <si>
    <r>
      <rPr>
        <b/>
        <sz val="10"/>
        <color theme="1"/>
        <rFont val="Arial"/>
      </rPr>
      <t xml:space="preserve">Adicional de Hora Noturna Reduzida: </t>
    </r>
    <r>
      <rPr>
        <b/>
        <sz val="10"/>
        <color rgb="FF0000FF"/>
        <rFont val="Arial"/>
      </rPr>
      <t>0,125h por dia</t>
    </r>
    <r>
      <rPr>
        <b/>
        <sz val="10"/>
        <color theme="1"/>
        <rFont val="Arial"/>
      </rPr>
      <t xml:space="preserve"> </t>
    </r>
    <r>
      <rPr>
        <b/>
        <sz val="10"/>
        <color rgb="FFFF0000"/>
        <rFont val="Arial"/>
      </rPr>
      <t>Cálculo do valor: (VSH*0,125)x22d*1port.*120%)</t>
    </r>
  </si>
  <si>
    <t>Nota 1:  O Adicional Noturno e a Hora Noturna Reduzida, conforme art. 73 da CLT, serão pagos entre 22h e 5h do dia seguinte.
Nota 2: Adicional Noturno: - Considera hora noturna de 22h às 5h do dia seguinte, portanto 1 hora noturna por dia; - acréscimo de 20 % (conforme art. 73 da CLT)
Nota 3: Adicional de Hora Noturna Reduzida: A título de pagamento adicional computa-se o pagamento de 7min e 30s a cada hora noturna = 0,125h</t>
  </si>
  <si>
    <r>
      <rPr>
        <b/>
        <sz val="10"/>
        <color theme="1"/>
        <rFont val="Arial"/>
      </rPr>
      <t>13º (décimo terceiro) Salário</t>
    </r>
    <r>
      <rPr>
        <b/>
        <sz val="11"/>
        <color theme="1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</si>
  <si>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10"/>
        <color rgb="FFFF0000"/>
        <rFont val="Arial"/>
      </rPr>
      <t xml:space="preserve">Adicional de Férias Obrigatória a cotação de 3,025% sobre o valor do Módulo 1 - Composição da Remuneração, conforme Anexo XII da IN 5/17 (Férias + Adicional = 12,10% = 9,075% + 3,025%). </t>
    </r>
    <r>
      <rPr>
        <b/>
        <sz val="10"/>
        <color rgb="FF4A86E8"/>
        <rFont val="Arial"/>
      </rPr>
      <t xml:space="preserve">É vedada a cotação de Férias neste Submódulo, em face de tratar-se de Conta Vinculada. O custo do empregado substituto, quando o titular gozar férias, deverá ser previsto no Submódulo 4.1.A. Isso demonstra que a provisão de Férias neste Submódulo não teria  finalidade, em razão de que o pagamento do titular no seu mês de gozo de férias será feito pelo Módulo 1 - Composição da Remuneração. Na hipótese de o contrato não ser prorrogado, o pagamento relativo a Férias do empregado deverá ser efetivado pela provisão feita no Submódulo 4.1.A                                        
</t>
    </r>
  </si>
  <si>
    <r>
      <rPr>
        <b/>
        <sz val="11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1"/>
        <color rgb="FF0000FF"/>
        <rFont val="Arial"/>
      </rPr>
      <t>(Base de cálculo: Módulo 1 + Submódulo 2.1)</t>
    </r>
  </si>
  <si>
    <r>
      <rPr>
        <b/>
        <sz val="10"/>
        <color theme="1"/>
        <rFont val="Arial"/>
      </rPr>
      <t xml:space="preserve">RAT x FAP
</t>
    </r>
    <r>
      <rPr>
        <b/>
        <sz val="9"/>
        <color rgb="FFFF0000"/>
        <rFont val="Arial"/>
      </rPr>
      <t>Cálculo do valor: % do RAT (Riscos Ambientais do Trabalho) x FAP (Fator Acidentário de Prevenção de cada empresa)</t>
    </r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</si>
  <si>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  </r>
    <r>
      <rPr>
        <sz val="9"/>
        <color rgb="FF009900"/>
        <rFont val="Arial"/>
      </rPr>
      <t>.</t>
    </r>
  </si>
  <si>
    <r>
      <rPr>
        <b/>
        <sz val="10"/>
        <color theme="1"/>
        <rFont val="Arial"/>
      </rPr>
      <t xml:space="preserve">Transporte                                               </t>
    </r>
    <r>
      <rPr>
        <b/>
        <sz val="10"/>
        <color rgb="FFFF0000"/>
        <rFont val="Arial"/>
      </rPr>
      <t>Cálculo do valor: [(2xVTx22) – (6%xSB)]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</si>
  <si>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A.1) Valor da passagem do transporte coletivo no município de prestação dos serviços: </t>
    </r>
    <r>
      <rPr>
        <b/>
        <sz val="8"/>
        <color rgb="FFFF0000"/>
        <rFont val="Arial"/>
      </rPr>
      <t>DECRETO MUNICIPAL Nº 7.616, DE 07 DE FEVEREIRO DE 2025.</t>
    </r>
  </si>
  <si>
    <r>
      <rPr>
        <b/>
        <sz val="9"/>
        <color theme="1"/>
        <rFont val="Arial"/>
      </rPr>
      <t xml:space="preserve">     </t>
    </r>
    <r>
      <rPr>
        <b/>
        <sz val="9"/>
        <color rgb="FFFF0000"/>
        <rFont val="Arial"/>
      </rPr>
      <t xml:space="preserve"> A.2) Quantidade de passagens por dia por empregado: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</si>
  <si>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A.3) Quantidade de dias do mês de recebimento de passagens </t>
    </r>
  </si>
  <si>
    <r>
      <rPr>
        <sz val="9"/>
        <color theme="1"/>
        <rFont val="Arial"/>
      </rPr>
      <t xml:space="preserve">     </t>
    </r>
    <r>
      <rPr>
        <b/>
        <sz val="9"/>
        <color rgb="FFFF0000"/>
        <rFont val="Arial"/>
      </rPr>
      <t>A.4) Participação do empregado em percentual do salário-base (cláusula 20 da CCT)</t>
    </r>
  </si>
  <si>
    <r>
      <rPr>
        <b/>
        <sz val="10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10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</si>
  <si>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9"/>
        <color theme="1"/>
        <rFont val="Arial"/>
      </rPr>
      <t xml:space="preserve">      </t>
    </r>
    <r>
      <rPr>
        <b/>
        <sz val="9"/>
        <color rgb="FFFF0000"/>
        <rFont val="Arial"/>
      </rPr>
      <t xml:space="preserve">B.1) Valor do auxílio-alimentação (cláusula 20 da CCT): </t>
    </r>
  </si>
  <si>
    <r>
      <rPr>
        <b/>
        <sz val="9"/>
        <color theme="1"/>
        <rFont val="Arial"/>
      </rPr>
      <t xml:space="preserve">    </t>
    </r>
    <r>
      <rPr>
        <b/>
        <sz val="9"/>
        <color rgb="FFFF0000"/>
        <rFont val="Arial"/>
      </rPr>
      <t xml:space="preserve">  B.2) Quantidade de dias do mês de recebimento de auxílio-alimentação</t>
    </r>
  </si>
  <si>
    <r>
      <rPr>
        <b/>
        <sz val="10"/>
        <color theme="1"/>
        <rFont val="Arial"/>
      </rPr>
      <t xml:space="preserve">Plano de Benefício Social Familiar </t>
    </r>
    <r>
      <rPr>
        <b/>
        <sz val="10"/>
        <color rgb="FFFF0000"/>
        <rFont val="Arial"/>
      </rPr>
      <t xml:space="preserve">(cláusula 30 da CCT)  </t>
    </r>
    <r>
      <rPr>
        <b/>
        <sz val="10"/>
        <color rgb="FF0000FF"/>
        <rFont val="Arial"/>
      </rPr>
      <t>Sem participação do empregado (24,10 por empregado)</t>
    </r>
  </si>
  <si>
    <r>
      <rPr>
        <b/>
        <sz val="10"/>
        <color theme="1"/>
        <rFont val="Arial"/>
      </rPr>
      <t xml:space="preserve">Aviso Prévio Indenizado    </t>
    </r>
    <r>
      <rPr>
        <b/>
        <sz val="9"/>
        <color rgb="FFFF0000"/>
        <rFont val="Arial"/>
      </rPr>
      <t xml:space="preserve"> Cálculo do valor = [Rem/12 + 13º/12 + (Férias + 1/3 Férias)/12] x (30/30=1) x 5% de rotatividade anual - Os reflexos de 13º, F e 1/3F são referentes a 1 mês de APInd -</t>
    </r>
    <r>
      <rPr>
        <b/>
        <sz val="8"/>
        <color rgb="FFFF0000"/>
        <rFont val="Arial"/>
      </rPr>
      <t xml:space="preserve">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</t>
    </r>
  </si>
  <si>
    <r>
      <rPr>
        <b/>
        <sz val="10"/>
        <color theme="1"/>
        <rFont val="Arial"/>
      </rPr>
      <t xml:space="preserve">Aviso Prévio Trabalhado </t>
    </r>
    <r>
      <rPr>
        <b/>
        <sz val="9"/>
        <color rgb="FFFF0000"/>
        <rFont val="Arial"/>
      </rPr>
      <t>Cálculo do valor= [(Rem/30)x7]/</t>
    </r>
    <r>
      <rPr>
        <b/>
        <sz val="11"/>
        <color rgb="FF0000FF"/>
        <rFont val="Arial"/>
      </rPr>
      <t>12</t>
    </r>
    <r>
      <rPr>
        <b/>
        <sz val="9"/>
        <color rgb="FFFF0000"/>
        <rFont val="Arial"/>
      </rPr>
      <t xml:space="preserve"> meses do contratox</t>
    </r>
    <r>
      <rPr>
        <b/>
        <sz val="9"/>
        <color rgb="FF0000FF"/>
        <rFont val="Arial"/>
      </rPr>
      <t>100%</t>
    </r>
    <r>
      <rPr>
        <b/>
        <sz val="9"/>
        <color rgb="FFFF0000"/>
        <rFont val="Arial"/>
      </rPr>
      <t xml:space="preserve"> dos empregados </t>
    </r>
    <r>
      <rPr>
        <b/>
        <sz val="8"/>
        <color rgb="FFFF0000"/>
        <rFont val="Arial"/>
      </rPr>
      <t xml:space="preserve">- ao final do contrato </t>
    </r>
    <r>
      <rPr>
        <b/>
        <sz val="8"/>
        <color rgb="FF4A86E8"/>
        <rFont val="Arial"/>
      </rPr>
      <t>Na prorrogação, poderão ser considerados 3 dias conforme Lei nº 12.506/2011, dependendo da análise do nº de ocorrências deste evento no período.</t>
    </r>
  </si>
  <si>
    <r>
      <rPr>
        <b/>
        <sz val="10"/>
        <color theme="1"/>
        <rFont val="Arial"/>
      </rPr>
      <t>Multa do FGTS sobre o Aviso Prévio Trabalhado e sobre o Aviso Prévio Indenizado</t>
    </r>
    <r>
      <rPr>
        <b/>
        <sz val="8"/>
        <color rgb="FFFF0000"/>
        <rFont val="Arial"/>
      </rPr>
      <t>Obrigatória a cotação de 4% sobre o valor do Módulo 1 – Composição da Remuneração, conforme Anexo XII da IN Seges nº 5/2017</t>
    </r>
  </si>
  <si>
    <r>
      <rPr>
        <b/>
        <sz val="11"/>
        <color rgb="FF0000FF"/>
        <rFont val="Arial"/>
      </rPr>
      <t xml:space="preserve">Base de cálculo para o Custo de Reposição do Profissional Ausente (substituto): BCCPA = MÓDULO 1 + MÓDULO 2 (-VA - VT) + FÉRIAS + MÓDULO 3 - </t>
    </r>
    <r>
      <rPr>
        <b/>
        <sz val="11"/>
        <color rgb="FFFF0000"/>
        <rFont val="Arial"/>
      </rPr>
      <t>exceto o 1) Substituto da cobertura de Férias; e 2) o Afastamento Maternidade, pois que neste a Rem e o 13º podem ser compensados pelo INSS,  e que têm cálculos diferenciados, conforme neles constam.</t>
    </r>
  </si>
  <si>
    <r>
      <rPr>
        <b/>
        <sz val="11"/>
        <color rgb="FF0000FF"/>
        <rFont val="Arial"/>
      </rPr>
      <t xml:space="preserve">MÓD 2 </t>
    </r>
    <r>
      <rPr>
        <b/>
        <sz val="10"/>
        <color rgb="FFFF0000"/>
        <rFont val="Arial"/>
      </rPr>
      <t>(sem VA e VT)</t>
    </r>
    <r>
      <rPr>
        <b/>
        <sz val="11"/>
        <color rgb="FF0000FF"/>
        <rFont val="Arial"/>
      </rPr>
      <t xml:space="preserve"> + Férias =</t>
    </r>
  </si>
  <si>
    <r>
      <rPr>
        <b/>
        <sz val="10"/>
        <color theme="1"/>
        <rFont val="Arial"/>
      </rPr>
      <t xml:space="preserve">Substituto na cobertura de Férias </t>
    </r>
    <r>
      <rPr>
        <b/>
        <sz val="8"/>
        <color rgb="FFFF0000"/>
        <rFont val="Arial"/>
      </rPr>
      <t xml:space="preserve">Obrigatória a cotação de 9,075% sobre o valor do (Módulo 1 - Composição da Remuneração  </t>
    </r>
    <r>
      <rPr>
        <b/>
        <sz val="8"/>
        <color rgb="FF4A86E8"/>
        <rFont val="Arial"/>
      </rPr>
      <t>mais o</t>
    </r>
    <r>
      <rPr>
        <b/>
        <sz val="8"/>
        <color rgb="FFFF0000"/>
        <rFont val="Arial"/>
      </rPr>
      <t xml:space="preserve"> percentual do Submódulo 2.2 sobre o cálculo anterior, conforme Anexo XII da IN 5/17 (Férias + Adicional = 12,10% = 9,075% + 3,025%) </t>
    </r>
  </si>
  <si>
    <r>
      <rPr>
        <b/>
        <sz val="10"/>
        <color theme="1"/>
        <rFont val="Arial"/>
      </rPr>
      <t xml:space="preserve">Substituto na cobertura de Ausências Legais 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/30)x1dia]/12</t>
    </r>
  </si>
  <si>
    <r>
      <rPr>
        <b/>
        <sz val="10"/>
        <color theme="1"/>
        <rFont val="Arial"/>
      </rPr>
      <t xml:space="preserve">Substituto na cobertura de Licença-Paternidade
</t>
    </r>
    <r>
      <rPr>
        <b/>
        <sz val="10"/>
        <color rgb="FFFF0000"/>
        <rFont val="Arial"/>
      </rPr>
      <t>Cálculo do valor = 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</si>
  <si>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Substituto na cobertura de Ausência por acidente de trabalho
</t>
    </r>
    <r>
      <rPr>
        <b/>
        <sz val="10"/>
        <color rgb="FFFF0000"/>
        <rFont val="Arial"/>
      </rPr>
      <t>Cálculo do valor = [(</t>
    </r>
    <r>
      <rPr>
        <b/>
        <sz val="10"/>
        <color rgb="FF4A86E8"/>
        <rFont val="Arial"/>
      </rPr>
      <t>BCCPA</t>
    </r>
    <r>
      <rPr>
        <b/>
        <sz val="10"/>
        <color rgb="FFFF0000"/>
        <rFont val="Arial"/>
      </rPr>
      <t>)  sobre a Rem)/30x0,97 dias]/12</t>
    </r>
  </si>
  <si>
    <r>
      <rPr>
        <b/>
        <sz val="10"/>
        <color theme="1"/>
        <rFont val="Arial"/>
      </rPr>
      <t xml:space="preserve">Substituto na cobertura de Afastamento Maternidade
</t>
    </r>
    <r>
      <rPr>
        <b/>
        <sz val="10"/>
        <color rgb="FFFF0000"/>
        <rFont val="Arial"/>
      </rPr>
      <t xml:space="preserve">Cálculo do valor = [((Férias + Férias / 3) + SUB2.2 x (Férias + Férias / 3)) x (4/12)] x 2% + [( FGTS x Rem + SUB 2.2 x 13º + SUB2.3 – VA – VT + MÓD3) x (4/12)] } x 2%     
</t>
    </r>
    <r>
      <rPr>
        <b/>
        <sz val="10"/>
        <color rgb="FF4A86E8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</si>
  <si>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10"/>
        <color theme="1"/>
        <rFont val="Arial"/>
      </rPr>
      <t xml:space="preserve">Substituto na cobertura de Ausência por doença
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 xml:space="preserve">)/30)x3dias]/12
</t>
    </r>
    <r>
      <rPr>
        <b/>
        <sz val="9"/>
        <color rgb="FF4A86E8"/>
        <rFont val="Arial"/>
      </rPr>
      <t>Incluído por permissão da IN Seges nº 5/2017, Anexo VII-B, item 1.7, alíneas "b" e "c".5.</t>
    </r>
  </si>
  <si>
    <r>
      <rPr>
        <b/>
        <sz val="10"/>
        <color theme="1"/>
        <rFont val="Arial"/>
      </rPr>
      <t xml:space="preserve">Uniformes  </t>
    </r>
    <r>
      <rPr>
        <b/>
        <sz val="10"/>
        <color rgb="FF0000FF"/>
        <rFont val="Arial"/>
      </rPr>
      <t xml:space="preserve">para o posto </t>
    </r>
  </si>
  <si>
    <r>
      <rPr>
        <b/>
        <sz val="10"/>
        <color theme="1"/>
        <rFont val="Arial"/>
      </rPr>
      <t xml:space="preserve">Materiais / Equipamentos </t>
    </r>
    <r>
      <rPr>
        <b/>
        <sz val="10"/>
        <color rgb="FF0000FF"/>
        <rFont val="Arial"/>
      </rPr>
      <t>(Com 1 lanterna para o posto) (ponto eletrônico e guarda-chuva para os 3 postos</t>
    </r>
  </si>
  <si>
    <t>BASE DE CÁLCULO DOS CUSTOS INDIRETOS 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</si>
  <si>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BASE DE CÁLCULO DO LUCRO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</si>
  <si>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a) Cofins</t>
    </r>
    <r>
      <rPr>
        <b/>
        <sz val="10"/>
        <color rgb="FF000000"/>
        <rFont val="Arial"/>
      </rPr>
      <t xml:space="preserve">  </t>
    </r>
    <r>
      <rPr>
        <sz val="8"/>
        <color rgb="FFFF0000"/>
        <rFont val="Arial"/>
      </rPr>
      <t xml:space="preserve">(depende do regime de tributação - utilizada a hipótese de Lucro Real) 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</si>
  <si>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sz val="12"/>
        <color rgb="FF000000"/>
        <rFont val="Arial"/>
      </rPr>
      <t xml:space="preserve">  </t>
    </r>
    <r>
      <rPr>
        <b/>
        <sz val="12"/>
        <color rgb="FF000000"/>
        <rFont val="Arial"/>
      </rPr>
      <t>b) PIS</t>
    </r>
    <r>
      <rPr>
        <b/>
        <sz val="10"/>
        <color rgb="FF000000"/>
        <rFont val="Arial"/>
      </rPr>
      <t xml:space="preserve"> </t>
    </r>
    <r>
      <rPr>
        <sz val="9"/>
        <color rgb="FFFF0000"/>
        <rFont val="Arial"/>
      </rPr>
      <t xml:space="preserve">(depende do regime de tributação - utilizada a hipótese de Lucro Real)
</t>
    </r>
    <r>
      <rPr>
        <sz val="8"/>
        <color rgb="FF4A86E8"/>
        <rFont val="Arial"/>
      </rPr>
      <t>Os licitantes optantes ou obrigados ao regime não cumulativo da Cofins devem cotar a alíquota média, com demonstração</t>
    </r>
  </si>
  <si>
    <r>
      <rPr>
        <b/>
        <sz val="12"/>
        <color theme="1"/>
        <rFont val="Arial"/>
      </rPr>
      <t xml:space="preserve"> c) IRPJ</t>
    </r>
    <r>
      <rPr>
        <b/>
        <sz val="12"/>
        <color rgb="FFFF0000"/>
        <rFont val="Arial"/>
      </rPr>
      <t xml:space="preserve"> </t>
    </r>
    <r>
      <rPr>
        <b/>
        <sz val="12"/>
        <color rgb="FF0000FF"/>
        <rFont val="Arial"/>
      </rPr>
      <t>-</t>
    </r>
    <r>
      <rPr>
        <b/>
        <sz val="9"/>
        <color rgb="FF0000FF"/>
        <rFont val="Arial"/>
      </rPr>
      <t xml:space="preserve"> 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</si>
  <si>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 d) CSLL </t>
    </r>
    <r>
      <rPr>
        <b/>
        <sz val="10"/>
        <color rgb="FF0000FF"/>
        <rFont val="Arial"/>
      </rPr>
      <t xml:space="preserve">- </t>
    </r>
    <r>
      <rPr>
        <b/>
        <sz val="9"/>
        <color rgb="FF0000FF"/>
        <rFont val="Arial"/>
      </rPr>
      <t xml:space="preserve"> Em face dos Acórdãos TCU nºs 950/2007-P e 205/2018-P, o licitante não pode cotar expressamente este tributo.</t>
    </r>
  </si>
  <si>
    <r>
      <rPr>
        <b/>
        <sz val="12"/>
        <color theme="1"/>
        <rFont val="Arial"/>
      </rPr>
      <t xml:space="preserve">a) ISS </t>
    </r>
    <r>
      <rPr>
        <sz val="12"/>
        <color theme="1"/>
        <rFont val="Arial"/>
      </rPr>
      <t xml:space="preserve">      </t>
    </r>
    <r>
      <rPr>
        <sz val="8"/>
        <color rgb="FFFF0000"/>
        <rFont val="Arial"/>
      </rPr>
      <t>(no município de prestação dos serviços) LEI MUNICIPAL Nº 4.928, DE 16 DE SETEMBRO DE 2024.</t>
    </r>
  </si>
  <si>
    <r>
      <rPr>
        <b/>
        <sz val="12"/>
        <color theme="1"/>
        <rFont val="Arial"/>
      </rPr>
      <t xml:space="preserve">
</t>
    </r>
    <r>
      <rPr>
        <b/>
        <sz val="11"/>
        <color theme="1"/>
        <rFont val="Arial"/>
      </rPr>
      <t xml:space="preserve">2. QUADRO-RESUMO DO CUSTO POR POSTO DE TRABALHO
</t>
    </r>
  </si>
  <si>
    <t xml:space="preserve">                          Mão de obra vinculada à execução contratual (valor por posto (1 empregado)</t>
  </si>
  <si>
    <t>VALOR ANUAL (R$)</t>
  </si>
  <si>
    <t>A        Meses</t>
  </si>
  <si>
    <t>B        Valor mensal do posto 12*36 diurno</t>
  </si>
  <si>
    <t>B        Valor mensal do posto 12*36 noturno</t>
  </si>
  <si>
    <t>B        Valor mensal do posto 22 horas</t>
  </si>
  <si>
    <t>C        Valor mensal da proposta</t>
  </si>
  <si>
    <t>C        Valor global da proposta                                                                                                                                                              (Valor mensal do serviço multiplicado pelo número de meses do contrato).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</si>
</sst>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164" formatCode="_(&quot;R$ &quot;* #,##0.00_);_(&quot;R$ &quot;* \(#,##0.00\);_(&quot;R$ &quot;* \-??_);_(@_)"/>
    <numFmt numFmtId="165" formatCode="&quot;R$ &quot;#,##0.00"/>
    <numFmt numFmtId="167" formatCode="0.0000"/>
    <numFmt numFmtId="168" formatCode="0.0000%"/>
    <numFmt numFmtId="169" formatCode="0.000%"/>
    <numFmt numFmtId="171" formatCode="yyyy\-m"/>
    <numFmt numFmtId="172" formatCode="[$R$]#,##0.00"/>
    <numFmt numFmtId="173" formatCode="_-* #,##0.00_-;\-* #,##0.00_-;_-* &quot;-&quot;??_-;_-@"/>
    <numFmt numFmtId="174" formatCode="&quot;R$&quot;\ #,##0.00"/>
  </numFmts>
  <fonts count="49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18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11"/>
      <color theme="1"/>
      <name val="Arial"/>
    </font>
    <font>
      <b/>
      <sz val="10"/>
      <color rgb="FF0000FF"/>
      <name val="Arial"/>
    </font>
    <font>
      <b/>
      <sz val="15"/>
      <color theme="1"/>
      <name val="Arial"/>
    </font>
    <font>
      <b/>
      <sz val="11"/>
      <color rgb="FFFF0000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0"/>
      <color rgb="FF006B6B"/>
      <name val="Arial"/>
    </font>
    <font>
      <sz val="10"/>
      <color rgb="FF009900"/>
      <name val="Arial"/>
    </font>
    <font>
      <b/>
      <sz val="12"/>
      <color rgb="FF006B6B"/>
      <name val="Arial"/>
    </font>
    <font>
      <b/>
      <sz val="9"/>
      <color theme="1"/>
      <name val="Arial"/>
    </font>
    <font>
      <b/>
      <sz val="9"/>
      <color rgb="FFFF0000"/>
      <name val="Arial"/>
    </font>
    <font>
      <b/>
      <strike/>
      <sz val="10"/>
      <color rgb="FF009900"/>
      <name val="Arial"/>
    </font>
    <font>
      <b/>
      <sz val="10"/>
      <color rgb="FF009900"/>
      <name val="Arial"/>
    </font>
    <font>
      <b/>
      <sz val="16"/>
      <color rgb="FF0000FF"/>
      <name val="Arial"/>
    </font>
    <font>
      <b/>
      <sz val="11"/>
      <color rgb="FF0000FF"/>
      <name val="Arial"/>
    </font>
    <font>
      <b/>
      <sz val="14"/>
      <color theme="1"/>
      <name val="Arial"/>
    </font>
    <font>
      <sz val="12"/>
      <color theme="1"/>
      <name val="Arial"/>
    </font>
    <font>
      <b/>
      <sz val="10"/>
      <color rgb="FF000000"/>
      <name val="Arial"/>
    </font>
    <font>
      <sz val="10"/>
      <color rgb="FFFF0000"/>
      <name val="Arial"/>
    </font>
    <font>
      <sz val="8"/>
      <color theme="1"/>
      <name val="Arial"/>
    </font>
    <font>
      <b/>
      <sz val="18"/>
      <color rgb="FF80008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0000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sz val="12"/>
      <color rgb="FF000000"/>
      <name val="Arial"/>
    </font>
    <font>
      <strike/>
      <sz val="10"/>
      <color theme="1"/>
      <name val="Arial"/>
    </font>
    <font>
      <b/>
      <sz val="18"/>
      <color rgb="FFFF0000"/>
      <name val="Arial"/>
    </font>
    <font>
      <b/>
      <sz val="18"/>
      <color rgb="FF0000FF"/>
      <name val="Arial"/>
    </font>
    <font>
      <b/>
      <sz val="12"/>
      <color rgb="FF0000FF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9"/>
      <color rgb="FF009900"/>
      <name val="Arial"/>
    </font>
    <font>
      <b/>
      <sz val="9"/>
      <color rgb="FF0000FF"/>
      <name val="Arial"/>
    </font>
    <font>
      <sz val="8"/>
      <color rgb="FFFF0000"/>
      <name val="Arial"/>
    </font>
    <font>
      <sz val="9"/>
      <color rgb="FFFF0000"/>
      <name val="Arial"/>
    </font>
    <font>
      <b/>
      <sz val="12"/>
      <color rgb="FFFF0000"/>
      <name val="Arial"/>
    </font>
    <font>
      <b/>
      <sz val="10"/>
      <color rgb="FF4A86E8"/>
      <name val="Arial"/>
    </font>
    <font>
      <b/>
      <sz val="8"/>
      <color rgb="FF4A86E8"/>
      <name val="Arial"/>
    </font>
    <font>
      <b/>
      <sz val="9"/>
      <color rgb="FF4A86E8"/>
      <name val="Arial"/>
    </font>
    <font>
      <b/>
      <sz val="12"/>
      <color rgb="FF000000"/>
      <name val="Arial"/>
    </font>
    <font>
      <sz val="8"/>
      <color rgb="FF4A86E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" fontId="3" fillId="0" borderId="5" xfId="0" applyNumberFormat="1" applyFont="1" applyBorder="1" applyAlignment="1">
      <alignment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 wrapText="1"/>
    </xf>
    <xf numFmtId="2" fontId="3" fillId="3" borderId="5" xfId="0" applyNumberFormat="1" applyFont="1" applyFill="1" applyBorder="1" applyAlignment="1">
      <alignment horizontal="right" vertical="center"/>
    </xf>
    <xf numFmtId="0" fontId="1" fillId="5" borderId="1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9" fontId="3" fillId="0" borderId="5" xfId="0" applyNumberFormat="1" applyFont="1" applyBorder="1" applyAlignment="1">
      <alignment horizontal="left" vertical="center" wrapText="1"/>
    </xf>
    <xf numFmtId="167" fontId="3" fillId="0" borderId="5" xfId="0" applyNumberFormat="1" applyFont="1" applyBorder="1" applyAlignment="1">
      <alignment horizontal="left" vertical="center" wrapText="1"/>
    </xf>
    <xf numFmtId="168" fontId="3" fillId="0" borderId="5" xfId="0" applyNumberFormat="1" applyFont="1" applyBorder="1" applyAlignment="1">
      <alignment horizontal="right" vertical="center"/>
    </xf>
    <xf numFmtId="168" fontId="3" fillId="3" borderId="5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10" fontId="3" fillId="4" borderId="14" xfId="0" applyNumberFormat="1" applyFont="1" applyFill="1" applyBorder="1" applyAlignment="1">
      <alignment horizontal="right" vertical="center"/>
    </xf>
    <xf numFmtId="4" fontId="3" fillId="4" borderId="15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vertical="center"/>
    </xf>
    <xf numFmtId="3" fontId="16" fillId="0" borderId="5" xfId="0" applyNumberFormat="1" applyFont="1" applyBorder="1" applyAlignment="1">
      <alignment vertical="center"/>
    </xf>
    <xf numFmtId="10" fontId="16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10" fontId="16" fillId="0" borderId="5" xfId="0" applyNumberFormat="1" applyFont="1" applyBorder="1" applyAlignment="1">
      <alignment vertical="center"/>
    </xf>
    <xf numFmtId="4" fontId="17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10" fontId="19" fillId="0" borderId="5" xfId="0" applyNumberFormat="1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 wrapText="1"/>
    </xf>
    <xf numFmtId="4" fontId="20" fillId="0" borderId="16" xfId="0" applyNumberFormat="1" applyFont="1" applyBorder="1" applyAlignment="1">
      <alignment horizontal="lef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/>
    </xf>
    <xf numFmtId="169" fontId="22" fillId="0" borderId="5" xfId="0" applyNumberFormat="1" applyFont="1" applyBorder="1" applyAlignment="1">
      <alignment horizontal="center" vertical="center" wrapText="1"/>
    </xf>
    <xf numFmtId="10" fontId="22" fillId="0" borderId="5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23" fillId="0" borderId="5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right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right" vertical="center"/>
    </xf>
    <xf numFmtId="0" fontId="28" fillId="0" borderId="0" xfId="0" applyFont="1"/>
    <xf numFmtId="0" fontId="27" fillId="0" borderId="19" xfId="0" applyFont="1" applyBorder="1" applyAlignment="1">
      <alignment horizontal="center" wrapText="1"/>
    </xf>
    <xf numFmtId="0" fontId="28" fillId="0" borderId="23" xfId="0" applyFont="1" applyBorder="1"/>
    <xf numFmtId="0" fontId="27" fillId="0" borderId="24" xfId="0" applyFont="1" applyBorder="1" applyAlignment="1">
      <alignment horizontal="center" wrapText="1"/>
    </xf>
    <xf numFmtId="4" fontId="27" fillId="0" borderId="5" xfId="0" applyNumberFormat="1" applyFont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0" fontId="27" fillId="0" borderId="5" xfId="0" applyFont="1" applyBorder="1" applyAlignment="1">
      <alignment horizontal="center" wrapText="1"/>
    </xf>
    <xf numFmtId="4" fontId="28" fillId="0" borderId="0" xfId="0" applyNumberFormat="1" applyFont="1"/>
    <xf numFmtId="4" fontId="21" fillId="3" borderId="5" xfId="0" applyNumberFormat="1" applyFont="1" applyFill="1" applyBorder="1" applyAlignment="1">
      <alignment horizontal="right" wrapText="1"/>
    </xf>
    <xf numFmtId="169" fontId="3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4" fontId="27" fillId="0" borderId="5" xfId="0" applyNumberFormat="1" applyFont="1" applyBorder="1" applyAlignment="1">
      <alignment horizontal="right" wrapText="1"/>
    </xf>
    <xf numFmtId="0" fontId="27" fillId="3" borderId="5" xfId="0" applyFont="1" applyFill="1" applyBorder="1" applyAlignment="1">
      <alignment horizontal="center" wrapText="1"/>
    </xf>
    <xf numFmtId="49" fontId="27" fillId="0" borderId="5" xfId="0" applyNumberFormat="1" applyFont="1" applyBorder="1" applyAlignment="1">
      <alignment horizontal="center" wrapText="1"/>
    </xf>
    <xf numFmtId="0" fontId="28" fillId="3" borderId="1" xfId="0" applyFont="1" applyFill="1" applyBorder="1"/>
    <xf numFmtId="4" fontId="27" fillId="3" borderId="5" xfId="0" applyNumberFormat="1" applyFont="1" applyFill="1" applyBorder="1" applyAlignment="1">
      <alignment horizontal="right" wrapText="1"/>
    </xf>
    <xf numFmtId="49" fontId="27" fillId="0" borderId="2" xfId="0" applyNumberFormat="1" applyFont="1" applyBorder="1" applyAlignment="1">
      <alignment horizontal="center" wrapText="1"/>
    </xf>
    <xf numFmtId="4" fontId="27" fillId="2" borderId="5" xfId="0" applyNumberFormat="1" applyFont="1" applyFill="1" applyBorder="1" applyAlignment="1">
      <alignment horizontal="right" wrapText="1"/>
    </xf>
    <xf numFmtId="0" fontId="28" fillId="0" borderId="5" xfId="0" applyFont="1" applyBorder="1"/>
    <xf numFmtId="0" fontId="15" fillId="0" borderId="5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5" fillId="0" borderId="5" xfId="0" applyFont="1" applyBorder="1" applyAlignment="1">
      <alignment horizontal="center"/>
    </xf>
    <xf numFmtId="172" fontId="28" fillId="0" borderId="5" xfId="0" applyNumberFormat="1" applyFont="1" applyBorder="1" applyAlignment="1">
      <alignment horizontal="center"/>
    </xf>
    <xf numFmtId="164" fontId="28" fillId="0" borderId="4" xfId="0" applyNumberFormat="1" applyFont="1" applyBorder="1" applyAlignment="1">
      <alignment horizontal="center" wrapText="1"/>
    </xf>
    <xf numFmtId="3" fontId="25" fillId="0" borderId="5" xfId="0" applyNumberFormat="1" applyFont="1" applyBorder="1" applyAlignment="1">
      <alignment horizontal="center"/>
    </xf>
    <xf numFmtId="164" fontId="28" fillId="0" borderId="5" xfId="0" applyNumberFormat="1" applyFont="1" applyBorder="1"/>
    <xf numFmtId="164" fontId="27" fillId="0" borderId="4" xfId="0" applyNumberFormat="1" applyFont="1" applyBorder="1" applyAlignment="1">
      <alignment horizontal="center" wrapText="1"/>
    </xf>
    <xf numFmtId="1" fontId="28" fillId="0" borderId="5" xfId="0" applyNumberFormat="1" applyFont="1" applyBorder="1"/>
    <xf numFmtId="164" fontId="28" fillId="0" borderId="4" xfId="0" applyNumberFormat="1" applyFont="1" applyBorder="1"/>
    <xf numFmtId="0" fontId="28" fillId="0" borderId="4" xfId="0" applyFont="1" applyBorder="1"/>
    <xf numFmtId="173" fontId="27" fillId="0" borderId="4" xfId="0" applyNumberFormat="1" applyFont="1" applyBorder="1" applyAlignment="1">
      <alignment horizontal="right" wrapText="1"/>
    </xf>
    <xf numFmtId="174" fontId="28" fillId="0" borderId="5" xfId="0" applyNumberFormat="1" applyFont="1" applyBorder="1"/>
    <xf numFmtId="0" fontId="28" fillId="0" borderId="9" xfId="0" applyFont="1" applyBorder="1"/>
    <xf numFmtId="0" fontId="28" fillId="0" borderId="10" xfId="0" applyFont="1" applyBorder="1"/>
    <xf numFmtId="174" fontId="28" fillId="0" borderId="10" xfId="0" applyNumberFormat="1" applyFont="1" applyBorder="1"/>
    <xf numFmtId="174" fontId="27" fillId="0" borderId="11" xfId="0" applyNumberFormat="1" applyFont="1" applyBorder="1" applyAlignment="1">
      <alignment horizontal="center" wrapText="1"/>
    </xf>
    <xf numFmtId="173" fontId="28" fillId="0" borderId="4" xfId="0" applyNumberFormat="1" applyFont="1" applyBorder="1"/>
    <xf numFmtId="174" fontId="15" fillId="0" borderId="5" xfId="0" applyNumberFormat="1" applyFont="1" applyBorder="1" applyAlignment="1">
      <alignment horizontal="center" wrapText="1"/>
    </xf>
    <xf numFmtId="0" fontId="28" fillId="2" borderId="1" xfId="0" applyFont="1" applyFill="1" applyBorder="1"/>
    <xf numFmtId="4" fontId="27" fillId="6" borderId="5" xfId="0" applyNumberFormat="1" applyFont="1" applyFill="1" applyBorder="1" applyAlignment="1">
      <alignment horizontal="right" wrapText="1"/>
    </xf>
    <xf numFmtId="172" fontId="28" fillId="0" borderId="5" xfId="0" applyNumberFormat="1" applyFont="1" applyBorder="1"/>
    <xf numFmtId="0" fontId="28" fillId="0" borderId="6" xfId="0" applyFont="1" applyBorder="1" applyAlignment="1">
      <alignment horizontal="center" wrapText="1"/>
    </xf>
    <xf numFmtId="164" fontId="28" fillId="0" borderId="2" xfId="0" applyNumberFormat="1" applyFont="1" applyBorder="1" applyAlignment="1">
      <alignment horizontal="right"/>
    </xf>
    <xf numFmtId="173" fontId="28" fillId="0" borderId="5" xfId="0" applyNumberFormat="1" applyFont="1" applyBorder="1" applyAlignment="1">
      <alignment horizontal="right"/>
    </xf>
    <xf numFmtId="164" fontId="28" fillId="0" borderId="9" xfId="0" applyNumberFormat="1" applyFont="1" applyBorder="1" applyAlignment="1">
      <alignment wrapText="1"/>
    </xf>
    <xf numFmtId="164" fontId="27" fillId="4" borderId="13" xfId="0" applyNumberFormat="1" applyFont="1" applyFill="1" applyBorder="1" applyAlignment="1">
      <alignment wrapText="1"/>
    </xf>
    <xf numFmtId="173" fontId="27" fillId="4" borderId="5" xfId="0" applyNumberFormat="1" applyFont="1" applyFill="1" applyBorder="1" applyAlignment="1">
      <alignment horizontal="right"/>
    </xf>
    <xf numFmtId="164" fontId="6" fillId="4" borderId="5" xfId="0" applyNumberFormat="1" applyFont="1" applyFill="1" applyBorder="1" applyAlignment="1">
      <alignment wrapText="1"/>
    </xf>
    <xf numFmtId="0" fontId="33" fillId="0" borderId="0" xfId="0" applyFont="1"/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0" xfId="0" applyFont="1" applyBorder="1"/>
    <xf numFmtId="0" fontId="4" fillId="0" borderId="11" xfId="0" applyFont="1" applyBorder="1"/>
    <xf numFmtId="0" fontId="3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" fillId="0" borderId="0" xfId="0" applyFont="1"/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2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4" fillId="0" borderId="9" xfId="0" applyFont="1" applyBorder="1"/>
    <xf numFmtId="0" fontId="2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18" xfId="0" applyFont="1" applyBorder="1"/>
    <xf numFmtId="0" fontId="24" fillId="4" borderId="2" xfId="0" applyFont="1" applyFill="1" applyBorder="1" applyAlignment="1">
      <alignment vertical="center"/>
    </xf>
    <xf numFmtId="0" fontId="2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1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center" wrapText="1"/>
    </xf>
    <xf numFmtId="2" fontId="27" fillId="0" borderId="2" xfId="0" applyNumberFormat="1" applyFont="1" applyBorder="1" applyAlignment="1">
      <alignment horizontal="right" wrapText="1"/>
    </xf>
    <xf numFmtId="171" fontId="6" fillId="0" borderId="2" xfId="0" applyNumberFormat="1" applyFont="1" applyBorder="1" applyAlignment="1">
      <alignment horizontal="right" vertical="center"/>
    </xf>
    <xf numFmtId="0" fontId="29" fillId="0" borderId="20" xfId="0" applyFont="1" applyBorder="1" applyAlignment="1">
      <alignment wrapText="1"/>
    </xf>
    <xf numFmtId="0" fontId="4" fillId="0" borderId="21" xfId="0" applyFont="1" applyBorder="1"/>
    <xf numFmtId="0" fontId="4" fillId="0" borderId="22" xfId="0" applyFont="1" applyBorder="1"/>
    <xf numFmtId="8" fontId="30" fillId="0" borderId="20" xfId="0" applyNumberFormat="1" applyFont="1" applyBorder="1" applyAlignment="1">
      <alignment horizontal="right" wrapText="1"/>
    </xf>
    <xf numFmtId="0" fontId="31" fillId="0" borderId="2" xfId="0" applyFont="1" applyBorder="1" applyAlignment="1">
      <alignment horizontal="left"/>
    </xf>
    <xf numFmtId="0" fontId="29" fillId="0" borderId="20" xfId="0" applyFont="1" applyBorder="1" applyAlignment="1">
      <alignment horizontal="right" wrapText="1"/>
    </xf>
    <xf numFmtId="0" fontId="27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21" fillId="3" borderId="2" xfId="0" applyFont="1" applyFill="1" applyBorder="1" applyAlignment="1">
      <alignment wrapText="1"/>
    </xf>
    <xf numFmtId="49" fontId="11" fillId="0" borderId="2" xfId="0" applyNumberFormat="1" applyFont="1" applyBorder="1" applyAlignment="1">
      <alignment wrapText="1"/>
    </xf>
    <xf numFmtId="0" fontId="27" fillId="0" borderId="3" xfId="0" applyFont="1" applyBorder="1" applyAlignment="1">
      <alignment wrapText="1"/>
    </xf>
    <xf numFmtId="49" fontId="28" fillId="4" borderId="2" xfId="0" applyNumberFormat="1" applyFont="1" applyFill="1" applyBorder="1"/>
    <xf numFmtId="0" fontId="28" fillId="4" borderId="2" xfId="0" applyFont="1" applyFill="1" applyBorder="1"/>
    <xf numFmtId="0" fontId="27" fillId="0" borderId="2" xfId="0" applyFont="1" applyBorder="1" applyAlignment="1">
      <alignment vertical="top"/>
    </xf>
    <xf numFmtId="165" fontId="27" fillId="3" borderId="2" xfId="0" applyNumberFormat="1" applyFont="1" applyFill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7" fillId="0" borderId="2" xfId="0" applyFont="1" applyBorder="1" applyAlignment="1">
      <alignment horizontal="right" wrapText="1"/>
    </xf>
    <xf numFmtId="0" fontId="25" fillId="0" borderId="3" xfId="0" applyFont="1" applyBorder="1" applyAlignment="1">
      <alignment horizontal="center" wrapText="1"/>
    </xf>
    <xf numFmtId="0" fontId="29" fillId="0" borderId="2" xfId="0" applyFont="1" applyBorder="1" applyAlignment="1">
      <alignment wrapText="1"/>
    </xf>
    <xf numFmtId="0" fontId="32" fillId="0" borderId="2" xfId="0" applyFont="1" applyBorder="1" applyAlignment="1">
      <alignment horizontal="left" wrapText="1"/>
    </xf>
    <xf numFmtId="49" fontId="27" fillId="3" borderId="2" xfId="0" applyNumberFormat="1" applyFont="1" applyFill="1" applyBorder="1" applyAlignment="1">
      <alignment horizontal="right" wrapText="1"/>
    </xf>
    <xf numFmtId="49" fontId="11" fillId="3" borderId="2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center"/>
    </xf>
    <xf numFmtId="0" fontId="30" fillId="0" borderId="20" xfId="0" applyFont="1" applyBorder="1" applyAlignment="1">
      <alignment horizontal="right" wrapText="1"/>
    </xf>
    <xf numFmtId="0" fontId="28" fillId="0" borderId="6" xfId="0" applyFont="1" applyBorder="1"/>
    <xf numFmtId="0" fontId="27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 wrapText="1"/>
    </xf>
    <xf numFmtId="49" fontId="27" fillId="4" borderId="2" xfId="0" applyNumberFormat="1" applyFont="1" applyFill="1" applyBorder="1" applyAlignment="1">
      <alignment wrapText="1"/>
    </xf>
    <xf numFmtId="49" fontId="6" fillId="4" borderId="2" xfId="0" applyNumberFormat="1" applyFont="1" applyFill="1" applyBorder="1" applyAlignment="1">
      <alignment wrapText="1"/>
    </xf>
    <xf numFmtId="49" fontId="11" fillId="0" borderId="2" xfId="0" applyNumberFormat="1" applyFont="1" applyBorder="1" applyAlignment="1">
      <alignment horizontal="center" wrapText="1"/>
    </xf>
    <xf numFmtId="49" fontId="28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945"/>
  <sheetViews>
    <sheetView topLeftCell="A128" workbookViewId="0">
      <selection activeCell="A145" sqref="A145:XFD145"/>
    </sheetView>
  </sheetViews>
  <sheetFormatPr defaultColWidth="12.5703125" defaultRowHeight="15" customHeight="1" x14ac:dyDescent="0.2"/>
  <cols>
    <col min="1" max="1" width="15.28515625" customWidth="1"/>
    <col min="2" max="2" width="11.140625" customWidth="1"/>
    <col min="3" max="3" width="13.28515625" customWidth="1"/>
    <col min="4" max="4" width="10.140625" customWidth="1"/>
    <col min="5" max="5" width="12.42578125" customWidth="1"/>
    <col min="6" max="6" width="11.28515625" customWidth="1"/>
    <col min="7" max="7" width="11" customWidth="1"/>
    <col min="8" max="8" width="14.42578125" customWidth="1"/>
    <col min="9" max="9" width="14.28515625" customWidth="1"/>
    <col min="10" max="10" width="25.140625" customWidth="1"/>
    <col min="11" max="11" width="11.140625" customWidth="1"/>
    <col min="12" max="12" width="7.42578125" customWidth="1"/>
    <col min="13" max="13" width="6.5703125" customWidth="1"/>
    <col min="14" max="15" width="9.28515625" customWidth="1"/>
    <col min="16" max="29" width="9.140625" customWidth="1"/>
  </cols>
  <sheetData>
    <row r="1" spans="1:29" ht="12" customHeight="1" x14ac:dyDescent="0.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75" customHeight="1" x14ac:dyDescent="0.35">
      <c r="A2" s="182" t="s">
        <v>108</v>
      </c>
      <c r="B2" s="120"/>
      <c r="C2" s="120"/>
      <c r="D2" s="120"/>
      <c r="E2" s="120"/>
      <c r="F2" s="120"/>
      <c r="G2" s="120"/>
      <c r="H2" s="120"/>
      <c r="I2" s="1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4.5" customHeight="1" x14ac:dyDescent="0.35">
      <c r="A3" s="183" t="s">
        <v>109</v>
      </c>
      <c r="B3" s="120"/>
      <c r="C3" s="120"/>
      <c r="D3" s="120"/>
      <c r="E3" s="120"/>
      <c r="F3" s="120"/>
      <c r="G3" s="120"/>
      <c r="H3" s="120"/>
      <c r="I3" s="1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121" t="s">
        <v>0</v>
      </c>
      <c r="B4" s="122"/>
      <c r="C4" s="122"/>
      <c r="D4" s="122"/>
      <c r="E4" s="123"/>
      <c r="F4" s="124" t="s">
        <v>110</v>
      </c>
      <c r="G4" s="122"/>
      <c r="H4" s="122"/>
      <c r="I4" s="1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121" t="s">
        <v>1</v>
      </c>
      <c r="B5" s="122"/>
      <c r="C5" s="122"/>
      <c r="D5" s="122"/>
      <c r="E5" s="123"/>
      <c r="F5" s="124" t="s">
        <v>111</v>
      </c>
      <c r="G5" s="122"/>
      <c r="H5" s="122"/>
      <c r="I5" s="1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">
      <c r="A6" s="121" t="s">
        <v>2</v>
      </c>
      <c r="B6" s="122"/>
      <c r="C6" s="122"/>
      <c r="D6" s="122"/>
      <c r="E6" s="122"/>
      <c r="F6" s="122"/>
      <c r="G6" s="122"/>
      <c r="H6" s="122"/>
      <c r="I6" s="1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25" customHeight="1" x14ac:dyDescent="0.2">
      <c r="A7" s="184" t="s">
        <v>112</v>
      </c>
      <c r="B7" s="122"/>
      <c r="C7" s="122"/>
      <c r="D7" s="122"/>
      <c r="E7" s="122"/>
      <c r="F7" s="122"/>
      <c r="G7" s="122"/>
      <c r="H7" s="122"/>
      <c r="I7" s="1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0.25" customHeight="1" x14ac:dyDescent="0.2">
      <c r="A8" s="125" t="s">
        <v>3</v>
      </c>
      <c r="B8" s="122"/>
      <c r="C8" s="122"/>
      <c r="D8" s="122"/>
      <c r="E8" s="122"/>
      <c r="F8" s="122"/>
      <c r="G8" s="122"/>
      <c r="H8" s="122"/>
      <c r="I8" s="1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">
      <c r="A9" s="3" t="s">
        <v>4</v>
      </c>
      <c r="B9" s="121" t="s">
        <v>5</v>
      </c>
      <c r="C9" s="122"/>
      <c r="D9" s="122"/>
      <c r="E9" s="122"/>
      <c r="F9" s="122"/>
      <c r="G9" s="123"/>
      <c r="H9" s="124" t="s">
        <v>113</v>
      </c>
      <c r="I9" s="1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">
      <c r="A10" s="3" t="s">
        <v>6</v>
      </c>
      <c r="B10" s="121" t="s">
        <v>7</v>
      </c>
      <c r="C10" s="122"/>
      <c r="D10" s="122"/>
      <c r="E10" s="122"/>
      <c r="F10" s="122"/>
      <c r="G10" s="123"/>
      <c r="H10" s="124" t="s">
        <v>114</v>
      </c>
      <c r="I10" s="1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 x14ac:dyDescent="0.2">
      <c r="A11" s="3" t="s">
        <v>8</v>
      </c>
      <c r="B11" s="121" t="s">
        <v>9</v>
      </c>
      <c r="C11" s="122"/>
      <c r="D11" s="122"/>
      <c r="E11" s="122"/>
      <c r="F11" s="122"/>
      <c r="G11" s="123"/>
      <c r="H11" s="124" t="s">
        <v>115</v>
      </c>
      <c r="I11" s="1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">
      <c r="A12" s="3" t="s">
        <v>10</v>
      </c>
      <c r="B12" s="121" t="s">
        <v>11</v>
      </c>
      <c r="C12" s="122"/>
      <c r="D12" s="122"/>
      <c r="E12" s="122"/>
      <c r="F12" s="122"/>
      <c r="G12" s="123"/>
      <c r="H12" s="124">
        <v>12</v>
      </c>
      <c r="I12" s="1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x14ac:dyDescent="0.2">
      <c r="A13" s="126" t="s">
        <v>12</v>
      </c>
      <c r="B13" s="127"/>
      <c r="C13" s="127"/>
      <c r="D13" s="127"/>
      <c r="E13" s="127"/>
      <c r="F13" s="127"/>
      <c r="G13" s="127"/>
      <c r="H13" s="127"/>
      <c r="I13" s="1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x14ac:dyDescent="0.2">
      <c r="A14" s="185" t="s">
        <v>116</v>
      </c>
      <c r="B14" s="122"/>
      <c r="C14" s="122"/>
      <c r="D14" s="122"/>
      <c r="E14" s="122"/>
      <c r="F14" s="185" t="s">
        <v>117</v>
      </c>
      <c r="G14" s="123"/>
      <c r="H14" s="185" t="s">
        <v>118</v>
      </c>
      <c r="I14" s="123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spans="1:29" ht="27" customHeight="1" x14ac:dyDescent="0.2">
      <c r="A15" s="186" t="s">
        <v>119</v>
      </c>
      <c r="B15" s="122"/>
      <c r="C15" s="122"/>
      <c r="D15" s="122"/>
      <c r="E15" s="123"/>
      <c r="F15" s="187" t="s">
        <v>120</v>
      </c>
      <c r="G15" s="123"/>
      <c r="H15" s="188">
        <v>1</v>
      </c>
      <c r="I15" s="123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1:29" ht="12.75" x14ac:dyDescent="0.2">
      <c r="A16" s="130"/>
      <c r="B16" s="131"/>
      <c r="C16" s="131"/>
      <c r="D16" s="131"/>
      <c r="E16" s="131"/>
      <c r="F16" s="131"/>
      <c r="G16" s="131"/>
      <c r="H16" s="131"/>
      <c r="I16" s="132"/>
      <c r="J16" s="4"/>
      <c r="K16" s="5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7.5" customHeight="1" x14ac:dyDescent="0.2">
      <c r="A17" s="133"/>
      <c r="B17" s="122"/>
      <c r="C17" s="122"/>
      <c r="D17" s="122"/>
      <c r="E17" s="122"/>
      <c r="F17" s="122"/>
      <c r="G17" s="122"/>
      <c r="H17" s="122"/>
      <c r="I17" s="123"/>
      <c r="J17" s="4"/>
      <c r="K17" s="5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4" customHeight="1" x14ac:dyDescent="0.2">
      <c r="A18" s="134" t="s">
        <v>121</v>
      </c>
      <c r="B18" s="122"/>
      <c r="C18" s="122"/>
      <c r="D18" s="122"/>
      <c r="E18" s="122"/>
      <c r="F18" s="122"/>
      <c r="G18" s="122"/>
      <c r="H18" s="122"/>
      <c r="I18" s="123"/>
      <c r="J18" s="4"/>
      <c r="K18" s="5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9" customHeight="1" x14ac:dyDescent="0.2">
      <c r="A19" s="135"/>
      <c r="B19" s="122"/>
      <c r="C19" s="122"/>
      <c r="D19" s="122"/>
      <c r="E19" s="122"/>
      <c r="F19" s="122"/>
      <c r="G19" s="122"/>
      <c r="H19" s="122"/>
      <c r="I19" s="123"/>
      <c r="J19" s="4"/>
      <c r="K19" s="5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1.75" customHeight="1" x14ac:dyDescent="0.2">
      <c r="A20" s="125" t="s">
        <v>13</v>
      </c>
      <c r="B20" s="122"/>
      <c r="C20" s="122"/>
      <c r="D20" s="122"/>
      <c r="E20" s="122"/>
      <c r="F20" s="122"/>
      <c r="G20" s="122"/>
      <c r="H20" s="122"/>
      <c r="I20" s="123"/>
      <c r="J20" s="129"/>
      <c r="K20" s="120"/>
      <c r="L20" s="120"/>
      <c r="M20" s="120"/>
      <c r="N20" s="120"/>
      <c r="O20" s="120"/>
      <c r="P20" s="120"/>
      <c r="Q20" s="129"/>
      <c r="R20" s="120"/>
      <c r="S20" s="120"/>
      <c r="T20" s="120"/>
      <c r="U20" s="120"/>
      <c r="V20" s="120"/>
      <c r="W20" s="120"/>
      <c r="X20" s="120"/>
      <c r="Y20" s="129"/>
      <c r="Z20" s="120"/>
      <c r="AA20" s="120"/>
      <c r="AB20" s="120"/>
      <c r="AC20" s="120"/>
    </row>
    <row r="21" spans="1:29" ht="15.75" customHeight="1" x14ac:dyDescent="0.2">
      <c r="A21" s="3">
        <v>1</v>
      </c>
      <c r="B21" s="121" t="s">
        <v>14</v>
      </c>
      <c r="C21" s="122"/>
      <c r="D21" s="122"/>
      <c r="E21" s="122"/>
      <c r="F21" s="122"/>
      <c r="G21" s="123"/>
      <c r="H21" s="136" t="s">
        <v>122</v>
      </c>
      <c r="I21" s="1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">
      <c r="A22" s="3">
        <v>2</v>
      </c>
      <c r="B22" s="121" t="s">
        <v>15</v>
      </c>
      <c r="C22" s="122"/>
      <c r="D22" s="122"/>
      <c r="E22" s="122"/>
      <c r="F22" s="122"/>
      <c r="G22" s="123"/>
      <c r="H22" s="189">
        <v>1196079</v>
      </c>
      <c r="I22" s="1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">
      <c r="A23" s="3">
        <v>3</v>
      </c>
      <c r="B23" s="121" t="s">
        <v>123</v>
      </c>
      <c r="C23" s="122"/>
      <c r="D23" s="122"/>
      <c r="E23" s="122"/>
      <c r="F23" s="122"/>
      <c r="G23" s="123"/>
      <c r="H23" s="136">
        <v>1991.06</v>
      </c>
      <c r="I23" s="1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">
      <c r="A24" s="3">
        <v>4</v>
      </c>
      <c r="B24" s="121" t="s">
        <v>16</v>
      </c>
      <c r="C24" s="122"/>
      <c r="D24" s="122"/>
      <c r="E24" s="122"/>
      <c r="F24" s="122"/>
      <c r="G24" s="123"/>
      <c r="H24" s="136" t="s">
        <v>122</v>
      </c>
      <c r="I24" s="1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">
      <c r="A25" s="3">
        <v>5</v>
      </c>
      <c r="B25" s="121" t="s">
        <v>17</v>
      </c>
      <c r="C25" s="122"/>
      <c r="D25" s="122"/>
      <c r="E25" s="122"/>
      <c r="F25" s="122"/>
      <c r="G25" s="123"/>
      <c r="H25" s="137" t="s">
        <v>124</v>
      </c>
      <c r="I25" s="1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">
      <c r="A26" s="72">
        <v>6</v>
      </c>
      <c r="B26" s="190" t="s">
        <v>125</v>
      </c>
      <c r="C26" s="191"/>
      <c r="D26" s="191"/>
      <c r="E26" s="191"/>
      <c r="F26" s="191"/>
      <c r="G26" s="192"/>
      <c r="H26" s="193">
        <f>H23/220</f>
        <v>9.050272727272727</v>
      </c>
      <c r="I26" s="19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5.75" customHeight="1" x14ac:dyDescent="0.2">
      <c r="A27" s="74">
        <v>7</v>
      </c>
      <c r="B27" s="190" t="s">
        <v>126</v>
      </c>
      <c r="C27" s="191"/>
      <c r="D27" s="191"/>
      <c r="E27" s="191"/>
      <c r="F27" s="191"/>
      <c r="G27" s="192"/>
      <c r="H27" s="193">
        <f>H26*1.5</f>
        <v>13.575409090909091</v>
      </c>
      <c r="I27" s="19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1:29" ht="15.75" customHeight="1" x14ac:dyDescent="0.2">
      <c r="A28" s="74">
        <v>8</v>
      </c>
      <c r="B28" s="190" t="s">
        <v>127</v>
      </c>
      <c r="C28" s="191"/>
      <c r="D28" s="191"/>
      <c r="E28" s="191"/>
      <c r="F28" s="191"/>
      <c r="G28" s="192"/>
      <c r="H28" s="195">
        <v>2</v>
      </c>
      <c r="I28" s="19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1:29" ht="9" customHeight="1" x14ac:dyDescent="0.2">
      <c r="A29" s="138"/>
      <c r="B29" s="122"/>
      <c r="C29" s="122"/>
      <c r="D29" s="122"/>
      <c r="E29" s="122"/>
      <c r="F29" s="122"/>
      <c r="G29" s="122"/>
      <c r="H29" s="122"/>
      <c r="I29" s="12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2.5" customHeight="1" x14ac:dyDescent="0.2">
      <c r="A30" s="139"/>
      <c r="B30" s="122"/>
      <c r="C30" s="122"/>
      <c r="D30" s="122"/>
      <c r="E30" s="122"/>
      <c r="F30" s="122"/>
      <c r="G30" s="122"/>
      <c r="H30" s="122"/>
      <c r="I30" s="1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9" customHeight="1" x14ac:dyDescent="0.2">
      <c r="A31" s="140"/>
      <c r="B31" s="122"/>
      <c r="C31" s="122"/>
      <c r="D31" s="122"/>
      <c r="E31" s="122"/>
      <c r="F31" s="122"/>
      <c r="G31" s="122"/>
      <c r="H31" s="122"/>
      <c r="I31" s="12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2.5" customHeight="1" x14ac:dyDescent="0.2">
      <c r="A32" s="141" t="s">
        <v>18</v>
      </c>
      <c r="B32" s="122"/>
      <c r="C32" s="122"/>
      <c r="D32" s="122"/>
      <c r="E32" s="122"/>
      <c r="F32" s="122"/>
      <c r="G32" s="122"/>
      <c r="H32" s="122"/>
      <c r="I32" s="12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30" customHeight="1" x14ac:dyDescent="0.2">
      <c r="A33" s="7">
        <v>1</v>
      </c>
      <c r="B33" s="142" t="s">
        <v>19</v>
      </c>
      <c r="C33" s="122"/>
      <c r="D33" s="122"/>
      <c r="E33" s="122"/>
      <c r="F33" s="122"/>
      <c r="G33" s="123"/>
      <c r="H33" s="7" t="s">
        <v>20</v>
      </c>
      <c r="I33" s="7" t="s">
        <v>21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27" customHeight="1" x14ac:dyDescent="0.2">
      <c r="A34" s="3" t="s">
        <v>4</v>
      </c>
      <c r="B34" s="121" t="s">
        <v>128</v>
      </c>
      <c r="C34" s="122"/>
      <c r="D34" s="122"/>
      <c r="E34" s="122"/>
      <c r="F34" s="122"/>
      <c r="G34" s="122"/>
      <c r="H34" s="123"/>
      <c r="I34" s="9">
        <f>H23*2</f>
        <v>3982.12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5" customHeight="1" x14ac:dyDescent="0.2">
      <c r="A35" s="3" t="s">
        <v>6</v>
      </c>
      <c r="B35" s="143" t="s">
        <v>129</v>
      </c>
      <c r="C35" s="122"/>
      <c r="D35" s="122"/>
      <c r="E35" s="122"/>
      <c r="F35" s="122"/>
      <c r="G35" s="123"/>
      <c r="H35" s="11"/>
      <c r="I35" s="9">
        <f>ROUND(H35*I34,2)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33.75" customHeight="1" x14ac:dyDescent="0.2">
      <c r="A36" s="3" t="s">
        <v>8</v>
      </c>
      <c r="B36" s="196" t="s">
        <v>130</v>
      </c>
      <c r="C36" s="122"/>
      <c r="D36" s="122"/>
      <c r="E36" s="122"/>
      <c r="F36" s="122"/>
      <c r="G36" s="122"/>
      <c r="H36" s="123"/>
      <c r="I36" s="75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9.25" customHeight="1" x14ac:dyDescent="0.2">
      <c r="A37" s="3" t="s">
        <v>10</v>
      </c>
      <c r="B37" s="196" t="s">
        <v>131</v>
      </c>
      <c r="C37" s="122"/>
      <c r="D37" s="122"/>
      <c r="E37" s="122"/>
      <c r="F37" s="122"/>
      <c r="G37" s="122"/>
      <c r="H37" s="123"/>
      <c r="I37" s="75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">
      <c r="A38" s="3" t="s">
        <v>22</v>
      </c>
      <c r="B38" s="121" t="s">
        <v>24</v>
      </c>
      <c r="C38" s="122"/>
      <c r="D38" s="122"/>
      <c r="E38" s="122"/>
      <c r="F38" s="122"/>
      <c r="G38" s="122"/>
      <c r="H38" s="123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30.75" customHeight="1" x14ac:dyDescent="0.25">
      <c r="A39" s="197" t="s">
        <v>132</v>
      </c>
      <c r="B39" s="122"/>
      <c r="C39" s="122"/>
      <c r="D39" s="122"/>
      <c r="E39" s="122"/>
      <c r="F39" s="122"/>
      <c r="G39" s="122"/>
      <c r="H39" s="123"/>
      <c r="I39" s="76">
        <f>SUM(I34:I38)</f>
        <v>3982.12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</row>
    <row r="40" spans="1:29" ht="12.75" x14ac:dyDescent="0.2">
      <c r="A40" s="145"/>
      <c r="B40" s="122"/>
      <c r="C40" s="122"/>
      <c r="D40" s="122"/>
      <c r="E40" s="122"/>
      <c r="F40" s="122"/>
      <c r="G40" s="122"/>
      <c r="H40" s="122"/>
      <c r="I40" s="12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32.25" customHeight="1" x14ac:dyDescent="0.2">
      <c r="A41" s="77" t="s">
        <v>23</v>
      </c>
      <c r="B41" s="196" t="s">
        <v>133</v>
      </c>
      <c r="C41" s="122"/>
      <c r="D41" s="122"/>
      <c r="E41" s="122"/>
      <c r="F41" s="122"/>
      <c r="G41" s="122"/>
      <c r="H41" s="123"/>
      <c r="I41" s="75">
        <f>ROUND(H27*15*2*0.5,2)</f>
        <v>203.63</v>
      </c>
      <c r="J41" s="71"/>
      <c r="K41" s="71"/>
      <c r="L41" s="78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</row>
    <row r="42" spans="1:29" ht="12.75" x14ac:dyDescent="0.2">
      <c r="A42" s="145"/>
      <c r="B42" s="122"/>
      <c r="C42" s="122"/>
      <c r="D42" s="122"/>
      <c r="E42" s="122"/>
      <c r="F42" s="122"/>
      <c r="G42" s="122"/>
      <c r="H42" s="122"/>
      <c r="I42" s="12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65.25" customHeight="1" x14ac:dyDescent="0.25">
      <c r="A43" s="198" t="s">
        <v>134</v>
      </c>
      <c r="B43" s="122"/>
      <c r="C43" s="122"/>
      <c r="D43" s="122"/>
      <c r="E43" s="122"/>
      <c r="F43" s="122"/>
      <c r="G43" s="122"/>
      <c r="H43" s="123"/>
      <c r="I43" s="79">
        <f>I39+I41</f>
        <v>4185.75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</row>
    <row r="44" spans="1:29" ht="10.5" customHeight="1" x14ac:dyDescent="0.2">
      <c r="A44" s="147"/>
      <c r="B44" s="122"/>
      <c r="C44" s="122"/>
      <c r="D44" s="122"/>
      <c r="E44" s="122"/>
      <c r="F44" s="122"/>
      <c r="G44" s="122"/>
      <c r="H44" s="122"/>
      <c r="I44" s="12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1.75" customHeight="1" x14ac:dyDescent="0.2">
      <c r="A45" s="148" t="s">
        <v>26</v>
      </c>
      <c r="B45" s="122"/>
      <c r="C45" s="122"/>
      <c r="D45" s="122"/>
      <c r="E45" s="122"/>
      <c r="F45" s="122"/>
      <c r="G45" s="122"/>
      <c r="H45" s="122"/>
      <c r="I45" s="12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5.5" customHeight="1" x14ac:dyDescent="0.2">
      <c r="A46" s="149" t="s">
        <v>135</v>
      </c>
      <c r="B46" s="122"/>
      <c r="C46" s="122"/>
      <c r="D46" s="122"/>
      <c r="E46" s="122"/>
      <c r="F46" s="122"/>
      <c r="G46" s="122"/>
      <c r="H46" s="122"/>
      <c r="I46" s="12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5.5" customHeight="1" x14ac:dyDescent="0.2">
      <c r="A47" s="12" t="s">
        <v>27</v>
      </c>
      <c r="B47" s="150" t="s">
        <v>136</v>
      </c>
      <c r="C47" s="122"/>
      <c r="D47" s="122"/>
      <c r="E47" s="122"/>
      <c r="F47" s="122"/>
      <c r="G47" s="122"/>
      <c r="H47" s="123"/>
      <c r="I47" s="13" t="s">
        <v>29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7" customHeight="1" x14ac:dyDescent="0.2">
      <c r="A48" s="14" t="s">
        <v>4</v>
      </c>
      <c r="B48" s="121" t="s">
        <v>137</v>
      </c>
      <c r="C48" s="122"/>
      <c r="D48" s="122"/>
      <c r="E48" s="122"/>
      <c r="F48" s="122"/>
      <c r="G48" s="123"/>
      <c r="H48" s="10">
        <v>8.3299999999999999E-2</v>
      </c>
      <c r="I48" s="15">
        <f t="shared" ref="I48:I49" si="0">ROUND($I$39*H48,2)</f>
        <v>331.71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7.75" customHeight="1" x14ac:dyDescent="0.2">
      <c r="A49" s="14" t="s">
        <v>6</v>
      </c>
      <c r="B49" s="151" t="s">
        <v>138</v>
      </c>
      <c r="C49" s="122"/>
      <c r="D49" s="122"/>
      <c r="E49" s="122"/>
      <c r="F49" s="122"/>
      <c r="G49" s="123"/>
      <c r="H49" s="80">
        <v>3.0249999999999999E-2</v>
      </c>
      <c r="I49" s="15">
        <f t="shared" si="0"/>
        <v>120.46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5" customHeight="1" x14ac:dyDescent="0.2">
      <c r="A50" s="152" t="s">
        <v>30</v>
      </c>
      <c r="B50" s="122"/>
      <c r="C50" s="122"/>
      <c r="D50" s="122"/>
      <c r="E50" s="122"/>
      <c r="F50" s="122"/>
      <c r="G50" s="122"/>
      <c r="H50" s="123"/>
      <c r="I50" s="16">
        <f>SUM(I48+I49)</f>
        <v>452.16999999999996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0.5" customHeight="1" x14ac:dyDescent="0.2">
      <c r="A51" s="153"/>
      <c r="B51" s="122"/>
      <c r="C51" s="122"/>
      <c r="D51" s="122"/>
      <c r="E51" s="122"/>
      <c r="F51" s="122"/>
      <c r="G51" s="122"/>
      <c r="H51" s="122"/>
      <c r="I51" s="123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60" customHeight="1" x14ac:dyDescent="0.2">
      <c r="A52" s="139" t="s">
        <v>139</v>
      </c>
      <c r="B52" s="122"/>
      <c r="C52" s="122"/>
      <c r="D52" s="122"/>
      <c r="E52" s="122"/>
      <c r="F52" s="122"/>
      <c r="G52" s="122"/>
      <c r="H52" s="122"/>
      <c r="I52" s="12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1.25" customHeight="1" x14ac:dyDescent="0.2">
      <c r="A53" s="154"/>
      <c r="B53" s="122"/>
      <c r="C53" s="122"/>
      <c r="D53" s="122"/>
      <c r="E53" s="122"/>
      <c r="F53" s="122"/>
      <c r="G53" s="122"/>
      <c r="H53" s="122"/>
      <c r="I53" s="12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32.25" customHeight="1" x14ac:dyDescent="0.2">
      <c r="A54" s="155" t="s">
        <v>140</v>
      </c>
      <c r="B54" s="122"/>
      <c r="C54" s="122"/>
      <c r="D54" s="122"/>
      <c r="E54" s="122"/>
      <c r="F54" s="122"/>
      <c r="G54" s="122"/>
      <c r="H54" s="122"/>
      <c r="I54" s="12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30" customHeight="1" x14ac:dyDescent="0.2">
      <c r="A55" s="18" t="s">
        <v>31</v>
      </c>
      <c r="B55" s="142" t="s">
        <v>32</v>
      </c>
      <c r="C55" s="122"/>
      <c r="D55" s="122"/>
      <c r="E55" s="122"/>
      <c r="F55" s="122"/>
      <c r="G55" s="123"/>
      <c r="H55" s="19" t="s">
        <v>33</v>
      </c>
      <c r="I55" s="19" t="s">
        <v>34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">
      <c r="A56" s="20" t="s">
        <v>4</v>
      </c>
      <c r="B56" s="121" t="s">
        <v>35</v>
      </c>
      <c r="C56" s="122"/>
      <c r="D56" s="122"/>
      <c r="E56" s="122"/>
      <c r="F56" s="122"/>
      <c r="G56" s="123"/>
      <c r="H56" s="21">
        <v>0.2</v>
      </c>
      <c r="I56" s="22">
        <f t="shared" ref="I56:I63" si="1">ROUND(($I$39+$I$50)*H56,2)</f>
        <v>886.86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">
      <c r="A57" s="20" t="s">
        <v>6</v>
      </c>
      <c r="B57" s="121" t="s">
        <v>36</v>
      </c>
      <c r="C57" s="122"/>
      <c r="D57" s="122"/>
      <c r="E57" s="122"/>
      <c r="F57" s="122"/>
      <c r="G57" s="123"/>
      <c r="H57" s="21">
        <v>2.5000000000000001E-2</v>
      </c>
      <c r="I57" s="22">
        <f t="shared" si="1"/>
        <v>110.86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76.5" customHeight="1" x14ac:dyDescent="0.2">
      <c r="A58" s="20" t="s">
        <v>8</v>
      </c>
      <c r="B58" s="121" t="s">
        <v>141</v>
      </c>
      <c r="C58" s="123"/>
      <c r="D58" s="23" t="s">
        <v>37</v>
      </c>
      <c r="E58" s="24">
        <v>0.03</v>
      </c>
      <c r="F58" s="23" t="s">
        <v>38</v>
      </c>
      <c r="G58" s="25">
        <v>1</v>
      </c>
      <c r="H58" s="26">
        <f>ROUND((E58*G58),6)</f>
        <v>0.03</v>
      </c>
      <c r="I58" s="22">
        <f t="shared" si="1"/>
        <v>133.03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">
      <c r="A59" s="20" t="s">
        <v>10</v>
      </c>
      <c r="B59" s="121" t="s">
        <v>39</v>
      </c>
      <c r="C59" s="122"/>
      <c r="D59" s="122"/>
      <c r="E59" s="122"/>
      <c r="F59" s="122"/>
      <c r="G59" s="123"/>
      <c r="H59" s="21">
        <v>1.4999999999999999E-2</v>
      </c>
      <c r="I59" s="22">
        <f t="shared" si="1"/>
        <v>66.510000000000005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">
      <c r="A60" s="20" t="s">
        <v>22</v>
      </c>
      <c r="B60" s="121" t="s">
        <v>40</v>
      </c>
      <c r="C60" s="122"/>
      <c r="D60" s="122"/>
      <c r="E60" s="122"/>
      <c r="F60" s="122"/>
      <c r="G60" s="123"/>
      <c r="H60" s="21">
        <v>0.01</v>
      </c>
      <c r="I60" s="22">
        <f t="shared" si="1"/>
        <v>44.34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">
      <c r="A61" s="20" t="s">
        <v>23</v>
      </c>
      <c r="B61" s="121" t="s">
        <v>41</v>
      </c>
      <c r="C61" s="122"/>
      <c r="D61" s="122"/>
      <c r="E61" s="122"/>
      <c r="F61" s="122"/>
      <c r="G61" s="123"/>
      <c r="H61" s="21">
        <v>6.0000000000000001E-3</v>
      </c>
      <c r="I61" s="22">
        <f t="shared" si="1"/>
        <v>26.61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0.25" customHeight="1" x14ac:dyDescent="0.2">
      <c r="A62" s="20" t="s">
        <v>42</v>
      </c>
      <c r="B62" s="121" t="s">
        <v>43</v>
      </c>
      <c r="C62" s="122"/>
      <c r="D62" s="122"/>
      <c r="E62" s="122"/>
      <c r="F62" s="122"/>
      <c r="G62" s="123"/>
      <c r="H62" s="21">
        <v>2E-3</v>
      </c>
      <c r="I62" s="22">
        <f t="shared" si="1"/>
        <v>8.8699999999999992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">
      <c r="A63" s="20" t="s">
        <v>44</v>
      </c>
      <c r="B63" s="121" t="s">
        <v>45</v>
      </c>
      <c r="C63" s="122"/>
      <c r="D63" s="122"/>
      <c r="E63" s="122"/>
      <c r="F63" s="122"/>
      <c r="G63" s="123"/>
      <c r="H63" s="21">
        <v>0.08</v>
      </c>
      <c r="I63" s="22">
        <f t="shared" si="1"/>
        <v>354.74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">
      <c r="A64" s="152" t="s">
        <v>30</v>
      </c>
      <c r="B64" s="122"/>
      <c r="C64" s="122"/>
      <c r="D64" s="122"/>
      <c r="E64" s="122"/>
      <c r="F64" s="122"/>
      <c r="G64" s="123"/>
      <c r="H64" s="27">
        <f t="shared" ref="H64:I64" si="2">SUM(H56:H63)</f>
        <v>0.36800000000000005</v>
      </c>
      <c r="I64" s="28">
        <f t="shared" si="2"/>
        <v>1631.8199999999997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8.25" customHeight="1" x14ac:dyDescent="0.2">
      <c r="A65" s="29"/>
      <c r="B65" s="30"/>
      <c r="C65" s="30"/>
      <c r="D65" s="30"/>
      <c r="E65" s="30"/>
      <c r="F65" s="30"/>
      <c r="G65" s="30"/>
      <c r="H65" s="31"/>
      <c r="I65" s="3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35.25" customHeight="1" x14ac:dyDescent="0.2">
      <c r="A66" s="139" t="s">
        <v>142</v>
      </c>
      <c r="B66" s="122"/>
      <c r="C66" s="122"/>
      <c r="D66" s="122"/>
      <c r="E66" s="122"/>
      <c r="F66" s="122"/>
      <c r="G66" s="122"/>
      <c r="H66" s="122"/>
      <c r="I66" s="12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7.5" customHeight="1" x14ac:dyDescent="0.2">
      <c r="A67" s="133"/>
      <c r="B67" s="122"/>
      <c r="C67" s="122"/>
      <c r="D67" s="122"/>
      <c r="E67" s="122"/>
      <c r="F67" s="122"/>
      <c r="G67" s="122"/>
      <c r="H67" s="122"/>
      <c r="I67" s="12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8" customHeight="1" x14ac:dyDescent="0.2">
      <c r="A68" s="156" t="s">
        <v>46</v>
      </c>
      <c r="B68" s="122"/>
      <c r="C68" s="122"/>
      <c r="D68" s="122"/>
      <c r="E68" s="122"/>
      <c r="F68" s="122"/>
      <c r="G68" s="122"/>
      <c r="H68" s="122"/>
      <c r="I68" s="12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8" customHeight="1" x14ac:dyDescent="0.2">
      <c r="A69" s="33" t="s">
        <v>47</v>
      </c>
      <c r="B69" s="142" t="s">
        <v>48</v>
      </c>
      <c r="C69" s="122"/>
      <c r="D69" s="122"/>
      <c r="E69" s="122"/>
      <c r="F69" s="122"/>
      <c r="G69" s="122"/>
      <c r="H69" s="123"/>
      <c r="I69" s="19" t="s">
        <v>29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">
      <c r="A70" s="14" t="s">
        <v>4</v>
      </c>
      <c r="B70" s="121" t="s">
        <v>143</v>
      </c>
      <c r="C70" s="122"/>
      <c r="D70" s="122"/>
      <c r="E70" s="122"/>
      <c r="F70" s="122"/>
      <c r="G70" s="122"/>
      <c r="H70" s="122"/>
      <c r="I70" s="22">
        <f>IF(ROUND((H73*H71*H72)-(I34*H74),2)&lt;0,0,ROUND((H73*H71*H72)-(I34*H74),2))</f>
        <v>91.07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2.5" customHeight="1" x14ac:dyDescent="0.2">
      <c r="A71" s="14"/>
      <c r="B71" s="157" t="s">
        <v>144</v>
      </c>
      <c r="C71" s="122"/>
      <c r="D71" s="122"/>
      <c r="E71" s="122"/>
      <c r="F71" s="122"/>
      <c r="G71" s="122"/>
      <c r="H71" s="34">
        <v>5.5</v>
      </c>
      <c r="I71" s="35" t="s">
        <v>49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7.25" customHeight="1" x14ac:dyDescent="0.2">
      <c r="A72" s="14"/>
      <c r="B72" s="157" t="s">
        <v>145</v>
      </c>
      <c r="C72" s="122"/>
      <c r="D72" s="122"/>
      <c r="E72" s="122"/>
      <c r="F72" s="122"/>
      <c r="G72" s="123"/>
      <c r="H72" s="36">
        <v>2</v>
      </c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2">
      <c r="A73" s="14"/>
      <c r="B73" s="157" t="s">
        <v>146</v>
      </c>
      <c r="C73" s="122"/>
      <c r="D73" s="122"/>
      <c r="E73" s="122"/>
      <c r="F73" s="122"/>
      <c r="G73" s="123"/>
      <c r="H73" s="37">
        <v>30</v>
      </c>
      <c r="I73" s="3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2">
      <c r="A74" s="14"/>
      <c r="B74" s="158" t="s">
        <v>147</v>
      </c>
      <c r="C74" s="120"/>
      <c r="D74" s="120"/>
      <c r="E74" s="120"/>
      <c r="F74" s="120"/>
      <c r="G74" s="120"/>
      <c r="H74" s="38">
        <v>0.06</v>
      </c>
      <c r="I74" s="3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">
      <c r="A75" s="14" t="s">
        <v>6</v>
      </c>
      <c r="B75" s="121" t="s">
        <v>148</v>
      </c>
      <c r="C75" s="122"/>
      <c r="D75" s="122"/>
      <c r="E75" s="122"/>
      <c r="F75" s="122"/>
      <c r="G75" s="122"/>
      <c r="H75" s="122"/>
      <c r="I75" s="22">
        <f>ROUND(H77*H76*(1-H78),2)</f>
        <v>617.71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">
      <c r="A76" s="14"/>
      <c r="B76" s="157" t="s">
        <v>149</v>
      </c>
      <c r="C76" s="122"/>
      <c r="D76" s="122"/>
      <c r="E76" s="122"/>
      <c r="F76" s="122"/>
      <c r="G76" s="122"/>
      <c r="H76" s="34">
        <v>25.42</v>
      </c>
      <c r="I76" s="35" t="s">
        <v>49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">
      <c r="A77" s="40"/>
      <c r="B77" s="157" t="s">
        <v>150</v>
      </c>
      <c r="C77" s="122"/>
      <c r="D77" s="122"/>
      <c r="E77" s="122"/>
      <c r="F77" s="122"/>
      <c r="G77" s="122"/>
      <c r="H77" s="37">
        <v>30</v>
      </c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">
      <c r="A78" s="40"/>
      <c r="B78" s="159" t="s">
        <v>50</v>
      </c>
      <c r="C78" s="122"/>
      <c r="D78" s="122"/>
      <c r="E78" s="122"/>
      <c r="F78" s="122"/>
      <c r="G78" s="122"/>
      <c r="H78" s="41">
        <v>0.19</v>
      </c>
      <c r="I78" s="3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">
      <c r="A79" s="14" t="s">
        <v>8</v>
      </c>
      <c r="B79" s="121" t="s">
        <v>51</v>
      </c>
      <c r="C79" s="122"/>
      <c r="D79" s="122"/>
      <c r="E79" s="122"/>
      <c r="F79" s="122"/>
      <c r="G79" s="122"/>
      <c r="H79" s="122"/>
      <c r="I79" s="22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hidden="1" customHeight="1" x14ac:dyDescent="0.2">
      <c r="A80" s="40" t="s">
        <v>10</v>
      </c>
      <c r="B80" s="160" t="s">
        <v>52</v>
      </c>
      <c r="C80" s="122"/>
      <c r="D80" s="122"/>
      <c r="E80" s="122"/>
      <c r="F80" s="122"/>
      <c r="G80" s="122"/>
      <c r="H80" s="122"/>
      <c r="I80" s="42" t="s">
        <v>53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32.25" customHeight="1" x14ac:dyDescent="0.2">
      <c r="A81" s="14" t="s">
        <v>10</v>
      </c>
      <c r="B81" s="121" t="s">
        <v>151</v>
      </c>
      <c r="C81" s="122"/>
      <c r="D81" s="122"/>
      <c r="E81" s="122"/>
      <c r="F81" s="122"/>
      <c r="G81" s="122"/>
      <c r="H81" s="123"/>
      <c r="I81" s="43">
        <f>24.1*2</f>
        <v>48.2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">
      <c r="A82" s="14" t="s">
        <v>22</v>
      </c>
      <c r="B82" s="161" t="s">
        <v>54</v>
      </c>
      <c r="C82" s="122"/>
      <c r="D82" s="122"/>
      <c r="E82" s="122"/>
      <c r="F82" s="122"/>
      <c r="G82" s="122"/>
      <c r="H82" s="122"/>
      <c r="I82" s="44" t="s">
        <v>49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">
      <c r="A83" s="45"/>
      <c r="B83" s="152" t="s">
        <v>25</v>
      </c>
      <c r="C83" s="122"/>
      <c r="D83" s="122"/>
      <c r="E83" s="122"/>
      <c r="F83" s="122"/>
      <c r="G83" s="122"/>
      <c r="H83" s="123"/>
      <c r="I83" s="28">
        <f>SUM(I70:I81)</f>
        <v>756.98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7.5" customHeight="1" x14ac:dyDescent="0.2">
      <c r="A84" s="133"/>
      <c r="B84" s="122"/>
      <c r="C84" s="122"/>
      <c r="D84" s="122"/>
      <c r="E84" s="122"/>
      <c r="F84" s="122"/>
      <c r="G84" s="122"/>
      <c r="H84" s="122"/>
      <c r="I84" s="12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36" customHeight="1" x14ac:dyDescent="0.2">
      <c r="A85" s="139" t="s">
        <v>55</v>
      </c>
      <c r="B85" s="122"/>
      <c r="C85" s="122"/>
      <c r="D85" s="122"/>
      <c r="E85" s="122"/>
      <c r="F85" s="122"/>
      <c r="G85" s="122"/>
      <c r="H85" s="122"/>
      <c r="I85" s="12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7.5" customHeight="1" x14ac:dyDescent="0.2">
      <c r="A86" s="166"/>
      <c r="B86" s="122"/>
      <c r="C86" s="122"/>
      <c r="D86" s="122"/>
      <c r="E86" s="122"/>
      <c r="F86" s="122"/>
      <c r="G86" s="122"/>
      <c r="H86" s="122"/>
      <c r="I86" s="12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1.75" customHeight="1" x14ac:dyDescent="0.2">
      <c r="A87" s="141" t="s">
        <v>56</v>
      </c>
      <c r="B87" s="122"/>
      <c r="C87" s="122"/>
      <c r="D87" s="122"/>
      <c r="E87" s="122"/>
      <c r="F87" s="122"/>
      <c r="G87" s="122"/>
      <c r="H87" s="122"/>
      <c r="I87" s="12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3.25" customHeight="1" x14ac:dyDescent="0.2">
      <c r="A88" s="19">
        <v>2</v>
      </c>
      <c r="B88" s="142" t="s">
        <v>57</v>
      </c>
      <c r="C88" s="122"/>
      <c r="D88" s="122"/>
      <c r="E88" s="122"/>
      <c r="F88" s="122"/>
      <c r="G88" s="122"/>
      <c r="H88" s="123"/>
      <c r="I88" s="19" t="s">
        <v>29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1.75" customHeight="1" x14ac:dyDescent="0.2">
      <c r="A89" s="3" t="s">
        <v>27</v>
      </c>
      <c r="B89" s="194" t="s">
        <v>136</v>
      </c>
      <c r="C89" s="122"/>
      <c r="D89" s="122"/>
      <c r="E89" s="122"/>
      <c r="F89" s="122"/>
      <c r="G89" s="122"/>
      <c r="H89" s="123"/>
      <c r="I89" s="15">
        <f>I50</f>
        <v>452.16999999999996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8" customHeight="1" x14ac:dyDescent="0.2">
      <c r="A90" s="3" t="s">
        <v>31</v>
      </c>
      <c r="B90" s="121" t="s">
        <v>32</v>
      </c>
      <c r="C90" s="122"/>
      <c r="D90" s="122"/>
      <c r="E90" s="122"/>
      <c r="F90" s="122"/>
      <c r="G90" s="122"/>
      <c r="H90" s="123"/>
      <c r="I90" s="15">
        <f>I64</f>
        <v>1631.8199999999997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1.75" customHeight="1" x14ac:dyDescent="0.2">
      <c r="A91" s="3" t="s">
        <v>47</v>
      </c>
      <c r="B91" s="121" t="s">
        <v>48</v>
      </c>
      <c r="C91" s="122"/>
      <c r="D91" s="122"/>
      <c r="E91" s="122"/>
      <c r="F91" s="122"/>
      <c r="G91" s="122"/>
      <c r="H91" s="123"/>
      <c r="I91" s="15">
        <f>I83</f>
        <v>756.98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1.75" customHeight="1" x14ac:dyDescent="0.2">
      <c r="A92" s="144" t="s">
        <v>30</v>
      </c>
      <c r="B92" s="122"/>
      <c r="C92" s="122"/>
      <c r="D92" s="122"/>
      <c r="E92" s="122"/>
      <c r="F92" s="122"/>
      <c r="G92" s="122"/>
      <c r="H92" s="123"/>
      <c r="I92" s="46">
        <f>SUM(I89+I90+I91)</f>
        <v>2840.97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" customHeight="1" x14ac:dyDescent="0.2">
      <c r="A93" s="167"/>
      <c r="B93" s="122"/>
      <c r="C93" s="122"/>
      <c r="D93" s="122"/>
      <c r="E93" s="122"/>
      <c r="F93" s="122"/>
      <c r="G93" s="122"/>
      <c r="H93" s="122"/>
      <c r="I93" s="12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6.25" customHeight="1" x14ac:dyDescent="0.2">
      <c r="A94" s="148" t="s">
        <v>58</v>
      </c>
      <c r="B94" s="122"/>
      <c r="C94" s="122"/>
      <c r="D94" s="122"/>
      <c r="E94" s="122"/>
      <c r="F94" s="122"/>
      <c r="G94" s="122"/>
      <c r="H94" s="122"/>
      <c r="I94" s="12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8.5" customHeight="1" x14ac:dyDescent="0.2">
      <c r="A95" s="33">
        <v>3</v>
      </c>
      <c r="B95" s="162" t="s">
        <v>59</v>
      </c>
      <c r="C95" s="122"/>
      <c r="D95" s="122"/>
      <c r="E95" s="122"/>
      <c r="F95" s="122"/>
      <c r="G95" s="122"/>
      <c r="H95" s="123"/>
      <c r="I95" s="33" t="s">
        <v>60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45" customHeight="1" x14ac:dyDescent="0.2">
      <c r="A96" s="14" t="s">
        <v>4</v>
      </c>
      <c r="B96" s="121" t="s">
        <v>152</v>
      </c>
      <c r="C96" s="122"/>
      <c r="D96" s="122"/>
      <c r="E96" s="122"/>
      <c r="F96" s="122"/>
      <c r="G96" s="122"/>
      <c r="H96" s="123"/>
      <c r="I96" s="22">
        <f>ROUND((($I$39/12)+($I$48/12)+($I$39*0.121/12))*(30/30)*0.05,2)</f>
        <v>19.98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">
      <c r="A97" s="14" t="s">
        <v>6</v>
      </c>
      <c r="B97" s="161" t="s">
        <v>61</v>
      </c>
      <c r="C97" s="122"/>
      <c r="D97" s="122"/>
      <c r="E97" s="122"/>
      <c r="F97" s="122"/>
      <c r="G97" s="122"/>
      <c r="H97" s="123"/>
      <c r="I97" s="22">
        <f>ROUND($I$96*H63,2)</f>
        <v>1.6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37.5" customHeight="1" x14ac:dyDescent="0.2">
      <c r="A98" s="14" t="s">
        <v>8</v>
      </c>
      <c r="B98" s="121" t="s">
        <v>153</v>
      </c>
      <c r="C98" s="122"/>
      <c r="D98" s="122"/>
      <c r="E98" s="122"/>
      <c r="F98" s="122"/>
      <c r="G98" s="122"/>
      <c r="H98" s="123"/>
      <c r="I98" s="22">
        <f>ROUND(((($I$39/30)*7)/$H$12)*1,2)</f>
        <v>77.430000000000007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">
      <c r="A99" s="14" t="s">
        <v>10</v>
      </c>
      <c r="B99" s="161" t="s">
        <v>62</v>
      </c>
      <c r="C99" s="122"/>
      <c r="D99" s="122"/>
      <c r="E99" s="122"/>
      <c r="F99" s="122"/>
      <c r="G99" s="122"/>
      <c r="H99" s="123"/>
      <c r="I99" s="22">
        <f>ROUND($H$64*I98,2)</f>
        <v>28.49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35.25" customHeight="1" x14ac:dyDescent="0.2">
      <c r="A100" s="14" t="s">
        <v>22</v>
      </c>
      <c r="B100" s="121" t="s">
        <v>154</v>
      </c>
      <c r="C100" s="122"/>
      <c r="D100" s="122"/>
      <c r="E100" s="122"/>
      <c r="F100" s="122"/>
      <c r="G100" s="123"/>
      <c r="H100" s="47">
        <v>0.04</v>
      </c>
      <c r="I100" s="22">
        <f>ROUND($I$39*H100,2)</f>
        <v>159.28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8.75" customHeight="1" x14ac:dyDescent="0.2">
      <c r="A101" s="152" t="s">
        <v>30</v>
      </c>
      <c r="B101" s="122"/>
      <c r="C101" s="122"/>
      <c r="D101" s="122"/>
      <c r="E101" s="122"/>
      <c r="F101" s="122"/>
      <c r="G101" s="122"/>
      <c r="H101" s="123"/>
      <c r="I101" s="28">
        <f>SUM(I96:I100)</f>
        <v>286.77999999999997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7.5" customHeight="1" x14ac:dyDescent="0.2">
      <c r="A102" s="133"/>
      <c r="B102" s="122"/>
      <c r="C102" s="122"/>
      <c r="D102" s="122"/>
      <c r="E102" s="122"/>
      <c r="F102" s="122"/>
      <c r="G102" s="122"/>
      <c r="H102" s="122"/>
      <c r="I102" s="1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36" customHeight="1" x14ac:dyDescent="0.2">
      <c r="A103" s="139" t="s">
        <v>63</v>
      </c>
      <c r="B103" s="122"/>
      <c r="C103" s="122"/>
      <c r="D103" s="122"/>
      <c r="E103" s="122"/>
      <c r="F103" s="122"/>
      <c r="G103" s="122"/>
      <c r="H103" s="122"/>
      <c r="I103" s="1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7.5" customHeight="1" x14ac:dyDescent="0.2">
      <c r="A104" s="166"/>
      <c r="B104" s="122"/>
      <c r="C104" s="122"/>
      <c r="D104" s="122"/>
      <c r="E104" s="122"/>
      <c r="F104" s="122"/>
      <c r="G104" s="122"/>
      <c r="H104" s="122"/>
      <c r="I104" s="1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3.25" customHeight="1" x14ac:dyDescent="0.2">
      <c r="A105" s="141" t="s">
        <v>64</v>
      </c>
      <c r="B105" s="122"/>
      <c r="C105" s="122"/>
      <c r="D105" s="122"/>
      <c r="E105" s="122"/>
      <c r="F105" s="122"/>
      <c r="G105" s="122"/>
      <c r="H105" s="122"/>
      <c r="I105" s="12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7" customHeight="1" x14ac:dyDescent="0.2">
      <c r="A106" s="139" t="s">
        <v>65</v>
      </c>
      <c r="B106" s="122"/>
      <c r="C106" s="122"/>
      <c r="D106" s="122"/>
      <c r="E106" s="122"/>
      <c r="F106" s="122"/>
      <c r="G106" s="122"/>
      <c r="H106" s="122"/>
      <c r="I106" s="1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61.5" customHeight="1" x14ac:dyDescent="0.2">
      <c r="A107" s="168" t="s">
        <v>155</v>
      </c>
      <c r="B107" s="122"/>
      <c r="C107" s="122"/>
      <c r="D107" s="122"/>
      <c r="E107" s="122"/>
      <c r="F107" s="122"/>
      <c r="G107" s="122"/>
      <c r="H107" s="122"/>
      <c r="I107" s="12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8.25" customHeight="1" x14ac:dyDescent="0.2">
      <c r="A108" s="169"/>
      <c r="B108" s="122"/>
      <c r="C108" s="122"/>
      <c r="D108" s="122"/>
      <c r="E108" s="122"/>
      <c r="F108" s="122"/>
      <c r="G108" s="122"/>
      <c r="H108" s="122"/>
      <c r="I108" s="12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57.75" x14ac:dyDescent="0.2">
      <c r="A109" s="48" t="s">
        <v>66</v>
      </c>
      <c r="B109" s="49">
        <f>I39</f>
        <v>3982.12</v>
      </c>
      <c r="C109" s="50"/>
      <c r="D109" s="48" t="s">
        <v>156</v>
      </c>
      <c r="E109" s="49">
        <f>I92-I70-I75+I113</f>
        <v>2626.5499999999997</v>
      </c>
      <c r="F109" s="51"/>
      <c r="G109" s="48" t="s">
        <v>67</v>
      </c>
      <c r="H109" s="49">
        <f>I101</f>
        <v>286.77999999999997</v>
      </c>
      <c r="I109" s="52">
        <f>B109+E109+H109</f>
        <v>6895.45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7.5" customHeight="1" x14ac:dyDescent="0.2">
      <c r="A110" s="170"/>
      <c r="B110" s="122"/>
      <c r="C110" s="122"/>
      <c r="D110" s="122"/>
      <c r="E110" s="122"/>
      <c r="F110" s="122"/>
      <c r="G110" s="122"/>
      <c r="H110" s="122"/>
      <c r="I110" s="12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2.5" customHeight="1" x14ac:dyDescent="0.2">
      <c r="A111" s="155" t="s">
        <v>68</v>
      </c>
      <c r="B111" s="122"/>
      <c r="C111" s="122"/>
      <c r="D111" s="122"/>
      <c r="E111" s="122"/>
      <c r="F111" s="122"/>
      <c r="G111" s="122"/>
      <c r="H111" s="122"/>
      <c r="I111" s="12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53" t="s">
        <v>69</v>
      </c>
      <c r="B112" s="162" t="s">
        <v>70</v>
      </c>
      <c r="C112" s="122"/>
      <c r="D112" s="122"/>
      <c r="E112" s="122"/>
      <c r="F112" s="122"/>
      <c r="G112" s="122"/>
      <c r="H112" s="123"/>
      <c r="I112" s="53" t="s">
        <v>29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46.5" customHeight="1" x14ac:dyDescent="0.2">
      <c r="A113" s="12" t="s">
        <v>4</v>
      </c>
      <c r="B113" s="121" t="s">
        <v>157</v>
      </c>
      <c r="C113" s="122"/>
      <c r="D113" s="122"/>
      <c r="E113" s="122"/>
      <c r="F113" s="122"/>
      <c r="G113" s="54">
        <v>9.0749999999999997E-2</v>
      </c>
      <c r="H113" s="55">
        <f>H64</f>
        <v>0.36800000000000005</v>
      </c>
      <c r="I113" s="22">
        <f>ROUND($B$109*G113+$B$109*G113*H113,2)</f>
        <v>494.36</v>
      </c>
      <c r="J113" s="1"/>
      <c r="K113" s="1"/>
      <c r="L113" s="5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33.75" customHeight="1" x14ac:dyDescent="0.2">
      <c r="A114" s="14" t="s">
        <v>6</v>
      </c>
      <c r="B114" s="121" t="s">
        <v>158</v>
      </c>
      <c r="C114" s="122"/>
      <c r="D114" s="122"/>
      <c r="E114" s="122"/>
      <c r="F114" s="122"/>
      <c r="G114" s="122"/>
      <c r="H114" s="123"/>
      <c r="I114" s="22">
        <f>ROUND((($I$109/30)*1)/12,2)</f>
        <v>19.149999999999999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31.5" customHeight="1" x14ac:dyDescent="0.2">
      <c r="A115" s="14" t="s">
        <v>8</v>
      </c>
      <c r="B115" s="121" t="s">
        <v>159</v>
      </c>
      <c r="C115" s="122"/>
      <c r="D115" s="122"/>
      <c r="E115" s="122"/>
      <c r="F115" s="122"/>
      <c r="G115" s="122"/>
      <c r="H115" s="123"/>
      <c r="I115" s="22">
        <f>ROUND((($I$109/30)*5)/12*0.015,2)</f>
        <v>1.44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4.75" customHeight="1" x14ac:dyDescent="0.2">
      <c r="A116" s="14" t="s">
        <v>10</v>
      </c>
      <c r="B116" s="121" t="s">
        <v>160</v>
      </c>
      <c r="C116" s="122"/>
      <c r="D116" s="122"/>
      <c r="E116" s="122"/>
      <c r="F116" s="122"/>
      <c r="G116" s="122"/>
      <c r="H116" s="123"/>
      <c r="I116" s="22">
        <f>ROUND(((($I$109/30)*0.97)/12),2)</f>
        <v>18.579999999999998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10.25" customHeight="1" x14ac:dyDescent="0.2">
      <c r="A117" s="14" t="s">
        <v>22</v>
      </c>
      <c r="B117" s="121" t="s">
        <v>161</v>
      </c>
      <c r="C117" s="122"/>
      <c r="D117" s="122"/>
      <c r="E117" s="122"/>
      <c r="F117" s="122"/>
      <c r="G117" s="122"/>
      <c r="H117" s="123"/>
      <c r="I117" s="22">
        <f>ROUND(((((B109*0.121)+(H64)*(B109*0.121))*(4/12)))*0.02,2)+ROUND(((H63*B109+H64*I48+I83-I70-I75+I101)*4/12)*0.02,2)</f>
        <v>9.5599999999999987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49.5" customHeight="1" x14ac:dyDescent="0.2">
      <c r="A118" s="57" t="s">
        <v>23</v>
      </c>
      <c r="B118" s="121" t="s">
        <v>162</v>
      </c>
      <c r="C118" s="122"/>
      <c r="D118" s="122"/>
      <c r="E118" s="122"/>
      <c r="F118" s="122"/>
      <c r="G118" s="122"/>
      <c r="H118" s="123"/>
      <c r="I118" s="22">
        <f>ROUND(((($I$109/30)*3)/12),2)</f>
        <v>57.46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x14ac:dyDescent="0.2">
      <c r="A119" s="152" t="s">
        <v>30</v>
      </c>
      <c r="B119" s="122"/>
      <c r="C119" s="122"/>
      <c r="D119" s="122"/>
      <c r="E119" s="122"/>
      <c r="F119" s="122"/>
      <c r="G119" s="122"/>
      <c r="H119" s="123"/>
      <c r="I119" s="58">
        <f>SUM(I113:I118)</f>
        <v>600.55000000000007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9" customHeight="1" x14ac:dyDescent="0.2">
      <c r="A120" s="152"/>
      <c r="B120" s="122"/>
      <c r="C120" s="122"/>
      <c r="D120" s="122"/>
      <c r="E120" s="122"/>
      <c r="F120" s="122"/>
      <c r="G120" s="122"/>
      <c r="H120" s="122"/>
      <c r="I120" s="12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0.25" customHeight="1" x14ac:dyDescent="0.2">
      <c r="A121" s="156" t="s">
        <v>71</v>
      </c>
      <c r="B121" s="122"/>
      <c r="C121" s="122"/>
      <c r="D121" s="122"/>
      <c r="E121" s="122"/>
      <c r="F121" s="122"/>
      <c r="G121" s="122"/>
      <c r="H121" s="122"/>
      <c r="I121" s="1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5.5" customHeight="1" x14ac:dyDescent="0.2">
      <c r="A122" s="33" t="s">
        <v>72</v>
      </c>
      <c r="B122" s="162" t="s">
        <v>73</v>
      </c>
      <c r="C122" s="122"/>
      <c r="D122" s="122"/>
      <c r="E122" s="122"/>
      <c r="F122" s="122"/>
      <c r="G122" s="122"/>
      <c r="H122" s="123"/>
      <c r="I122" s="59" t="s">
        <v>29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 x14ac:dyDescent="0.2">
      <c r="A123" s="14" t="s">
        <v>4</v>
      </c>
      <c r="B123" s="161" t="s">
        <v>74</v>
      </c>
      <c r="C123" s="122"/>
      <c r="D123" s="122"/>
      <c r="E123" s="122"/>
      <c r="F123" s="122"/>
      <c r="G123" s="122"/>
      <c r="H123" s="123"/>
      <c r="I123" s="22"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">
      <c r="A124" s="171" t="s">
        <v>30</v>
      </c>
      <c r="B124" s="122"/>
      <c r="C124" s="122"/>
      <c r="D124" s="122"/>
      <c r="E124" s="122"/>
      <c r="F124" s="122"/>
      <c r="G124" s="122"/>
      <c r="H124" s="123"/>
      <c r="I124" s="22"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7.5" customHeight="1" x14ac:dyDescent="0.2">
      <c r="A125" s="172"/>
      <c r="B125" s="122"/>
      <c r="C125" s="122"/>
      <c r="D125" s="122"/>
      <c r="E125" s="122"/>
      <c r="F125" s="122"/>
      <c r="G125" s="122"/>
      <c r="H125" s="122"/>
      <c r="I125" s="12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3.25" customHeight="1" x14ac:dyDescent="0.2">
      <c r="A126" s="141" t="s">
        <v>75</v>
      </c>
      <c r="B126" s="122"/>
      <c r="C126" s="122"/>
      <c r="D126" s="122"/>
      <c r="E126" s="122"/>
      <c r="F126" s="122"/>
      <c r="G126" s="122"/>
      <c r="H126" s="122"/>
      <c r="I126" s="12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7" customHeight="1" x14ac:dyDescent="0.2">
      <c r="A127" s="19">
        <v>4</v>
      </c>
      <c r="B127" s="162" t="s">
        <v>76</v>
      </c>
      <c r="C127" s="122"/>
      <c r="D127" s="122"/>
      <c r="E127" s="122"/>
      <c r="F127" s="122"/>
      <c r="G127" s="122"/>
      <c r="H127" s="123"/>
      <c r="I127" s="59" t="s">
        <v>29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 x14ac:dyDescent="0.2">
      <c r="A128" s="3" t="s">
        <v>69</v>
      </c>
      <c r="B128" s="161" t="s">
        <v>70</v>
      </c>
      <c r="C128" s="122"/>
      <c r="D128" s="122"/>
      <c r="E128" s="122"/>
      <c r="F128" s="122"/>
      <c r="G128" s="122"/>
      <c r="H128" s="123"/>
      <c r="I128" s="22">
        <f>I119</f>
        <v>600.55000000000007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 x14ac:dyDescent="0.2">
      <c r="A129" s="3" t="s">
        <v>77</v>
      </c>
      <c r="B129" s="161" t="s">
        <v>73</v>
      </c>
      <c r="C129" s="122"/>
      <c r="D129" s="122"/>
      <c r="E129" s="122"/>
      <c r="F129" s="122"/>
      <c r="G129" s="122"/>
      <c r="H129" s="123"/>
      <c r="I129" s="22">
        <f>I124</f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2">
      <c r="A130" s="144" t="s">
        <v>30</v>
      </c>
      <c r="B130" s="122"/>
      <c r="C130" s="122"/>
      <c r="D130" s="122"/>
      <c r="E130" s="122"/>
      <c r="F130" s="122"/>
      <c r="G130" s="122"/>
      <c r="H130" s="123"/>
      <c r="I130" s="28">
        <f>SUM(I128+I129)</f>
        <v>600.55000000000007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9" customHeight="1" x14ac:dyDescent="0.2">
      <c r="A131" s="163"/>
      <c r="B131" s="122"/>
      <c r="C131" s="122"/>
      <c r="D131" s="122"/>
      <c r="E131" s="122"/>
      <c r="F131" s="122"/>
      <c r="G131" s="122"/>
      <c r="H131" s="122"/>
      <c r="I131" s="12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30" customHeight="1" x14ac:dyDescent="0.2">
      <c r="A132" s="141" t="s">
        <v>78</v>
      </c>
      <c r="B132" s="122"/>
      <c r="C132" s="122"/>
      <c r="D132" s="122"/>
      <c r="E132" s="122"/>
      <c r="F132" s="122"/>
      <c r="G132" s="122"/>
      <c r="H132" s="122"/>
      <c r="I132" s="12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5.5" customHeight="1" x14ac:dyDescent="0.2">
      <c r="A133" s="33">
        <v>5</v>
      </c>
      <c r="B133" s="142" t="s">
        <v>79</v>
      </c>
      <c r="C133" s="122"/>
      <c r="D133" s="122"/>
      <c r="E133" s="122"/>
      <c r="F133" s="122"/>
      <c r="G133" s="122"/>
      <c r="H133" s="123"/>
      <c r="I133" s="33" t="s">
        <v>29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x14ac:dyDescent="0.2">
      <c r="A134" s="81" t="s">
        <v>4</v>
      </c>
      <c r="B134" s="196" t="s">
        <v>163</v>
      </c>
      <c r="C134" s="122"/>
      <c r="D134" s="122"/>
      <c r="E134" s="122"/>
      <c r="F134" s="122"/>
      <c r="G134" s="122"/>
      <c r="H134" s="123"/>
      <c r="I134" s="75">
        <f>I190</f>
        <v>107.90333333333332</v>
      </c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</row>
    <row r="135" spans="1:29" ht="26.25" customHeight="1" x14ac:dyDescent="0.2">
      <c r="A135" s="81" t="s">
        <v>6</v>
      </c>
      <c r="B135" s="196" t="s">
        <v>164</v>
      </c>
      <c r="C135" s="122"/>
      <c r="D135" s="122"/>
      <c r="E135" s="122"/>
      <c r="F135" s="122"/>
      <c r="G135" s="122"/>
      <c r="H135" s="123"/>
      <c r="I135" s="82">
        <f>I194+I200</f>
        <v>11.244888888888889</v>
      </c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</row>
    <row r="136" spans="1:29" ht="15.75" customHeight="1" x14ac:dyDescent="0.2">
      <c r="A136" s="81" t="s">
        <v>8</v>
      </c>
      <c r="B136" s="196" t="s">
        <v>165</v>
      </c>
      <c r="C136" s="122"/>
      <c r="D136" s="122"/>
      <c r="E136" s="122"/>
      <c r="F136" s="122"/>
      <c r="G136" s="122"/>
      <c r="H136" s="123"/>
      <c r="I136" s="82" t="s">
        <v>166</v>
      </c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</row>
    <row r="137" spans="1:29" ht="15.75" customHeight="1" x14ac:dyDescent="0.2">
      <c r="A137" s="14" t="s">
        <v>10</v>
      </c>
      <c r="B137" s="121" t="s">
        <v>80</v>
      </c>
      <c r="C137" s="122"/>
      <c r="D137" s="122"/>
      <c r="E137" s="122"/>
      <c r="F137" s="122"/>
      <c r="G137" s="122"/>
      <c r="H137" s="123"/>
      <c r="I137" s="43"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">
      <c r="A138" s="152" t="s">
        <v>25</v>
      </c>
      <c r="B138" s="122"/>
      <c r="C138" s="122"/>
      <c r="D138" s="122"/>
      <c r="E138" s="122"/>
      <c r="F138" s="122"/>
      <c r="G138" s="122"/>
      <c r="H138" s="123"/>
      <c r="I138" s="46">
        <f>SUM(I134:I137)</f>
        <v>119.14822222222222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8.25" customHeight="1" x14ac:dyDescent="0.2">
      <c r="A139" s="164"/>
      <c r="B139" s="122"/>
      <c r="C139" s="122"/>
      <c r="D139" s="122"/>
      <c r="E139" s="122"/>
      <c r="F139" s="122"/>
      <c r="G139" s="122"/>
      <c r="H139" s="122"/>
      <c r="I139" s="12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2">
      <c r="A140" s="165"/>
      <c r="B140" s="122"/>
      <c r="C140" s="122"/>
      <c r="D140" s="122"/>
      <c r="E140" s="122"/>
      <c r="F140" s="122"/>
      <c r="G140" s="122"/>
      <c r="H140" s="122"/>
      <c r="I140" s="12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8.25" customHeight="1" x14ac:dyDescent="0.2">
      <c r="A141" s="60"/>
      <c r="B141" s="61"/>
      <c r="C141" s="61"/>
      <c r="D141" s="61"/>
      <c r="E141" s="61"/>
      <c r="F141" s="61"/>
      <c r="G141" s="61"/>
      <c r="H141" s="61"/>
      <c r="I141" s="6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29.25" customHeight="1" x14ac:dyDescent="0.2">
      <c r="A142" s="148" t="s">
        <v>81</v>
      </c>
      <c r="B142" s="122"/>
      <c r="C142" s="122"/>
      <c r="D142" s="122"/>
      <c r="E142" s="122"/>
      <c r="F142" s="122"/>
      <c r="G142" s="122"/>
      <c r="H142" s="122"/>
      <c r="I142" s="12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32.25" customHeight="1" x14ac:dyDescent="0.2">
      <c r="A143" s="33">
        <v>6</v>
      </c>
      <c r="B143" s="162" t="s">
        <v>82</v>
      </c>
      <c r="C143" s="122"/>
      <c r="D143" s="122"/>
      <c r="E143" s="122"/>
      <c r="F143" s="122"/>
      <c r="G143" s="123"/>
      <c r="H143" s="19" t="s">
        <v>33</v>
      </c>
      <c r="I143" s="63" t="s">
        <v>83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51.75" customHeight="1" x14ac:dyDescent="0.2">
      <c r="A144" s="151" t="s">
        <v>167</v>
      </c>
      <c r="B144" s="122"/>
      <c r="C144" s="122"/>
      <c r="D144" s="122"/>
      <c r="E144" s="122"/>
      <c r="F144" s="122"/>
      <c r="G144" s="123"/>
      <c r="H144" s="64" t="s">
        <v>49</v>
      </c>
      <c r="I144" s="65">
        <f>SUM(I43+I92+I101+I130+I138)</f>
        <v>8033.1982222222214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">
      <c r="A145" s="66" t="s">
        <v>4</v>
      </c>
      <c r="B145" s="148" t="s">
        <v>84</v>
      </c>
      <c r="C145" s="122"/>
      <c r="D145" s="122"/>
      <c r="E145" s="122"/>
      <c r="F145" s="122"/>
      <c r="G145" s="123"/>
      <c r="H145" s="21">
        <v>0.05</v>
      </c>
      <c r="I145" s="22">
        <f>ROUND(H145*I144,2)</f>
        <v>401.66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51" customHeight="1" x14ac:dyDescent="0.2">
      <c r="A146" s="210" t="s">
        <v>168</v>
      </c>
      <c r="B146" s="122"/>
      <c r="C146" s="122"/>
      <c r="D146" s="122"/>
      <c r="E146" s="122"/>
      <c r="F146" s="122"/>
      <c r="G146" s="123"/>
      <c r="H146" s="67" t="s">
        <v>49</v>
      </c>
      <c r="I146" s="65">
        <f>SUM(I43+I92+I101+I130+I138+I145)</f>
        <v>8434.8582222222212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">
      <c r="A147" s="66" t="s">
        <v>6</v>
      </c>
      <c r="B147" s="148" t="s">
        <v>85</v>
      </c>
      <c r="C147" s="122"/>
      <c r="D147" s="122"/>
      <c r="E147" s="122"/>
      <c r="F147" s="122"/>
      <c r="G147" s="123"/>
      <c r="H147" s="21">
        <v>0.1</v>
      </c>
      <c r="I147" s="22">
        <f>ROUND(H147*I146,2)</f>
        <v>843.49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49.5" customHeight="1" x14ac:dyDescent="0.2">
      <c r="A148" s="210" t="s">
        <v>169</v>
      </c>
      <c r="B148" s="122"/>
      <c r="C148" s="122"/>
      <c r="D148" s="122"/>
      <c r="E148" s="122"/>
      <c r="F148" s="122"/>
      <c r="G148" s="123"/>
      <c r="H148" s="67" t="s">
        <v>49</v>
      </c>
      <c r="I148" s="65">
        <f>SUM(I144+I145+I147)</f>
        <v>9278.348222222221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">
      <c r="A149" s="66" t="s">
        <v>8</v>
      </c>
      <c r="B149" s="148" t="s">
        <v>87</v>
      </c>
      <c r="C149" s="122"/>
      <c r="D149" s="122"/>
      <c r="E149" s="122"/>
      <c r="F149" s="122"/>
      <c r="G149" s="123"/>
      <c r="H149" s="10" t="s">
        <v>49</v>
      </c>
      <c r="I149" s="35" t="s">
        <v>49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">
      <c r="A150" s="14"/>
      <c r="B150" s="148" t="s">
        <v>88</v>
      </c>
      <c r="C150" s="122"/>
      <c r="D150" s="122"/>
      <c r="E150" s="122"/>
      <c r="F150" s="122"/>
      <c r="G150" s="123"/>
      <c r="H150" s="10" t="s">
        <v>49</v>
      </c>
      <c r="I150" s="35" t="s">
        <v>49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38.25" customHeight="1" x14ac:dyDescent="0.2">
      <c r="A151" s="14"/>
      <c r="B151" s="211" t="s">
        <v>170</v>
      </c>
      <c r="C151" s="122"/>
      <c r="D151" s="122"/>
      <c r="E151" s="122"/>
      <c r="F151" s="122"/>
      <c r="G151" s="123"/>
      <c r="H151" s="68">
        <v>7.5999999999999998E-2</v>
      </c>
      <c r="I151" s="22">
        <f t="shared" ref="I151:I152" si="3">ROUND(($I$148/(1-$H$160))*H151,2)</f>
        <v>794.54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37.5" customHeight="1" x14ac:dyDescent="0.2">
      <c r="A152" s="14"/>
      <c r="B152" s="211" t="s">
        <v>171</v>
      </c>
      <c r="C152" s="122"/>
      <c r="D152" s="122"/>
      <c r="E152" s="122"/>
      <c r="F152" s="122"/>
      <c r="G152" s="123"/>
      <c r="H152" s="68">
        <v>1.6500000000000001E-2</v>
      </c>
      <c r="I152" s="22">
        <f t="shared" si="3"/>
        <v>172.5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7" customHeight="1" x14ac:dyDescent="0.2">
      <c r="A153" s="14"/>
      <c r="B153" s="141" t="s">
        <v>172</v>
      </c>
      <c r="C153" s="122"/>
      <c r="D153" s="122"/>
      <c r="E153" s="122"/>
      <c r="F153" s="122"/>
      <c r="G153" s="123"/>
      <c r="H153" s="69" t="s">
        <v>49</v>
      </c>
      <c r="I153" s="35" t="s">
        <v>49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7" customHeight="1" x14ac:dyDescent="0.2">
      <c r="A154" s="14"/>
      <c r="B154" s="141" t="s">
        <v>173</v>
      </c>
      <c r="C154" s="122"/>
      <c r="D154" s="122"/>
      <c r="E154" s="122"/>
      <c r="F154" s="122"/>
      <c r="G154" s="123"/>
      <c r="H154" s="69" t="s">
        <v>49</v>
      </c>
      <c r="I154" s="35" t="s">
        <v>49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8" customHeight="1" x14ac:dyDescent="0.2">
      <c r="A155" s="14"/>
      <c r="B155" s="175" t="s">
        <v>89</v>
      </c>
      <c r="C155" s="122"/>
      <c r="D155" s="122"/>
      <c r="E155" s="122"/>
      <c r="F155" s="122"/>
      <c r="G155" s="122"/>
      <c r="H155" s="69" t="s">
        <v>49</v>
      </c>
      <c r="I155" s="35" t="s">
        <v>49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" customHeight="1" x14ac:dyDescent="0.2">
      <c r="A156" s="14"/>
      <c r="B156" s="141" t="s">
        <v>90</v>
      </c>
      <c r="C156" s="122"/>
      <c r="D156" s="122"/>
      <c r="E156" s="122"/>
      <c r="F156" s="122"/>
      <c r="G156" s="122"/>
      <c r="H156" s="69" t="s">
        <v>49</v>
      </c>
      <c r="I156" s="35" t="s">
        <v>49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x14ac:dyDescent="0.2">
      <c r="A157" s="14"/>
      <c r="B157" s="174" t="s">
        <v>174</v>
      </c>
      <c r="C157" s="122"/>
      <c r="D157" s="122"/>
      <c r="E157" s="122"/>
      <c r="F157" s="122"/>
      <c r="G157" s="123"/>
      <c r="H157" s="68">
        <v>0.02</v>
      </c>
      <c r="I157" s="22">
        <f>ROUND(($I$148/(1-$H$160))*H157,2)</f>
        <v>209.09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">
      <c r="A158" s="152" t="s">
        <v>30</v>
      </c>
      <c r="B158" s="122"/>
      <c r="C158" s="122"/>
      <c r="D158" s="122"/>
      <c r="E158" s="122"/>
      <c r="F158" s="122"/>
      <c r="G158" s="122"/>
      <c r="H158" s="123"/>
      <c r="I158" s="28">
        <f>SUM(I145+I147+I151+I152+I157)</f>
        <v>2421.2800000000002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6.75" customHeight="1" x14ac:dyDescent="0.2">
      <c r="A159" s="163"/>
      <c r="B159" s="122"/>
      <c r="C159" s="122"/>
      <c r="D159" s="122"/>
      <c r="E159" s="122"/>
      <c r="F159" s="122"/>
      <c r="G159" s="122"/>
      <c r="H159" s="122"/>
      <c r="I159" s="12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">
      <c r="A160" s="178" t="s">
        <v>91</v>
      </c>
      <c r="B160" s="122"/>
      <c r="C160" s="122"/>
      <c r="D160" s="122"/>
      <c r="E160" s="122"/>
      <c r="F160" s="122"/>
      <c r="G160" s="123"/>
      <c r="H160" s="70">
        <f t="shared" ref="H160:I160" si="4">SUM(H151:H157)</f>
        <v>0.1125</v>
      </c>
      <c r="I160" s="65">
        <f t="shared" si="4"/>
        <v>1176.1299999999999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79" t="s">
        <v>92</v>
      </c>
      <c r="B161" s="120"/>
      <c r="C161" s="176" t="s">
        <v>93</v>
      </c>
      <c r="D161" s="120"/>
      <c r="E161" s="120"/>
      <c r="F161" s="120"/>
      <c r="G161" s="120"/>
      <c r="H161" s="120"/>
      <c r="I161" s="12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" customHeight="1" x14ac:dyDescent="0.2">
      <c r="A162" s="180"/>
      <c r="B162" s="120"/>
      <c r="C162" s="176" t="s">
        <v>94</v>
      </c>
      <c r="D162" s="120"/>
      <c r="E162" s="120"/>
      <c r="F162" s="120"/>
      <c r="G162" s="120"/>
      <c r="H162" s="120"/>
      <c r="I162" s="12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 x14ac:dyDescent="0.2">
      <c r="A163" s="173"/>
      <c r="B163" s="131"/>
      <c r="C163" s="177" t="s">
        <v>95</v>
      </c>
      <c r="D163" s="131"/>
      <c r="E163" s="131"/>
      <c r="F163" s="131"/>
      <c r="G163" s="131"/>
      <c r="H163" s="131"/>
      <c r="I163" s="13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6.75" customHeight="1" x14ac:dyDescent="0.2">
      <c r="A164" s="181"/>
      <c r="B164" s="122"/>
      <c r="C164" s="122"/>
      <c r="D164" s="122"/>
      <c r="E164" s="122"/>
      <c r="F164" s="122"/>
      <c r="G164" s="122"/>
      <c r="H164" s="122"/>
      <c r="I164" s="12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5.5" customHeight="1" x14ac:dyDescent="0.2">
      <c r="A165" s="139" t="s">
        <v>96</v>
      </c>
      <c r="B165" s="122"/>
      <c r="C165" s="122"/>
      <c r="D165" s="122"/>
      <c r="E165" s="122"/>
      <c r="F165" s="122"/>
      <c r="G165" s="122"/>
      <c r="H165" s="122"/>
      <c r="I165" s="12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0.5" customHeight="1" x14ac:dyDescent="0.2">
      <c r="A166" s="163"/>
      <c r="B166" s="122"/>
      <c r="C166" s="122"/>
      <c r="D166" s="122"/>
      <c r="E166" s="122"/>
      <c r="F166" s="122"/>
      <c r="G166" s="122"/>
      <c r="H166" s="122"/>
      <c r="I166" s="12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x14ac:dyDescent="0.25">
      <c r="A167" s="199" t="s">
        <v>175</v>
      </c>
      <c r="B167" s="122"/>
      <c r="C167" s="122"/>
      <c r="D167" s="122"/>
      <c r="E167" s="122"/>
      <c r="F167" s="122"/>
      <c r="G167" s="122"/>
      <c r="H167" s="122"/>
      <c r="I167" s="123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</row>
    <row r="168" spans="1:29" ht="12" customHeight="1" x14ac:dyDescent="0.25">
      <c r="A168" s="197" t="s">
        <v>176</v>
      </c>
      <c r="B168" s="122"/>
      <c r="C168" s="122"/>
      <c r="D168" s="122"/>
      <c r="E168" s="122"/>
      <c r="F168" s="122"/>
      <c r="G168" s="122"/>
      <c r="H168" s="123"/>
      <c r="I168" s="83" t="s">
        <v>29</v>
      </c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</row>
    <row r="169" spans="1:29" ht="12" customHeight="1" x14ac:dyDescent="0.2">
      <c r="A169" s="84" t="s">
        <v>4</v>
      </c>
      <c r="B169" s="200" t="s">
        <v>177</v>
      </c>
      <c r="C169" s="122"/>
      <c r="D169" s="122"/>
      <c r="E169" s="122"/>
      <c r="F169" s="122"/>
      <c r="G169" s="122"/>
      <c r="H169" s="122"/>
      <c r="I169" s="82">
        <f>I43</f>
        <v>4185.75</v>
      </c>
      <c r="J169" s="71"/>
      <c r="K169" s="85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</row>
    <row r="170" spans="1:29" ht="12" customHeight="1" x14ac:dyDescent="0.2">
      <c r="A170" s="84" t="s">
        <v>6</v>
      </c>
      <c r="B170" s="200" t="s">
        <v>26</v>
      </c>
      <c r="C170" s="122"/>
      <c r="D170" s="122"/>
      <c r="E170" s="122"/>
      <c r="F170" s="122"/>
      <c r="G170" s="122"/>
      <c r="H170" s="122"/>
      <c r="I170" s="82">
        <f>I92</f>
        <v>2840.97</v>
      </c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</row>
    <row r="171" spans="1:29" ht="12" customHeight="1" x14ac:dyDescent="0.2">
      <c r="A171" s="84" t="s">
        <v>8</v>
      </c>
      <c r="B171" s="200" t="s">
        <v>98</v>
      </c>
      <c r="C171" s="122"/>
      <c r="D171" s="122"/>
      <c r="E171" s="122"/>
      <c r="F171" s="122"/>
      <c r="G171" s="122"/>
      <c r="H171" s="122"/>
      <c r="I171" s="82">
        <f>I101</f>
        <v>286.77999999999997</v>
      </c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</row>
    <row r="172" spans="1:29" ht="12" customHeight="1" x14ac:dyDescent="0.2">
      <c r="A172" s="84" t="s">
        <v>10</v>
      </c>
      <c r="B172" s="200" t="s">
        <v>99</v>
      </c>
      <c r="C172" s="122"/>
      <c r="D172" s="122"/>
      <c r="E172" s="122"/>
      <c r="F172" s="122"/>
      <c r="G172" s="122"/>
      <c r="H172" s="122"/>
      <c r="I172" s="82">
        <f>I130</f>
        <v>600.55000000000007</v>
      </c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</row>
    <row r="173" spans="1:29" ht="12" customHeight="1" x14ac:dyDescent="0.2">
      <c r="A173" s="84" t="s">
        <v>22</v>
      </c>
      <c r="B173" s="200" t="s">
        <v>178</v>
      </c>
      <c r="C173" s="122"/>
      <c r="D173" s="122"/>
      <c r="E173" s="122"/>
      <c r="F173" s="122"/>
      <c r="G173" s="122"/>
      <c r="H173" s="122"/>
      <c r="I173" s="82">
        <f>I138</f>
        <v>119.14822222222222</v>
      </c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</row>
    <row r="174" spans="1:29" ht="12" customHeight="1" x14ac:dyDescent="0.2">
      <c r="A174" s="212" t="s">
        <v>100</v>
      </c>
      <c r="B174" s="122"/>
      <c r="C174" s="122"/>
      <c r="D174" s="122"/>
      <c r="E174" s="122"/>
      <c r="F174" s="122"/>
      <c r="G174" s="122"/>
      <c r="H174" s="122"/>
      <c r="I174" s="86">
        <f>SUM(I169:I173)</f>
        <v>8033.1982222222214</v>
      </c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</row>
    <row r="175" spans="1:29" ht="12" customHeight="1" x14ac:dyDescent="0.2">
      <c r="A175" s="87" t="s">
        <v>23</v>
      </c>
      <c r="B175" s="200" t="s">
        <v>101</v>
      </c>
      <c r="C175" s="122"/>
      <c r="D175" s="122"/>
      <c r="E175" s="122"/>
      <c r="F175" s="122"/>
      <c r="G175" s="122"/>
      <c r="H175" s="122"/>
      <c r="I175" s="88">
        <f>I158</f>
        <v>2421.2800000000002</v>
      </c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</row>
    <row r="176" spans="1:29" ht="12" customHeight="1" x14ac:dyDescent="0.25">
      <c r="A176" s="213" t="s">
        <v>179</v>
      </c>
      <c r="B176" s="122"/>
      <c r="C176" s="122"/>
      <c r="D176" s="122"/>
      <c r="E176" s="122"/>
      <c r="F176" s="122"/>
      <c r="G176" s="122"/>
      <c r="H176" s="122"/>
      <c r="I176" s="86">
        <f>I174+I175</f>
        <v>10454.478222222222</v>
      </c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</row>
    <row r="177" spans="1:29" ht="12" customHeight="1" x14ac:dyDescent="0.2">
      <c r="A177" s="201"/>
      <c r="B177" s="122"/>
      <c r="C177" s="122"/>
      <c r="D177" s="122"/>
      <c r="E177" s="122"/>
      <c r="F177" s="122"/>
      <c r="G177" s="122"/>
      <c r="H177" s="122"/>
      <c r="I177" s="123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</row>
    <row r="178" spans="1:29" ht="12" customHeight="1" x14ac:dyDescent="0.2">
      <c r="A178" s="202"/>
      <c r="B178" s="122"/>
      <c r="C178" s="122"/>
      <c r="D178" s="122"/>
      <c r="E178" s="122"/>
      <c r="F178" s="122"/>
      <c r="G178" s="122"/>
      <c r="H178" s="122"/>
      <c r="I178" s="123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</row>
    <row r="179" spans="1:29" ht="12" customHeight="1" x14ac:dyDescent="0.2">
      <c r="A179" s="203" t="s">
        <v>180</v>
      </c>
      <c r="B179" s="122"/>
      <c r="C179" s="122"/>
      <c r="D179" s="122"/>
      <c r="E179" s="122"/>
      <c r="F179" s="122"/>
      <c r="G179" s="122"/>
      <c r="H179" s="122"/>
      <c r="I179" s="123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</row>
    <row r="180" spans="1:29" ht="12" customHeight="1" x14ac:dyDescent="0.2">
      <c r="A180" s="185" t="s">
        <v>106</v>
      </c>
      <c r="B180" s="122"/>
      <c r="C180" s="122"/>
      <c r="D180" s="122"/>
      <c r="E180" s="122"/>
      <c r="F180" s="122"/>
      <c r="G180" s="204" t="s">
        <v>107</v>
      </c>
      <c r="H180" s="122"/>
      <c r="I180" s="123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</row>
    <row r="181" spans="1:29" ht="12" customHeight="1" x14ac:dyDescent="0.2">
      <c r="A181" s="205" t="s">
        <v>181</v>
      </c>
      <c r="B181" s="122"/>
      <c r="C181" s="122"/>
      <c r="D181" s="122"/>
      <c r="E181" s="122"/>
      <c r="F181" s="123"/>
      <c r="G181" s="89"/>
      <c r="H181" s="89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</row>
    <row r="182" spans="1:29" ht="48" x14ac:dyDescent="0.2">
      <c r="A182" s="205" t="s">
        <v>182</v>
      </c>
      <c r="B182" s="122"/>
      <c r="C182" s="122"/>
      <c r="D182" s="122"/>
      <c r="E182" s="122"/>
      <c r="F182" s="123"/>
      <c r="G182" s="90" t="s">
        <v>183</v>
      </c>
      <c r="H182" s="77" t="s">
        <v>184</v>
      </c>
      <c r="I182" s="91" t="s">
        <v>185</v>
      </c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</row>
    <row r="183" spans="1:29" ht="12" customHeight="1" x14ac:dyDescent="0.2">
      <c r="A183" s="206" t="s">
        <v>186</v>
      </c>
      <c r="B183" s="122"/>
      <c r="C183" s="122"/>
      <c r="D183" s="122"/>
      <c r="E183" s="122"/>
      <c r="F183" s="123"/>
      <c r="G183" s="92">
        <v>2</v>
      </c>
      <c r="H183" s="93">
        <v>92.54</v>
      </c>
      <c r="I183" s="94">
        <f t="shared" ref="I183:I187" si="5">H183*G183</f>
        <v>185.08</v>
      </c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</row>
    <row r="184" spans="1:29" ht="12" customHeight="1" x14ac:dyDescent="0.2">
      <c r="A184" s="206" t="s">
        <v>187</v>
      </c>
      <c r="B184" s="122"/>
      <c r="C184" s="122"/>
      <c r="D184" s="122"/>
      <c r="E184" s="122"/>
      <c r="F184" s="123"/>
      <c r="G184" s="95">
        <v>1</v>
      </c>
      <c r="H184" s="93">
        <v>158.96</v>
      </c>
      <c r="I184" s="94">
        <f t="shared" si="5"/>
        <v>158.96</v>
      </c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</row>
    <row r="185" spans="1:29" ht="12" customHeight="1" x14ac:dyDescent="0.2">
      <c r="A185" s="207" t="s">
        <v>188</v>
      </c>
      <c r="B185" s="122"/>
      <c r="C185" s="122"/>
      <c r="D185" s="122"/>
      <c r="E185" s="122"/>
      <c r="F185" s="123"/>
      <c r="G185" s="92">
        <v>2</v>
      </c>
      <c r="H185" s="93">
        <v>62.8</v>
      </c>
      <c r="I185" s="94">
        <f t="shared" si="5"/>
        <v>125.6</v>
      </c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</row>
    <row r="186" spans="1:29" ht="12" customHeight="1" x14ac:dyDescent="0.2">
      <c r="A186" s="206" t="s">
        <v>189</v>
      </c>
      <c r="B186" s="122"/>
      <c r="C186" s="122"/>
      <c r="D186" s="122"/>
      <c r="E186" s="122"/>
      <c r="F186" s="123"/>
      <c r="G186" s="92">
        <v>1</v>
      </c>
      <c r="H186" s="93">
        <v>168.77</v>
      </c>
      <c r="I186" s="94">
        <f t="shared" si="5"/>
        <v>168.77</v>
      </c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</row>
    <row r="187" spans="1:29" ht="12" customHeight="1" x14ac:dyDescent="0.2">
      <c r="A187" s="206" t="s">
        <v>190</v>
      </c>
      <c r="B187" s="122"/>
      <c r="C187" s="122"/>
      <c r="D187" s="122"/>
      <c r="E187" s="122"/>
      <c r="F187" s="123"/>
      <c r="G187" s="92">
        <v>1</v>
      </c>
      <c r="H187" s="93">
        <v>9.01</v>
      </c>
      <c r="I187" s="94">
        <f t="shared" si="5"/>
        <v>9.01</v>
      </c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</row>
    <row r="188" spans="1:29" ht="12" customHeight="1" x14ac:dyDescent="0.2">
      <c r="A188" s="205" t="s">
        <v>191</v>
      </c>
      <c r="B188" s="122"/>
      <c r="C188" s="122"/>
      <c r="D188" s="122"/>
      <c r="E188" s="122"/>
      <c r="F188" s="123"/>
      <c r="G188" s="89"/>
      <c r="H188" s="96"/>
      <c r="I188" s="97">
        <f>SUM(I183:I187)</f>
        <v>647.41999999999996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</row>
    <row r="189" spans="1:29" ht="12" customHeight="1" x14ac:dyDescent="0.2">
      <c r="A189" s="208" t="s">
        <v>192</v>
      </c>
      <c r="B189" s="122"/>
      <c r="C189" s="122"/>
      <c r="D189" s="122"/>
      <c r="E189" s="122"/>
      <c r="F189" s="123"/>
      <c r="G189" s="98"/>
      <c r="H189" s="96"/>
      <c r="I189" s="97">
        <f>I188/12</f>
        <v>53.951666666666661</v>
      </c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</row>
    <row r="190" spans="1:29" ht="12" customHeight="1" x14ac:dyDescent="0.2">
      <c r="A190" s="208" t="s">
        <v>193</v>
      </c>
      <c r="B190" s="122"/>
      <c r="C190" s="122"/>
      <c r="D190" s="122"/>
      <c r="E190" s="122"/>
      <c r="F190" s="123"/>
      <c r="G190" s="89"/>
      <c r="H190" s="96"/>
      <c r="I190" s="99">
        <f>I189*2</f>
        <v>107.90333333333332</v>
      </c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</row>
    <row r="191" spans="1:29" ht="12" customHeight="1" x14ac:dyDescent="0.2">
      <c r="A191" s="205" t="s">
        <v>194</v>
      </c>
      <c r="B191" s="122"/>
      <c r="C191" s="122"/>
      <c r="D191" s="122"/>
      <c r="E191" s="122"/>
      <c r="F191" s="123"/>
      <c r="G191" s="89"/>
      <c r="H191" s="96"/>
      <c r="I191" s="100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</row>
    <row r="192" spans="1:29" ht="36" x14ac:dyDescent="0.2">
      <c r="A192" s="205" t="s">
        <v>182</v>
      </c>
      <c r="B192" s="122"/>
      <c r="C192" s="122"/>
      <c r="D192" s="122"/>
      <c r="E192" s="122"/>
      <c r="F192" s="123"/>
      <c r="G192" s="90" t="s">
        <v>195</v>
      </c>
      <c r="H192" s="77" t="s">
        <v>184</v>
      </c>
      <c r="I192" s="91" t="s">
        <v>185</v>
      </c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</row>
    <row r="193" spans="1:29" ht="12" customHeight="1" x14ac:dyDescent="0.2">
      <c r="A193" s="206" t="s">
        <v>196</v>
      </c>
      <c r="B193" s="122"/>
      <c r="C193" s="122"/>
      <c r="D193" s="122"/>
      <c r="E193" s="122"/>
      <c r="F193" s="123"/>
      <c r="G193" s="92">
        <v>1</v>
      </c>
      <c r="H193" s="93">
        <v>1745.23</v>
      </c>
      <c r="I193" s="94">
        <f>(H193/60)/3</f>
        <v>9.6957222222222228</v>
      </c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</row>
    <row r="194" spans="1:29" ht="12" customHeight="1" x14ac:dyDescent="0.2">
      <c r="A194" s="208" t="s">
        <v>193</v>
      </c>
      <c r="B194" s="122"/>
      <c r="C194" s="122"/>
      <c r="D194" s="122"/>
      <c r="E194" s="122"/>
      <c r="F194" s="123"/>
      <c r="G194" s="89"/>
      <c r="H194" s="96"/>
      <c r="I194" s="101">
        <f>SUM(I193)</f>
        <v>9.6957222222222228</v>
      </c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</row>
    <row r="195" spans="1:29" ht="12" customHeight="1" x14ac:dyDescent="0.2">
      <c r="A195" s="208"/>
      <c r="B195" s="122"/>
      <c r="C195" s="122"/>
      <c r="D195" s="122"/>
      <c r="E195" s="122"/>
      <c r="F195" s="123"/>
      <c r="G195" s="102"/>
      <c r="H195" s="96"/>
      <c r="I195" s="10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</row>
    <row r="196" spans="1:29" ht="12" customHeight="1" x14ac:dyDescent="0.2">
      <c r="A196" s="103"/>
      <c r="B196" s="104"/>
      <c r="C196" s="104"/>
      <c r="D196" s="105"/>
      <c r="E196" s="105"/>
      <c r="F196" s="106" t="s">
        <v>197</v>
      </c>
      <c r="G196" s="102"/>
      <c r="H196" s="96"/>
      <c r="I196" s="107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</row>
    <row r="197" spans="1:29" ht="12" customHeight="1" x14ac:dyDescent="0.2">
      <c r="A197" s="205" t="s">
        <v>198</v>
      </c>
      <c r="B197" s="122"/>
      <c r="C197" s="122"/>
      <c r="D197" s="122"/>
      <c r="E197" s="122"/>
      <c r="F197" s="123"/>
      <c r="G197" s="102"/>
      <c r="H197" s="96"/>
      <c r="I197" s="107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</row>
    <row r="198" spans="1:29" ht="36" x14ac:dyDescent="0.2">
      <c r="A198" s="205" t="s">
        <v>182</v>
      </c>
      <c r="B198" s="122"/>
      <c r="C198" s="122"/>
      <c r="D198" s="122"/>
      <c r="E198" s="122"/>
      <c r="F198" s="123"/>
      <c r="G198" s="108" t="s">
        <v>199</v>
      </c>
      <c r="H198" s="77" t="s">
        <v>184</v>
      </c>
      <c r="I198" s="91" t="s">
        <v>185</v>
      </c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</row>
    <row r="199" spans="1:29" ht="12" customHeight="1" x14ac:dyDescent="0.2">
      <c r="A199" s="209" t="s">
        <v>200</v>
      </c>
      <c r="B199" s="122"/>
      <c r="C199" s="122"/>
      <c r="D199" s="122"/>
      <c r="E199" s="122"/>
      <c r="F199" s="123"/>
      <c r="G199" s="95">
        <v>1</v>
      </c>
      <c r="H199" s="93">
        <v>55.77</v>
      </c>
      <c r="I199" s="94">
        <f>SUM((H199/12)/3)</f>
        <v>1.5491666666666666</v>
      </c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</row>
    <row r="200" spans="1:29" ht="12" customHeight="1" x14ac:dyDescent="0.2">
      <c r="A200" s="208" t="s">
        <v>193</v>
      </c>
      <c r="B200" s="122"/>
      <c r="C200" s="122"/>
      <c r="D200" s="122"/>
      <c r="E200" s="122"/>
      <c r="F200" s="123"/>
      <c r="G200" s="89"/>
      <c r="H200" s="96"/>
      <c r="I200" s="101">
        <f>SUM(I199)</f>
        <v>1.5491666666666666</v>
      </c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</row>
    <row r="201" spans="1:29" ht="12" customHeight="1" x14ac:dyDescent="0.2">
      <c r="A201" s="71"/>
      <c r="B201" s="71"/>
      <c r="C201" s="71"/>
      <c r="D201" s="71"/>
      <c r="E201" s="71"/>
      <c r="F201" s="71"/>
      <c r="G201" s="71"/>
      <c r="H201" s="71"/>
      <c r="I201" s="109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</row>
    <row r="202" spans="1:29" ht="12" customHeight="1" x14ac:dyDescent="0.2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" customHeight="1" x14ac:dyDescent="0.2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" customHeight="1" x14ac:dyDescent="0.2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" customHeight="1" x14ac:dyDescent="0.2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" customHeight="1" x14ac:dyDescent="0.2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" customHeight="1" x14ac:dyDescent="0.2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" customHeight="1" x14ac:dyDescent="0.2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" customHeight="1" x14ac:dyDescent="0.2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" customHeight="1" x14ac:dyDescent="0.2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" customHeight="1" x14ac:dyDescent="0.2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" customHeight="1" x14ac:dyDescent="0.2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" customHeight="1" x14ac:dyDescent="0.2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" customHeight="1" x14ac:dyDescent="0.2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" customHeight="1" x14ac:dyDescent="0.2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" customHeight="1" x14ac:dyDescent="0.2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" customHeight="1" x14ac:dyDescent="0.2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" customHeight="1" x14ac:dyDescent="0.2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" customHeight="1" x14ac:dyDescent="0.2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" customHeight="1" x14ac:dyDescent="0.2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" customHeight="1" x14ac:dyDescent="0.2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" customHeight="1" x14ac:dyDescent="0.2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" customHeight="1" x14ac:dyDescent="0.2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" customHeight="1" x14ac:dyDescent="0.2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" customHeight="1" x14ac:dyDescent="0.2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" customHeight="1" x14ac:dyDescent="0.2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" customHeight="1" x14ac:dyDescent="0.2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" customHeight="1" x14ac:dyDescent="0.2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" customHeight="1" x14ac:dyDescent="0.2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" customHeight="1" x14ac:dyDescent="0.2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" customHeight="1" x14ac:dyDescent="0.2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" customHeight="1" x14ac:dyDescent="0.2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" customHeight="1" x14ac:dyDescent="0.2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" customHeight="1" x14ac:dyDescent="0.2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" customHeight="1" x14ac:dyDescent="0.2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" customHeight="1" x14ac:dyDescent="0.2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" customHeight="1" x14ac:dyDescent="0.2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" customHeight="1" x14ac:dyDescent="0.2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" customHeight="1" x14ac:dyDescent="0.2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" customHeight="1" x14ac:dyDescent="0.2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" customHeight="1" x14ac:dyDescent="0.2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" customHeight="1" x14ac:dyDescent="0.2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" customHeight="1" x14ac:dyDescent="0.2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" customHeight="1" x14ac:dyDescent="0.2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" customHeight="1" x14ac:dyDescent="0.2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" customHeight="1" x14ac:dyDescent="0.2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" customHeight="1" x14ac:dyDescent="0.2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" customHeight="1" x14ac:dyDescent="0.2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" customHeight="1" x14ac:dyDescent="0.2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" customHeight="1" x14ac:dyDescent="0.2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" customHeight="1" x14ac:dyDescent="0.2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" customHeight="1" x14ac:dyDescent="0.2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" customHeight="1" x14ac:dyDescent="0.2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" customHeight="1" x14ac:dyDescent="0.2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" customHeight="1" x14ac:dyDescent="0.2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" customHeight="1" x14ac:dyDescent="0.2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" customHeight="1" x14ac:dyDescent="0.2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" customHeight="1" x14ac:dyDescent="0.2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" customHeight="1" x14ac:dyDescent="0.2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" customHeight="1" x14ac:dyDescent="0.2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" customHeight="1" x14ac:dyDescent="0.2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" customHeight="1" x14ac:dyDescent="0.2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" customHeight="1" x14ac:dyDescent="0.2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" customHeight="1" x14ac:dyDescent="0.2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" customHeight="1" x14ac:dyDescent="0.2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" customHeight="1" x14ac:dyDescent="0.2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" customHeight="1" x14ac:dyDescent="0.2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" customHeight="1" x14ac:dyDescent="0.2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" customHeight="1" x14ac:dyDescent="0.2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" customHeight="1" x14ac:dyDescent="0.2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" customHeight="1" x14ac:dyDescent="0.2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" customHeight="1" x14ac:dyDescent="0.2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" customHeight="1" x14ac:dyDescent="0.2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" customHeight="1" x14ac:dyDescent="0.2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" customHeight="1" x14ac:dyDescent="0.2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" customHeight="1" x14ac:dyDescent="0.2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" customHeight="1" x14ac:dyDescent="0.2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" customHeight="1" x14ac:dyDescent="0.2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" customHeight="1" x14ac:dyDescent="0.2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" customHeight="1" x14ac:dyDescent="0.2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" customHeight="1" x14ac:dyDescent="0.2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" customHeight="1" x14ac:dyDescent="0.2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" customHeight="1" x14ac:dyDescent="0.2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" customHeight="1" x14ac:dyDescent="0.2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" customHeight="1" x14ac:dyDescent="0.2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" customHeight="1" x14ac:dyDescent="0.2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" customHeight="1" x14ac:dyDescent="0.2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" customHeight="1" x14ac:dyDescent="0.2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" customHeight="1" x14ac:dyDescent="0.2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" customHeight="1" x14ac:dyDescent="0.2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" customHeight="1" x14ac:dyDescent="0.2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" customHeight="1" x14ac:dyDescent="0.2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" customHeight="1" x14ac:dyDescent="0.2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" customHeight="1" x14ac:dyDescent="0.2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" customHeight="1" x14ac:dyDescent="0.2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" customHeight="1" x14ac:dyDescent="0.2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" customHeight="1" x14ac:dyDescent="0.2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" customHeight="1" x14ac:dyDescent="0.2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" customHeight="1" x14ac:dyDescent="0.2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" customHeight="1" x14ac:dyDescent="0.2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" customHeight="1" x14ac:dyDescent="0.2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" customHeight="1" x14ac:dyDescent="0.2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" customHeight="1" x14ac:dyDescent="0.2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" customHeight="1" x14ac:dyDescent="0.2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" customHeight="1" x14ac:dyDescent="0.2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" customHeight="1" x14ac:dyDescent="0.2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" customHeight="1" x14ac:dyDescent="0.2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" customHeight="1" x14ac:dyDescent="0.2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" customHeight="1" x14ac:dyDescent="0.2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" customHeight="1" x14ac:dyDescent="0.2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" customHeight="1" x14ac:dyDescent="0.2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" customHeight="1" x14ac:dyDescent="0.2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" customHeight="1" x14ac:dyDescent="0.2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" customHeight="1" x14ac:dyDescent="0.2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" customHeight="1" x14ac:dyDescent="0.2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" customHeight="1" x14ac:dyDescent="0.2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" customHeight="1" x14ac:dyDescent="0.2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" customHeight="1" x14ac:dyDescent="0.2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" customHeight="1" x14ac:dyDescent="0.2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" customHeight="1" x14ac:dyDescent="0.2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" customHeight="1" x14ac:dyDescent="0.2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" customHeight="1" x14ac:dyDescent="0.2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" customHeight="1" x14ac:dyDescent="0.2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" customHeight="1" x14ac:dyDescent="0.2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" customHeight="1" x14ac:dyDescent="0.2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" customHeight="1" x14ac:dyDescent="0.2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" customHeight="1" x14ac:dyDescent="0.2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" customHeight="1" x14ac:dyDescent="0.2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" customHeight="1" x14ac:dyDescent="0.2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" customHeight="1" x14ac:dyDescent="0.2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" customHeight="1" x14ac:dyDescent="0.2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" customHeight="1" x14ac:dyDescent="0.2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" customHeight="1" x14ac:dyDescent="0.2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" customHeight="1" x14ac:dyDescent="0.2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" customHeight="1" x14ac:dyDescent="0.2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" customHeight="1" x14ac:dyDescent="0.2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" customHeight="1" x14ac:dyDescent="0.2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" customHeight="1" x14ac:dyDescent="0.2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" customHeight="1" x14ac:dyDescent="0.2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" customHeight="1" x14ac:dyDescent="0.2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" customHeight="1" x14ac:dyDescent="0.2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" customHeight="1" x14ac:dyDescent="0.2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" customHeight="1" x14ac:dyDescent="0.2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" customHeight="1" x14ac:dyDescent="0.2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" customHeight="1" x14ac:dyDescent="0.2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" customHeight="1" x14ac:dyDescent="0.2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" customHeight="1" x14ac:dyDescent="0.2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" customHeight="1" x14ac:dyDescent="0.2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" customHeight="1" x14ac:dyDescent="0.2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" customHeight="1" x14ac:dyDescent="0.2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" customHeight="1" x14ac:dyDescent="0.2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" customHeight="1" x14ac:dyDescent="0.2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" customHeight="1" x14ac:dyDescent="0.2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" customHeight="1" x14ac:dyDescent="0.2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" customHeight="1" x14ac:dyDescent="0.2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" customHeight="1" x14ac:dyDescent="0.2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" customHeight="1" x14ac:dyDescent="0.2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" customHeight="1" x14ac:dyDescent="0.2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" customHeight="1" x14ac:dyDescent="0.2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" customHeight="1" x14ac:dyDescent="0.2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" customHeight="1" x14ac:dyDescent="0.2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" customHeight="1" x14ac:dyDescent="0.2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" customHeight="1" x14ac:dyDescent="0.2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" customHeight="1" x14ac:dyDescent="0.2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" customHeight="1" x14ac:dyDescent="0.2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" customHeight="1" x14ac:dyDescent="0.2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" customHeight="1" x14ac:dyDescent="0.2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" customHeight="1" x14ac:dyDescent="0.2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" customHeight="1" x14ac:dyDescent="0.2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" customHeight="1" x14ac:dyDescent="0.2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" customHeight="1" x14ac:dyDescent="0.2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" customHeight="1" x14ac:dyDescent="0.2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" customHeight="1" x14ac:dyDescent="0.2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" customHeight="1" x14ac:dyDescent="0.2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" customHeight="1" x14ac:dyDescent="0.2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" customHeight="1" x14ac:dyDescent="0.2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" customHeight="1" x14ac:dyDescent="0.2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" customHeight="1" x14ac:dyDescent="0.2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" customHeight="1" x14ac:dyDescent="0.2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" customHeight="1" x14ac:dyDescent="0.2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" customHeight="1" x14ac:dyDescent="0.2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" customHeight="1" x14ac:dyDescent="0.2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" customHeight="1" x14ac:dyDescent="0.2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" customHeight="1" x14ac:dyDescent="0.2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" customHeight="1" x14ac:dyDescent="0.2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" customHeight="1" x14ac:dyDescent="0.2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" customHeight="1" x14ac:dyDescent="0.2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" customHeight="1" x14ac:dyDescent="0.2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" customHeight="1" x14ac:dyDescent="0.2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" customHeight="1" x14ac:dyDescent="0.2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" customHeight="1" x14ac:dyDescent="0.2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" customHeight="1" x14ac:dyDescent="0.2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" customHeight="1" x14ac:dyDescent="0.2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" customHeight="1" x14ac:dyDescent="0.2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" customHeight="1" x14ac:dyDescent="0.2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" customHeight="1" x14ac:dyDescent="0.2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" customHeight="1" x14ac:dyDescent="0.2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" customHeight="1" x14ac:dyDescent="0.2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" customHeight="1" x14ac:dyDescent="0.2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" customHeight="1" x14ac:dyDescent="0.2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" customHeight="1" x14ac:dyDescent="0.2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" customHeight="1" x14ac:dyDescent="0.2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" customHeight="1" x14ac:dyDescent="0.2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" customHeight="1" x14ac:dyDescent="0.2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" customHeight="1" x14ac:dyDescent="0.2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" customHeight="1" x14ac:dyDescent="0.2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" customHeight="1" x14ac:dyDescent="0.2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" customHeight="1" x14ac:dyDescent="0.2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" customHeight="1" x14ac:dyDescent="0.2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" customHeight="1" x14ac:dyDescent="0.2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" customHeight="1" x14ac:dyDescent="0.2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" customHeight="1" x14ac:dyDescent="0.2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" customHeight="1" x14ac:dyDescent="0.2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" customHeight="1" x14ac:dyDescent="0.2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" customHeight="1" x14ac:dyDescent="0.2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" customHeight="1" x14ac:dyDescent="0.2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" customHeight="1" x14ac:dyDescent="0.2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" customHeight="1" x14ac:dyDescent="0.2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" customHeight="1" x14ac:dyDescent="0.2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" customHeight="1" x14ac:dyDescent="0.2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" customHeight="1" x14ac:dyDescent="0.2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" customHeight="1" x14ac:dyDescent="0.2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" customHeight="1" x14ac:dyDescent="0.2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" customHeight="1" x14ac:dyDescent="0.2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" customHeight="1" x14ac:dyDescent="0.2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" customHeight="1" x14ac:dyDescent="0.2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" customHeight="1" x14ac:dyDescent="0.2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" customHeight="1" x14ac:dyDescent="0.2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" customHeight="1" x14ac:dyDescent="0.2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" customHeight="1" x14ac:dyDescent="0.2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" customHeight="1" x14ac:dyDescent="0.2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" customHeight="1" x14ac:dyDescent="0.2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" customHeight="1" x14ac:dyDescent="0.2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" customHeight="1" x14ac:dyDescent="0.2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" customHeight="1" x14ac:dyDescent="0.2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" customHeight="1" x14ac:dyDescent="0.2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" customHeight="1" x14ac:dyDescent="0.2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" customHeight="1" x14ac:dyDescent="0.2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" customHeight="1" x14ac:dyDescent="0.2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" customHeight="1" x14ac:dyDescent="0.2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" customHeight="1" x14ac:dyDescent="0.2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" customHeight="1" x14ac:dyDescent="0.2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" customHeight="1" x14ac:dyDescent="0.2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" customHeight="1" x14ac:dyDescent="0.2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" customHeight="1" x14ac:dyDescent="0.2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" customHeight="1" x14ac:dyDescent="0.2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" customHeight="1" x14ac:dyDescent="0.2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" customHeight="1" x14ac:dyDescent="0.2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" customHeight="1" x14ac:dyDescent="0.2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" customHeight="1" x14ac:dyDescent="0.2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" customHeight="1" x14ac:dyDescent="0.2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" customHeight="1" x14ac:dyDescent="0.2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" customHeight="1" x14ac:dyDescent="0.2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" customHeight="1" x14ac:dyDescent="0.2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" customHeight="1" x14ac:dyDescent="0.2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" customHeight="1" x14ac:dyDescent="0.2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" customHeight="1" x14ac:dyDescent="0.2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" customHeight="1" x14ac:dyDescent="0.2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" customHeight="1" x14ac:dyDescent="0.2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" customHeight="1" x14ac:dyDescent="0.2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" customHeight="1" x14ac:dyDescent="0.2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" customHeight="1" x14ac:dyDescent="0.2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" customHeight="1" x14ac:dyDescent="0.2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" customHeight="1" x14ac:dyDescent="0.2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" customHeight="1" x14ac:dyDescent="0.2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" customHeight="1" x14ac:dyDescent="0.2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" customHeight="1" x14ac:dyDescent="0.2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" customHeight="1" x14ac:dyDescent="0.2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" customHeight="1" x14ac:dyDescent="0.2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" customHeight="1" x14ac:dyDescent="0.2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" customHeight="1" x14ac:dyDescent="0.2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" customHeight="1" x14ac:dyDescent="0.2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" customHeight="1" x14ac:dyDescent="0.2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" customHeight="1" x14ac:dyDescent="0.2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" customHeight="1" x14ac:dyDescent="0.2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" customHeight="1" x14ac:dyDescent="0.2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" customHeight="1" x14ac:dyDescent="0.2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" customHeight="1" x14ac:dyDescent="0.2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" customHeight="1" x14ac:dyDescent="0.2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" customHeight="1" x14ac:dyDescent="0.2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" customHeight="1" x14ac:dyDescent="0.2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" customHeight="1" x14ac:dyDescent="0.2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" customHeight="1" x14ac:dyDescent="0.2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" customHeight="1" x14ac:dyDescent="0.2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" customHeight="1" x14ac:dyDescent="0.2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" customHeight="1" x14ac:dyDescent="0.2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" customHeight="1" x14ac:dyDescent="0.2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" customHeight="1" x14ac:dyDescent="0.2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" customHeight="1" x14ac:dyDescent="0.2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" customHeight="1" x14ac:dyDescent="0.2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" customHeight="1" x14ac:dyDescent="0.2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" customHeight="1" x14ac:dyDescent="0.2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" customHeight="1" x14ac:dyDescent="0.2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" customHeight="1" x14ac:dyDescent="0.2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" customHeight="1" x14ac:dyDescent="0.2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" customHeight="1" x14ac:dyDescent="0.2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" customHeight="1" x14ac:dyDescent="0.2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" customHeight="1" x14ac:dyDescent="0.2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" customHeight="1" x14ac:dyDescent="0.2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" customHeight="1" x14ac:dyDescent="0.2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" customHeight="1" x14ac:dyDescent="0.2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" customHeight="1" x14ac:dyDescent="0.2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" customHeight="1" x14ac:dyDescent="0.2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" customHeight="1" x14ac:dyDescent="0.2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" customHeight="1" x14ac:dyDescent="0.2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" customHeight="1" x14ac:dyDescent="0.2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" customHeight="1" x14ac:dyDescent="0.2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" customHeight="1" x14ac:dyDescent="0.2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" customHeight="1" x14ac:dyDescent="0.2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" customHeight="1" x14ac:dyDescent="0.2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" customHeight="1" x14ac:dyDescent="0.2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" customHeight="1" x14ac:dyDescent="0.2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" customHeight="1" x14ac:dyDescent="0.2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" customHeight="1" x14ac:dyDescent="0.2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" customHeight="1" x14ac:dyDescent="0.2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" customHeight="1" x14ac:dyDescent="0.2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" customHeight="1" x14ac:dyDescent="0.2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" customHeight="1" x14ac:dyDescent="0.2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" customHeight="1" x14ac:dyDescent="0.2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" customHeight="1" x14ac:dyDescent="0.2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" customHeight="1" x14ac:dyDescent="0.2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" customHeight="1" x14ac:dyDescent="0.2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" customHeight="1" x14ac:dyDescent="0.2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" customHeight="1" x14ac:dyDescent="0.2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" customHeight="1" x14ac:dyDescent="0.2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" customHeight="1" x14ac:dyDescent="0.2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" customHeight="1" x14ac:dyDescent="0.2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" customHeight="1" x14ac:dyDescent="0.2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" customHeight="1" x14ac:dyDescent="0.2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" customHeight="1" x14ac:dyDescent="0.2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" customHeight="1" x14ac:dyDescent="0.2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" customHeight="1" x14ac:dyDescent="0.2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" customHeight="1" x14ac:dyDescent="0.2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" customHeight="1" x14ac:dyDescent="0.2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" customHeight="1" x14ac:dyDescent="0.2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" customHeight="1" x14ac:dyDescent="0.2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" customHeight="1" x14ac:dyDescent="0.2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" customHeight="1" x14ac:dyDescent="0.2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" customHeight="1" x14ac:dyDescent="0.2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" customHeight="1" x14ac:dyDescent="0.2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" customHeight="1" x14ac:dyDescent="0.2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" customHeight="1" x14ac:dyDescent="0.2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" customHeight="1" x14ac:dyDescent="0.2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" customHeight="1" x14ac:dyDescent="0.2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" customHeight="1" x14ac:dyDescent="0.2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" customHeight="1" x14ac:dyDescent="0.2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" customHeight="1" x14ac:dyDescent="0.2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" customHeight="1" x14ac:dyDescent="0.2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" customHeight="1" x14ac:dyDescent="0.2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" customHeight="1" x14ac:dyDescent="0.2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" customHeight="1" x14ac:dyDescent="0.2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" customHeight="1" x14ac:dyDescent="0.2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" customHeight="1" x14ac:dyDescent="0.2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" customHeight="1" x14ac:dyDescent="0.2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" customHeight="1" x14ac:dyDescent="0.2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" customHeight="1" x14ac:dyDescent="0.2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" customHeight="1" x14ac:dyDescent="0.2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" customHeight="1" x14ac:dyDescent="0.2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" customHeight="1" x14ac:dyDescent="0.2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" customHeight="1" x14ac:dyDescent="0.2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" customHeight="1" x14ac:dyDescent="0.2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" customHeight="1" x14ac:dyDescent="0.2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" customHeight="1" x14ac:dyDescent="0.2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" customHeight="1" x14ac:dyDescent="0.2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" customHeight="1" x14ac:dyDescent="0.2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" customHeight="1" x14ac:dyDescent="0.2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" customHeight="1" x14ac:dyDescent="0.2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" customHeight="1" x14ac:dyDescent="0.2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" customHeight="1" x14ac:dyDescent="0.2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" customHeight="1" x14ac:dyDescent="0.2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" customHeight="1" x14ac:dyDescent="0.2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" customHeight="1" x14ac:dyDescent="0.2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" customHeight="1" x14ac:dyDescent="0.2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" customHeight="1" x14ac:dyDescent="0.2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" customHeight="1" x14ac:dyDescent="0.2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" customHeight="1" x14ac:dyDescent="0.2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" customHeight="1" x14ac:dyDescent="0.2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" customHeight="1" x14ac:dyDescent="0.2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" customHeight="1" x14ac:dyDescent="0.2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" customHeight="1" x14ac:dyDescent="0.2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" customHeight="1" x14ac:dyDescent="0.2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" customHeight="1" x14ac:dyDescent="0.2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" customHeight="1" x14ac:dyDescent="0.2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" customHeight="1" x14ac:dyDescent="0.2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" customHeight="1" x14ac:dyDescent="0.2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" customHeight="1" x14ac:dyDescent="0.2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" customHeight="1" x14ac:dyDescent="0.2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" customHeight="1" x14ac:dyDescent="0.2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" customHeight="1" x14ac:dyDescent="0.2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" customHeight="1" x14ac:dyDescent="0.2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" customHeight="1" x14ac:dyDescent="0.2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" customHeight="1" x14ac:dyDescent="0.2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" customHeight="1" x14ac:dyDescent="0.2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" customHeight="1" x14ac:dyDescent="0.2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" customHeight="1" x14ac:dyDescent="0.2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" customHeight="1" x14ac:dyDescent="0.2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" customHeight="1" x14ac:dyDescent="0.2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" customHeight="1" x14ac:dyDescent="0.2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" customHeight="1" x14ac:dyDescent="0.2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" customHeight="1" x14ac:dyDescent="0.2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" customHeight="1" x14ac:dyDescent="0.2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" customHeight="1" x14ac:dyDescent="0.2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" customHeight="1" x14ac:dyDescent="0.2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" customHeight="1" x14ac:dyDescent="0.2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" customHeight="1" x14ac:dyDescent="0.2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" customHeight="1" x14ac:dyDescent="0.2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" customHeight="1" x14ac:dyDescent="0.2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" customHeight="1" x14ac:dyDescent="0.2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" customHeight="1" x14ac:dyDescent="0.2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" customHeight="1" x14ac:dyDescent="0.2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" customHeight="1" x14ac:dyDescent="0.2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" customHeight="1" x14ac:dyDescent="0.2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" customHeight="1" x14ac:dyDescent="0.2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" customHeight="1" x14ac:dyDescent="0.2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" customHeight="1" x14ac:dyDescent="0.2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" customHeight="1" x14ac:dyDescent="0.2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" customHeight="1" x14ac:dyDescent="0.2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" customHeight="1" x14ac:dyDescent="0.2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" customHeight="1" x14ac:dyDescent="0.2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" customHeight="1" x14ac:dyDescent="0.2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" customHeight="1" x14ac:dyDescent="0.2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" customHeight="1" x14ac:dyDescent="0.2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" customHeight="1" x14ac:dyDescent="0.2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" customHeight="1" x14ac:dyDescent="0.2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" customHeight="1" x14ac:dyDescent="0.2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" customHeight="1" x14ac:dyDescent="0.2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" customHeight="1" x14ac:dyDescent="0.2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" customHeight="1" x14ac:dyDescent="0.2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" customHeight="1" x14ac:dyDescent="0.2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" customHeight="1" x14ac:dyDescent="0.2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" customHeight="1" x14ac:dyDescent="0.2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" customHeight="1" x14ac:dyDescent="0.2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" customHeight="1" x14ac:dyDescent="0.2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" customHeight="1" x14ac:dyDescent="0.2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" customHeight="1" x14ac:dyDescent="0.2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" customHeight="1" x14ac:dyDescent="0.2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" customHeight="1" x14ac:dyDescent="0.2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" customHeight="1" x14ac:dyDescent="0.2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" customHeight="1" x14ac:dyDescent="0.2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" customHeight="1" x14ac:dyDescent="0.2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" customHeight="1" x14ac:dyDescent="0.2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" customHeight="1" x14ac:dyDescent="0.2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" customHeight="1" x14ac:dyDescent="0.2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" customHeight="1" x14ac:dyDescent="0.2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" customHeight="1" x14ac:dyDescent="0.2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" customHeight="1" x14ac:dyDescent="0.2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" customHeight="1" x14ac:dyDescent="0.2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" customHeight="1" x14ac:dyDescent="0.2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" customHeight="1" x14ac:dyDescent="0.2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" customHeight="1" x14ac:dyDescent="0.2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" customHeight="1" x14ac:dyDescent="0.2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" customHeight="1" x14ac:dyDescent="0.2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" customHeight="1" x14ac:dyDescent="0.2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" customHeight="1" x14ac:dyDescent="0.2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" customHeight="1" x14ac:dyDescent="0.2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" customHeight="1" x14ac:dyDescent="0.2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" customHeight="1" x14ac:dyDescent="0.2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" customHeight="1" x14ac:dyDescent="0.2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" customHeight="1" x14ac:dyDescent="0.2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" customHeight="1" x14ac:dyDescent="0.2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" customHeight="1" x14ac:dyDescent="0.2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" customHeight="1" x14ac:dyDescent="0.2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" customHeight="1" x14ac:dyDescent="0.2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" customHeight="1" x14ac:dyDescent="0.2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" customHeight="1" x14ac:dyDescent="0.2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" customHeight="1" x14ac:dyDescent="0.2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" customHeight="1" x14ac:dyDescent="0.2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" customHeight="1" x14ac:dyDescent="0.2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" customHeight="1" x14ac:dyDescent="0.2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" customHeight="1" x14ac:dyDescent="0.2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" customHeight="1" x14ac:dyDescent="0.2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" customHeight="1" x14ac:dyDescent="0.2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" customHeight="1" x14ac:dyDescent="0.2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" customHeight="1" x14ac:dyDescent="0.2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" customHeight="1" x14ac:dyDescent="0.2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" customHeight="1" x14ac:dyDescent="0.2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" customHeight="1" x14ac:dyDescent="0.2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" customHeight="1" x14ac:dyDescent="0.2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" customHeight="1" x14ac:dyDescent="0.2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" customHeight="1" x14ac:dyDescent="0.2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" customHeight="1" x14ac:dyDescent="0.2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" customHeight="1" x14ac:dyDescent="0.2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" customHeight="1" x14ac:dyDescent="0.2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" customHeight="1" x14ac:dyDescent="0.2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" customHeight="1" x14ac:dyDescent="0.2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" customHeight="1" x14ac:dyDescent="0.2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" customHeight="1" x14ac:dyDescent="0.2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" customHeight="1" x14ac:dyDescent="0.2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" customHeight="1" x14ac:dyDescent="0.2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" customHeight="1" x14ac:dyDescent="0.2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" customHeight="1" x14ac:dyDescent="0.2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" customHeight="1" x14ac:dyDescent="0.2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" customHeight="1" x14ac:dyDescent="0.2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" customHeight="1" x14ac:dyDescent="0.2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" customHeight="1" x14ac:dyDescent="0.2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" customHeight="1" x14ac:dyDescent="0.2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" customHeight="1" x14ac:dyDescent="0.2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" customHeight="1" x14ac:dyDescent="0.2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" customHeight="1" x14ac:dyDescent="0.2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" customHeight="1" x14ac:dyDescent="0.2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" customHeight="1" x14ac:dyDescent="0.2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" customHeight="1" x14ac:dyDescent="0.2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" customHeight="1" x14ac:dyDescent="0.2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" customHeight="1" x14ac:dyDescent="0.2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" customHeight="1" x14ac:dyDescent="0.2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" customHeight="1" x14ac:dyDescent="0.2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" customHeight="1" x14ac:dyDescent="0.2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" customHeight="1" x14ac:dyDescent="0.2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" customHeight="1" x14ac:dyDescent="0.2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" customHeight="1" x14ac:dyDescent="0.2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" customHeight="1" x14ac:dyDescent="0.2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" customHeight="1" x14ac:dyDescent="0.2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" customHeight="1" x14ac:dyDescent="0.2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" customHeight="1" x14ac:dyDescent="0.2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" customHeight="1" x14ac:dyDescent="0.2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" customHeight="1" x14ac:dyDescent="0.2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" customHeight="1" x14ac:dyDescent="0.2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" customHeight="1" x14ac:dyDescent="0.2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" customHeight="1" x14ac:dyDescent="0.2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" customHeight="1" x14ac:dyDescent="0.2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" customHeight="1" x14ac:dyDescent="0.2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" customHeight="1" x14ac:dyDescent="0.2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" customHeight="1" x14ac:dyDescent="0.2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" customHeight="1" x14ac:dyDescent="0.2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" customHeight="1" x14ac:dyDescent="0.2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" customHeight="1" x14ac:dyDescent="0.2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" customHeight="1" x14ac:dyDescent="0.2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" customHeight="1" x14ac:dyDescent="0.2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" customHeight="1" x14ac:dyDescent="0.2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" customHeight="1" x14ac:dyDescent="0.2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" customHeight="1" x14ac:dyDescent="0.2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" customHeight="1" x14ac:dyDescent="0.2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" customHeight="1" x14ac:dyDescent="0.2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" customHeight="1" x14ac:dyDescent="0.2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" customHeight="1" x14ac:dyDescent="0.2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" customHeight="1" x14ac:dyDescent="0.2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" customHeight="1" x14ac:dyDescent="0.2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" customHeight="1" x14ac:dyDescent="0.2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" customHeight="1" x14ac:dyDescent="0.2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" customHeight="1" x14ac:dyDescent="0.2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" customHeight="1" x14ac:dyDescent="0.2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" customHeight="1" x14ac:dyDescent="0.2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" customHeight="1" x14ac:dyDescent="0.2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" customHeight="1" x14ac:dyDescent="0.2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" customHeight="1" x14ac:dyDescent="0.2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" customHeight="1" x14ac:dyDescent="0.2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" customHeight="1" x14ac:dyDescent="0.2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" customHeight="1" x14ac:dyDescent="0.2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" customHeight="1" x14ac:dyDescent="0.2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" customHeight="1" x14ac:dyDescent="0.2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" customHeight="1" x14ac:dyDescent="0.2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" customHeight="1" x14ac:dyDescent="0.2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" customHeight="1" x14ac:dyDescent="0.2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" customHeight="1" x14ac:dyDescent="0.2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" customHeight="1" x14ac:dyDescent="0.2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" customHeight="1" x14ac:dyDescent="0.2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" customHeight="1" x14ac:dyDescent="0.2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" customHeight="1" x14ac:dyDescent="0.2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" customHeight="1" x14ac:dyDescent="0.2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" customHeight="1" x14ac:dyDescent="0.2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" customHeight="1" x14ac:dyDescent="0.2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" customHeight="1" x14ac:dyDescent="0.2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" customHeight="1" x14ac:dyDescent="0.2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" customHeight="1" x14ac:dyDescent="0.2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" customHeight="1" x14ac:dyDescent="0.2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" customHeight="1" x14ac:dyDescent="0.2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" customHeight="1" x14ac:dyDescent="0.2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" customHeight="1" x14ac:dyDescent="0.2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" customHeight="1" x14ac:dyDescent="0.2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" customHeight="1" x14ac:dyDescent="0.2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2"/>
    <row r="772" spans="1:29" ht="14.25" customHeight="1" x14ac:dyDescent="0.2"/>
    <row r="773" spans="1:29" ht="14.25" customHeight="1" x14ac:dyDescent="0.2"/>
    <row r="774" spans="1:29" ht="14.25" customHeight="1" x14ac:dyDescent="0.2"/>
    <row r="775" spans="1:29" ht="14.25" customHeight="1" x14ac:dyDescent="0.2"/>
    <row r="776" spans="1:29" ht="14.25" customHeight="1" x14ac:dyDescent="0.2"/>
    <row r="777" spans="1:29" ht="14.25" customHeight="1" x14ac:dyDescent="0.2"/>
    <row r="778" spans="1:29" ht="14.25" customHeight="1" x14ac:dyDescent="0.2"/>
    <row r="779" spans="1:29" ht="14.25" customHeight="1" x14ac:dyDescent="0.2"/>
    <row r="780" spans="1:29" ht="14.25" customHeight="1" x14ac:dyDescent="0.2"/>
    <row r="781" spans="1:29" ht="14.25" customHeight="1" x14ac:dyDescent="0.2"/>
    <row r="782" spans="1:29" ht="14.25" customHeight="1" x14ac:dyDescent="0.2"/>
    <row r="783" spans="1:29" ht="14.25" customHeight="1" x14ac:dyDescent="0.2"/>
    <row r="784" spans="1:29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</sheetData>
  <mergeCells count="218">
    <mergeCell ref="B153:G153"/>
    <mergeCell ref="B154:G154"/>
    <mergeCell ref="C161:I161"/>
    <mergeCell ref="C162:I162"/>
    <mergeCell ref="B170:H170"/>
    <mergeCell ref="B171:H171"/>
    <mergeCell ref="B172:H172"/>
    <mergeCell ref="B173:H173"/>
    <mergeCell ref="A174:H174"/>
    <mergeCell ref="A144:G144"/>
    <mergeCell ref="B145:G145"/>
    <mergeCell ref="A146:G146"/>
    <mergeCell ref="B147:G147"/>
    <mergeCell ref="A148:G148"/>
    <mergeCell ref="B149:G149"/>
    <mergeCell ref="B150:G150"/>
    <mergeCell ref="B151:G151"/>
    <mergeCell ref="B152:G152"/>
    <mergeCell ref="B134:H134"/>
    <mergeCell ref="B135:H135"/>
    <mergeCell ref="B136:H136"/>
    <mergeCell ref="B137:H137"/>
    <mergeCell ref="A138:H138"/>
    <mergeCell ref="A139:I139"/>
    <mergeCell ref="A140:I140"/>
    <mergeCell ref="A142:I142"/>
    <mergeCell ref="B143:G143"/>
    <mergeCell ref="A188:F188"/>
    <mergeCell ref="A189:F189"/>
    <mergeCell ref="A198:F198"/>
    <mergeCell ref="A199:F199"/>
    <mergeCell ref="A200:F200"/>
    <mergeCell ref="A190:F190"/>
    <mergeCell ref="A191:F191"/>
    <mergeCell ref="A192:F192"/>
    <mergeCell ref="A193:F193"/>
    <mergeCell ref="A194:F194"/>
    <mergeCell ref="A195:F195"/>
    <mergeCell ref="A197:F197"/>
    <mergeCell ref="A180:F180"/>
    <mergeCell ref="G180:I180"/>
    <mergeCell ref="A181:F181"/>
    <mergeCell ref="A182:F182"/>
    <mergeCell ref="A183:F183"/>
    <mergeCell ref="A184:F184"/>
    <mergeCell ref="A185:F185"/>
    <mergeCell ref="A186:F186"/>
    <mergeCell ref="A187:F187"/>
    <mergeCell ref="A164:I164"/>
    <mergeCell ref="A165:I165"/>
    <mergeCell ref="A166:I166"/>
    <mergeCell ref="A167:I167"/>
    <mergeCell ref="A168:H168"/>
    <mergeCell ref="B169:H169"/>
    <mergeCell ref="A177:I177"/>
    <mergeCell ref="A178:I178"/>
    <mergeCell ref="A179:I179"/>
    <mergeCell ref="B175:H175"/>
    <mergeCell ref="A176:H176"/>
    <mergeCell ref="B118:H118"/>
    <mergeCell ref="B155:G155"/>
    <mergeCell ref="B156:G156"/>
    <mergeCell ref="B157:G157"/>
    <mergeCell ref="A158:H158"/>
    <mergeCell ref="A159:I159"/>
    <mergeCell ref="A160:G160"/>
    <mergeCell ref="A161:B163"/>
    <mergeCell ref="C163:I163"/>
    <mergeCell ref="A119:H119"/>
    <mergeCell ref="A120:I120"/>
    <mergeCell ref="A121:I121"/>
    <mergeCell ref="B122:H122"/>
    <mergeCell ref="B123:H123"/>
    <mergeCell ref="A124:H124"/>
    <mergeCell ref="A125:I125"/>
    <mergeCell ref="A126:I126"/>
    <mergeCell ref="B127:H127"/>
    <mergeCell ref="B128:H128"/>
    <mergeCell ref="B129:H129"/>
    <mergeCell ref="A130:H130"/>
    <mergeCell ref="A131:I131"/>
    <mergeCell ref="A132:I132"/>
    <mergeCell ref="B133:H133"/>
    <mergeCell ref="A66:I66"/>
    <mergeCell ref="A67:I67"/>
    <mergeCell ref="A68:I68"/>
    <mergeCell ref="B112:H112"/>
    <mergeCell ref="B113:F113"/>
    <mergeCell ref="B114:H114"/>
    <mergeCell ref="B115:H115"/>
    <mergeCell ref="B116:H116"/>
    <mergeCell ref="B117:H117"/>
    <mergeCell ref="A111:I111"/>
    <mergeCell ref="B28:G28"/>
    <mergeCell ref="H28:I28"/>
    <mergeCell ref="A29:I29"/>
    <mergeCell ref="A30:I30"/>
    <mergeCell ref="A31:I31"/>
    <mergeCell ref="A32:I32"/>
    <mergeCell ref="B33:G33"/>
    <mergeCell ref="B34:H34"/>
    <mergeCell ref="B35:G35"/>
    <mergeCell ref="B36:H36"/>
    <mergeCell ref="B37:H37"/>
    <mergeCell ref="B38:H38"/>
    <mergeCell ref="A39:H39"/>
    <mergeCell ref="A40:I40"/>
    <mergeCell ref="B41:H41"/>
    <mergeCell ref="A42:I42"/>
    <mergeCell ref="A43:H43"/>
    <mergeCell ref="A44:I44"/>
    <mergeCell ref="A45:I45"/>
    <mergeCell ref="A46:I46"/>
    <mergeCell ref="B47:H47"/>
    <mergeCell ref="B48:G48"/>
    <mergeCell ref="B49:G49"/>
    <mergeCell ref="A101:H101"/>
    <mergeCell ref="A102:I102"/>
    <mergeCell ref="A103:I103"/>
    <mergeCell ref="A104:I104"/>
    <mergeCell ref="A105:I105"/>
    <mergeCell ref="A106:I106"/>
    <mergeCell ref="A107:I107"/>
    <mergeCell ref="A108:I108"/>
    <mergeCell ref="A110:I110"/>
    <mergeCell ref="A92:H92"/>
    <mergeCell ref="A93:I93"/>
    <mergeCell ref="A94:I94"/>
    <mergeCell ref="B95:H95"/>
    <mergeCell ref="B96:H96"/>
    <mergeCell ref="B97:H97"/>
    <mergeCell ref="B98:H98"/>
    <mergeCell ref="B99:H99"/>
    <mergeCell ref="B100:G100"/>
    <mergeCell ref="B83:H83"/>
    <mergeCell ref="A84:I84"/>
    <mergeCell ref="A85:I85"/>
    <mergeCell ref="A86:I86"/>
    <mergeCell ref="A87:I87"/>
    <mergeCell ref="B88:H88"/>
    <mergeCell ref="B89:H89"/>
    <mergeCell ref="B90:H90"/>
    <mergeCell ref="B91:H91"/>
    <mergeCell ref="B74:G74"/>
    <mergeCell ref="B75:H75"/>
    <mergeCell ref="B76:G76"/>
    <mergeCell ref="B77:G77"/>
    <mergeCell ref="B78:G78"/>
    <mergeCell ref="B79:H79"/>
    <mergeCell ref="B80:H80"/>
    <mergeCell ref="B81:H81"/>
    <mergeCell ref="B82:H82"/>
    <mergeCell ref="B26:G26"/>
    <mergeCell ref="H26:I26"/>
    <mergeCell ref="B27:G27"/>
    <mergeCell ref="H27:I27"/>
    <mergeCell ref="B69:H69"/>
    <mergeCell ref="B70:H70"/>
    <mergeCell ref="B71:G71"/>
    <mergeCell ref="B72:G72"/>
    <mergeCell ref="B73:G73"/>
    <mergeCell ref="A50:H50"/>
    <mergeCell ref="A51:I51"/>
    <mergeCell ref="A52:I52"/>
    <mergeCell ref="A53:I53"/>
    <mergeCell ref="A54:I54"/>
    <mergeCell ref="B55:G55"/>
    <mergeCell ref="B56:G56"/>
    <mergeCell ref="B57:G57"/>
    <mergeCell ref="B58:C58"/>
    <mergeCell ref="B59:G59"/>
    <mergeCell ref="B60:G60"/>
    <mergeCell ref="B61:G61"/>
    <mergeCell ref="B62:G62"/>
    <mergeCell ref="B63:G63"/>
    <mergeCell ref="A64:G64"/>
    <mergeCell ref="B21:G21"/>
    <mergeCell ref="H21:I21"/>
    <mergeCell ref="B22:G22"/>
    <mergeCell ref="H22:I22"/>
    <mergeCell ref="B23:G23"/>
    <mergeCell ref="H23:I23"/>
    <mergeCell ref="H24:I24"/>
    <mergeCell ref="B24:G24"/>
    <mergeCell ref="B25:G25"/>
    <mergeCell ref="H25:I25"/>
    <mergeCell ref="A14:E14"/>
    <mergeCell ref="F14:G14"/>
    <mergeCell ref="H14:I14"/>
    <mergeCell ref="A20:I20"/>
    <mergeCell ref="J20:P20"/>
    <mergeCell ref="Q20:X20"/>
    <mergeCell ref="Y20:AC20"/>
    <mergeCell ref="A15:E15"/>
    <mergeCell ref="F15:G15"/>
    <mergeCell ref="H15:I15"/>
    <mergeCell ref="A16:I16"/>
    <mergeCell ref="A17:I17"/>
    <mergeCell ref="A18:I18"/>
    <mergeCell ref="A19:I19"/>
    <mergeCell ref="B9:G9"/>
    <mergeCell ref="H9:I9"/>
    <mergeCell ref="B10:G10"/>
    <mergeCell ref="H10:I10"/>
    <mergeCell ref="H11:I11"/>
    <mergeCell ref="B11:G11"/>
    <mergeCell ref="B12:G12"/>
    <mergeCell ref="H12:I12"/>
    <mergeCell ref="A13:I13"/>
    <mergeCell ref="A2:I2"/>
    <mergeCell ref="A3:I3"/>
    <mergeCell ref="A4:E4"/>
    <mergeCell ref="F4:I4"/>
    <mergeCell ref="A5:E5"/>
    <mergeCell ref="F5:I5"/>
    <mergeCell ref="A6:I6"/>
    <mergeCell ref="A7:I7"/>
    <mergeCell ref="A8:I8"/>
  </mergeCells>
  <pageMargins left="0.25" right="0.25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951"/>
  <sheetViews>
    <sheetView topLeftCell="A197" workbookViewId="0">
      <selection activeCell="A141" sqref="A141:I141"/>
    </sheetView>
  </sheetViews>
  <sheetFormatPr defaultColWidth="12.5703125" defaultRowHeight="15" customHeight="1" x14ac:dyDescent="0.2"/>
  <cols>
    <col min="1" max="1" width="15.28515625" customWidth="1"/>
    <col min="2" max="2" width="11.140625" customWidth="1"/>
    <col min="3" max="3" width="13.28515625" customWidth="1"/>
    <col min="4" max="4" width="10.140625" customWidth="1"/>
    <col min="5" max="5" width="12.42578125" customWidth="1"/>
    <col min="6" max="6" width="11.28515625" customWidth="1"/>
    <col min="7" max="7" width="11" customWidth="1"/>
    <col min="8" max="8" width="14.42578125" customWidth="1"/>
    <col min="9" max="9" width="14.28515625" customWidth="1"/>
    <col min="10" max="10" width="25.140625" customWidth="1"/>
    <col min="11" max="11" width="11.140625" customWidth="1"/>
    <col min="12" max="12" width="7.42578125" customWidth="1"/>
    <col min="13" max="13" width="6.5703125" customWidth="1"/>
    <col min="14" max="15" width="9.28515625" customWidth="1"/>
    <col min="16" max="29" width="9.140625" customWidth="1"/>
  </cols>
  <sheetData>
    <row r="1" spans="1:29" ht="12" customHeight="1" x14ac:dyDescent="0.2">
      <c r="A1" s="1" t="s">
        <v>197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88.5" customHeight="1" x14ac:dyDescent="0.35">
      <c r="A2" s="182" t="s">
        <v>108</v>
      </c>
      <c r="B2" s="120"/>
      <c r="C2" s="120"/>
      <c r="D2" s="120"/>
      <c r="E2" s="120"/>
      <c r="F2" s="120"/>
      <c r="G2" s="120"/>
      <c r="H2" s="120"/>
      <c r="I2" s="1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48.75" customHeight="1" x14ac:dyDescent="0.35">
      <c r="A3" s="183" t="s">
        <v>201</v>
      </c>
      <c r="B3" s="120"/>
      <c r="C3" s="120"/>
      <c r="D3" s="120"/>
      <c r="E3" s="120"/>
      <c r="F3" s="120"/>
      <c r="G3" s="120"/>
      <c r="H3" s="120"/>
      <c r="I3" s="1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121" t="s">
        <v>0</v>
      </c>
      <c r="B4" s="122"/>
      <c r="C4" s="122"/>
      <c r="D4" s="122"/>
      <c r="E4" s="123"/>
      <c r="F4" s="214" t="s">
        <v>202</v>
      </c>
      <c r="G4" s="131"/>
      <c r="H4" s="131"/>
      <c r="I4" s="1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121" t="s">
        <v>1</v>
      </c>
      <c r="B5" s="122"/>
      <c r="C5" s="122"/>
      <c r="D5" s="122"/>
      <c r="E5" s="123"/>
      <c r="F5" s="124" t="s">
        <v>111</v>
      </c>
      <c r="G5" s="122"/>
      <c r="H5" s="122"/>
      <c r="I5" s="1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">
      <c r="A6" s="121" t="s">
        <v>2</v>
      </c>
      <c r="B6" s="122"/>
      <c r="C6" s="122"/>
      <c r="D6" s="122"/>
      <c r="E6" s="122"/>
      <c r="F6" s="122"/>
      <c r="G6" s="122"/>
      <c r="H6" s="122"/>
      <c r="I6" s="1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25" customHeight="1" x14ac:dyDescent="0.2">
      <c r="A7" s="184" t="s">
        <v>203</v>
      </c>
      <c r="B7" s="122"/>
      <c r="C7" s="122"/>
      <c r="D7" s="122"/>
      <c r="E7" s="122"/>
      <c r="F7" s="122"/>
      <c r="G7" s="122"/>
      <c r="H7" s="122"/>
      <c r="I7" s="1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0.25" customHeight="1" x14ac:dyDescent="0.2">
      <c r="A8" s="125" t="s">
        <v>3</v>
      </c>
      <c r="B8" s="122"/>
      <c r="C8" s="122"/>
      <c r="D8" s="122"/>
      <c r="E8" s="122"/>
      <c r="F8" s="122"/>
      <c r="G8" s="122"/>
      <c r="H8" s="122"/>
      <c r="I8" s="1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">
      <c r="A9" s="3" t="s">
        <v>4</v>
      </c>
      <c r="B9" s="121" t="s">
        <v>5</v>
      </c>
      <c r="C9" s="122"/>
      <c r="D9" s="122"/>
      <c r="E9" s="122"/>
      <c r="F9" s="122"/>
      <c r="G9" s="123"/>
      <c r="H9" s="124" t="s">
        <v>113</v>
      </c>
      <c r="I9" s="1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">
      <c r="A10" s="3" t="s">
        <v>6</v>
      </c>
      <c r="B10" s="121" t="s">
        <v>7</v>
      </c>
      <c r="C10" s="122"/>
      <c r="D10" s="122"/>
      <c r="E10" s="122"/>
      <c r="F10" s="122"/>
      <c r="G10" s="123"/>
      <c r="H10" s="124" t="s">
        <v>114</v>
      </c>
      <c r="I10" s="1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 x14ac:dyDescent="0.2">
      <c r="A11" s="3" t="s">
        <v>8</v>
      </c>
      <c r="B11" s="121" t="s">
        <v>9</v>
      </c>
      <c r="C11" s="122"/>
      <c r="D11" s="122"/>
      <c r="E11" s="122"/>
      <c r="F11" s="122"/>
      <c r="G11" s="123"/>
      <c r="H11" s="124" t="s">
        <v>204</v>
      </c>
      <c r="I11" s="1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">
      <c r="A12" s="3" t="s">
        <v>10</v>
      </c>
      <c r="B12" s="121" t="s">
        <v>11</v>
      </c>
      <c r="C12" s="122"/>
      <c r="D12" s="122"/>
      <c r="E12" s="122"/>
      <c r="F12" s="122"/>
      <c r="G12" s="123"/>
      <c r="H12" s="124">
        <v>12</v>
      </c>
      <c r="I12" s="1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x14ac:dyDescent="0.2">
      <c r="A13" s="126" t="s">
        <v>12</v>
      </c>
      <c r="B13" s="127"/>
      <c r="C13" s="127"/>
      <c r="D13" s="127"/>
      <c r="E13" s="127"/>
      <c r="F13" s="127"/>
      <c r="G13" s="127"/>
      <c r="H13" s="127"/>
      <c r="I13" s="1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x14ac:dyDescent="0.2">
      <c r="A14" s="185" t="s">
        <v>116</v>
      </c>
      <c r="B14" s="122"/>
      <c r="C14" s="122"/>
      <c r="D14" s="122"/>
      <c r="E14" s="122"/>
      <c r="F14" s="185" t="s">
        <v>117</v>
      </c>
      <c r="G14" s="123"/>
      <c r="H14" s="185" t="s">
        <v>118</v>
      </c>
      <c r="I14" s="123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spans="1:29" ht="27" customHeight="1" x14ac:dyDescent="0.2">
      <c r="A15" s="186" t="s">
        <v>205</v>
      </c>
      <c r="B15" s="122"/>
      <c r="C15" s="122"/>
      <c r="D15" s="122"/>
      <c r="E15" s="123"/>
      <c r="F15" s="187" t="s">
        <v>120</v>
      </c>
      <c r="G15" s="123"/>
      <c r="H15" s="188">
        <v>1</v>
      </c>
      <c r="I15" s="123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1:29" ht="12.75" x14ac:dyDescent="0.2">
      <c r="A16" s="130"/>
      <c r="B16" s="131"/>
      <c r="C16" s="131"/>
      <c r="D16" s="131"/>
      <c r="E16" s="131"/>
      <c r="F16" s="131"/>
      <c r="G16" s="131"/>
      <c r="H16" s="131"/>
      <c r="I16" s="132"/>
      <c r="J16" s="4"/>
      <c r="K16" s="5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7.5" customHeight="1" x14ac:dyDescent="0.2">
      <c r="A17" s="133"/>
      <c r="B17" s="122"/>
      <c r="C17" s="122"/>
      <c r="D17" s="122"/>
      <c r="E17" s="122"/>
      <c r="F17" s="122"/>
      <c r="G17" s="122"/>
      <c r="H17" s="122"/>
      <c r="I17" s="123"/>
      <c r="J17" s="4"/>
      <c r="K17" s="5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4" customHeight="1" x14ac:dyDescent="0.2">
      <c r="A18" s="134" t="s">
        <v>206</v>
      </c>
      <c r="B18" s="122"/>
      <c r="C18" s="122"/>
      <c r="D18" s="122"/>
      <c r="E18" s="122"/>
      <c r="F18" s="122"/>
      <c r="G18" s="122"/>
      <c r="H18" s="122"/>
      <c r="I18" s="123"/>
      <c r="J18" s="4"/>
      <c r="K18" s="5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9" customHeight="1" x14ac:dyDescent="0.2">
      <c r="A19" s="135"/>
      <c r="B19" s="122"/>
      <c r="C19" s="122"/>
      <c r="D19" s="122"/>
      <c r="E19" s="122"/>
      <c r="F19" s="122"/>
      <c r="G19" s="122"/>
      <c r="H19" s="122"/>
      <c r="I19" s="123"/>
      <c r="J19" s="4"/>
      <c r="K19" s="5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1.75" customHeight="1" x14ac:dyDescent="0.2">
      <c r="A20" s="125" t="s">
        <v>13</v>
      </c>
      <c r="B20" s="122"/>
      <c r="C20" s="122"/>
      <c r="D20" s="122"/>
      <c r="E20" s="122"/>
      <c r="F20" s="122"/>
      <c r="G20" s="122"/>
      <c r="H20" s="122"/>
      <c r="I20" s="123"/>
      <c r="J20" s="129"/>
      <c r="K20" s="120"/>
      <c r="L20" s="120"/>
      <c r="M20" s="120"/>
      <c r="N20" s="120"/>
      <c r="O20" s="120"/>
      <c r="P20" s="120"/>
      <c r="Q20" s="129"/>
      <c r="R20" s="120"/>
      <c r="S20" s="120"/>
      <c r="T20" s="120"/>
      <c r="U20" s="120"/>
      <c r="V20" s="120"/>
      <c r="W20" s="120"/>
      <c r="X20" s="120"/>
      <c r="Y20" s="129"/>
      <c r="Z20" s="120"/>
      <c r="AA20" s="120"/>
      <c r="AB20" s="120"/>
      <c r="AC20" s="120"/>
    </row>
    <row r="21" spans="1:29" ht="15.75" customHeight="1" x14ac:dyDescent="0.2">
      <c r="A21" s="3">
        <v>1</v>
      </c>
      <c r="B21" s="121" t="s">
        <v>14</v>
      </c>
      <c r="C21" s="122"/>
      <c r="D21" s="122"/>
      <c r="E21" s="122"/>
      <c r="F21" s="122"/>
      <c r="G21" s="123"/>
      <c r="H21" s="136" t="s">
        <v>122</v>
      </c>
      <c r="I21" s="1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">
      <c r="A22" s="3">
        <v>2</v>
      </c>
      <c r="B22" s="121" t="s">
        <v>15</v>
      </c>
      <c r="C22" s="122"/>
      <c r="D22" s="122"/>
      <c r="E22" s="122"/>
      <c r="F22" s="122"/>
      <c r="G22" s="123"/>
      <c r="H22" s="189">
        <v>1196079</v>
      </c>
      <c r="I22" s="1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">
      <c r="A23" s="3">
        <v>3</v>
      </c>
      <c r="B23" s="121" t="s">
        <v>207</v>
      </c>
      <c r="C23" s="122"/>
      <c r="D23" s="122"/>
      <c r="E23" s="122"/>
      <c r="F23" s="122"/>
      <c r="G23" s="123"/>
      <c r="H23" s="136">
        <v>1991.06</v>
      </c>
      <c r="I23" s="1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">
      <c r="A24" s="3">
        <v>4</v>
      </c>
      <c r="B24" s="121" t="s">
        <v>16</v>
      </c>
      <c r="C24" s="122"/>
      <c r="D24" s="122"/>
      <c r="E24" s="122"/>
      <c r="F24" s="122"/>
      <c r="G24" s="123"/>
      <c r="H24" s="136" t="s">
        <v>122</v>
      </c>
      <c r="I24" s="1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">
      <c r="A25" s="3">
        <v>5</v>
      </c>
      <c r="B25" s="121" t="s">
        <v>17</v>
      </c>
      <c r="C25" s="122"/>
      <c r="D25" s="122"/>
      <c r="E25" s="122"/>
      <c r="F25" s="122"/>
      <c r="G25" s="123"/>
      <c r="H25" s="137" t="s">
        <v>124</v>
      </c>
      <c r="I25" s="1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">
      <c r="A26" s="72">
        <v>6</v>
      </c>
      <c r="B26" s="190" t="s">
        <v>208</v>
      </c>
      <c r="C26" s="191"/>
      <c r="D26" s="191"/>
      <c r="E26" s="191"/>
      <c r="F26" s="191"/>
      <c r="G26" s="192"/>
      <c r="H26" s="193">
        <f>H23/220</f>
        <v>9.050272727272727</v>
      </c>
      <c r="I26" s="19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5.75" customHeight="1" x14ac:dyDescent="0.2">
      <c r="A27" s="74">
        <v>7</v>
      </c>
      <c r="B27" s="190" t="s">
        <v>209</v>
      </c>
      <c r="C27" s="191"/>
      <c r="D27" s="191"/>
      <c r="E27" s="191"/>
      <c r="F27" s="191"/>
      <c r="G27" s="192"/>
      <c r="H27" s="193">
        <f>H26*1.5</f>
        <v>13.575409090909091</v>
      </c>
      <c r="I27" s="19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1:29" ht="15.75" customHeight="1" x14ac:dyDescent="0.2">
      <c r="A28" s="74">
        <v>8</v>
      </c>
      <c r="B28" s="190" t="s">
        <v>210</v>
      </c>
      <c r="C28" s="191"/>
      <c r="D28" s="191"/>
      <c r="E28" s="191"/>
      <c r="F28" s="191"/>
      <c r="G28" s="192"/>
      <c r="H28" s="215">
        <f>ROUND(H26*0.2,2)</f>
        <v>1.81</v>
      </c>
      <c r="I28" s="19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1:29" ht="15.75" customHeight="1" x14ac:dyDescent="0.2">
      <c r="A29" s="74">
        <v>9</v>
      </c>
      <c r="B29" s="190" t="s">
        <v>127</v>
      </c>
      <c r="C29" s="191"/>
      <c r="D29" s="191"/>
      <c r="E29" s="191"/>
      <c r="F29" s="191"/>
      <c r="G29" s="192"/>
      <c r="H29" s="195">
        <v>2</v>
      </c>
      <c r="I29" s="19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1:29" ht="9" customHeight="1" x14ac:dyDescent="0.2">
      <c r="A30" s="138"/>
      <c r="B30" s="122"/>
      <c r="C30" s="122"/>
      <c r="D30" s="122"/>
      <c r="E30" s="122"/>
      <c r="F30" s="122"/>
      <c r="G30" s="122"/>
      <c r="H30" s="122"/>
      <c r="I30" s="1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2.5" customHeight="1" x14ac:dyDescent="0.2">
      <c r="A31" s="139"/>
      <c r="B31" s="122"/>
      <c r="C31" s="122"/>
      <c r="D31" s="122"/>
      <c r="E31" s="122"/>
      <c r="F31" s="122"/>
      <c r="G31" s="122"/>
      <c r="H31" s="122"/>
      <c r="I31" s="12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9" customHeight="1" x14ac:dyDescent="0.2">
      <c r="A32" s="140"/>
      <c r="B32" s="122"/>
      <c r="C32" s="122"/>
      <c r="D32" s="122"/>
      <c r="E32" s="122"/>
      <c r="F32" s="122"/>
      <c r="G32" s="122"/>
      <c r="H32" s="122"/>
      <c r="I32" s="12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2.5" customHeight="1" x14ac:dyDescent="0.2">
      <c r="A33" s="141" t="s">
        <v>18</v>
      </c>
      <c r="B33" s="122"/>
      <c r="C33" s="122"/>
      <c r="D33" s="122"/>
      <c r="E33" s="122"/>
      <c r="F33" s="122"/>
      <c r="G33" s="122"/>
      <c r="H33" s="122"/>
      <c r="I33" s="12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30" customHeight="1" x14ac:dyDescent="0.2">
      <c r="A34" s="7">
        <v>1</v>
      </c>
      <c r="B34" s="142" t="s">
        <v>19</v>
      </c>
      <c r="C34" s="122"/>
      <c r="D34" s="122"/>
      <c r="E34" s="122"/>
      <c r="F34" s="122"/>
      <c r="G34" s="123"/>
      <c r="H34" s="7" t="s">
        <v>20</v>
      </c>
      <c r="I34" s="7" t="s">
        <v>21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27" customHeight="1" x14ac:dyDescent="0.2">
      <c r="A35" s="3" t="s">
        <v>4</v>
      </c>
      <c r="B35" s="121" t="s">
        <v>211</v>
      </c>
      <c r="C35" s="122"/>
      <c r="D35" s="122"/>
      <c r="E35" s="122"/>
      <c r="F35" s="122"/>
      <c r="G35" s="122"/>
      <c r="H35" s="123"/>
      <c r="I35" s="9">
        <f>H23*2</f>
        <v>3982.12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customHeight="1" x14ac:dyDescent="0.2">
      <c r="A36" s="3" t="s">
        <v>6</v>
      </c>
      <c r="B36" s="143" t="s">
        <v>212</v>
      </c>
      <c r="C36" s="122"/>
      <c r="D36" s="122"/>
      <c r="E36" s="122"/>
      <c r="F36" s="122"/>
      <c r="G36" s="123"/>
      <c r="H36" s="11"/>
      <c r="I36" s="9">
        <f>ROUND(H36*I35,2)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x14ac:dyDescent="0.2">
      <c r="A37" s="3" t="s">
        <v>8</v>
      </c>
      <c r="B37" s="196" t="s">
        <v>213</v>
      </c>
      <c r="C37" s="122"/>
      <c r="D37" s="122"/>
      <c r="E37" s="122"/>
      <c r="F37" s="122"/>
      <c r="G37" s="122"/>
      <c r="H37" s="123"/>
      <c r="I37" s="75">
        <f>ROUND(2*7*15*H28,2)</f>
        <v>380.1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30" customHeight="1" x14ac:dyDescent="0.2">
      <c r="A38" s="3" t="s">
        <v>10</v>
      </c>
      <c r="B38" s="196" t="s">
        <v>214</v>
      </c>
      <c r="C38" s="122"/>
      <c r="D38" s="122"/>
      <c r="E38" s="122"/>
      <c r="F38" s="122"/>
      <c r="G38" s="122"/>
      <c r="H38" s="123"/>
      <c r="I38" s="75">
        <f>ROUND(2*15*H26*1.2*1,2)</f>
        <v>325.81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">
      <c r="A39" s="3" t="s">
        <v>22</v>
      </c>
      <c r="B39" s="121" t="s">
        <v>24</v>
      </c>
      <c r="C39" s="122"/>
      <c r="D39" s="122"/>
      <c r="E39" s="122"/>
      <c r="F39" s="122"/>
      <c r="G39" s="122"/>
      <c r="H39" s="123"/>
      <c r="I39" s="9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30" customHeight="1" x14ac:dyDescent="0.25">
      <c r="A40" s="197" t="s">
        <v>132</v>
      </c>
      <c r="B40" s="122"/>
      <c r="C40" s="122"/>
      <c r="D40" s="122"/>
      <c r="E40" s="122"/>
      <c r="F40" s="122"/>
      <c r="G40" s="122"/>
      <c r="H40" s="123"/>
      <c r="I40" s="76">
        <f>SUM(I35:I39)</f>
        <v>4688.0300000000007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</row>
    <row r="41" spans="1:29" ht="12.75" x14ac:dyDescent="0.2">
      <c r="A41" s="145"/>
      <c r="B41" s="122"/>
      <c r="C41" s="122"/>
      <c r="D41" s="122"/>
      <c r="E41" s="122"/>
      <c r="F41" s="122"/>
      <c r="G41" s="122"/>
      <c r="H41" s="122"/>
      <c r="I41" s="12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9.25" customHeight="1" x14ac:dyDescent="0.2">
      <c r="A42" s="77" t="s">
        <v>23</v>
      </c>
      <c r="B42" s="196" t="s">
        <v>215</v>
      </c>
      <c r="C42" s="122"/>
      <c r="D42" s="122"/>
      <c r="E42" s="122"/>
      <c r="F42" s="122"/>
      <c r="G42" s="122"/>
      <c r="H42" s="123"/>
      <c r="I42" s="75">
        <f>ROUND(H27*15*2*0.5,2)</f>
        <v>203.63</v>
      </c>
      <c r="J42" s="71"/>
      <c r="K42" s="71"/>
      <c r="L42" s="78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</row>
    <row r="43" spans="1:29" ht="12.75" x14ac:dyDescent="0.2">
      <c r="A43" s="145"/>
      <c r="B43" s="122"/>
      <c r="C43" s="122"/>
      <c r="D43" s="122"/>
      <c r="E43" s="122"/>
      <c r="F43" s="122"/>
      <c r="G43" s="122"/>
      <c r="H43" s="122"/>
      <c r="I43" s="12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73.5" customHeight="1" x14ac:dyDescent="0.25">
      <c r="A44" s="198" t="s">
        <v>216</v>
      </c>
      <c r="B44" s="122"/>
      <c r="C44" s="122"/>
      <c r="D44" s="122"/>
      <c r="E44" s="122"/>
      <c r="F44" s="122"/>
      <c r="G44" s="122"/>
      <c r="H44" s="123"/>
      <c r="I44" s="79">
        <f>I40+I42</f>
        <v>4891.6600000000008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</row>
    <row r="45" spans="1:29" ht="88.5" customHeight="1" x14ac:dyDescent="0.2">
      <c r="A45" s="146" t="s">
        <v>217</v>
      </c>
      <c r="B45" s="122"/>
      <c r="C45" s="122"/>
      <c r="D45" s="122"/>
      <c r="E45" s="122"/>
      <c r="F45" s="122"/>
      <c r="G45" s="122"/>
      <c r="H45" s="122"/>
      <c r="I45" s="12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0.5" customHeight="1" x14ac:dyDescent="0.2">
      <c r="A46" s="147"/>
      <c r="B46" s="122"/>
      <c r="C46" s="122"/>
      <c r="D46" s="122"/>
      <c r="E46" s="122"/>
      <c r="F46" s="122"/>
      <c r="G46" s="122"/>
      <c r="H46" s="122"/>
      <c r="I46" s="12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1.75" customHeight="1" x14ac:dyDescent="0.2">
      <c r="A47" s="148" t="s">
        <v>26</v>
      </c>
      <c r="B47" s="122"/>
      <c r="C47" s="122"/>
      <c r="D47" s="122"/>
      <c r="E47" s="122"/>
      <c r="F47" s="122"/>
      <c r="G47" s="122"/>
      <c r="H47" s="122"/>
      <c r="I47" s="12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5.5" customHeight="1" x14ac:dyDescent="0.2">
      <c r="A48" s="149" t="s">
        <v>218</v>
      </c>
      <c r="B48" s="122"/>
      <c r="C48" s="122"/>
      <c r="D48" s="122"/>
      <c r="E48" s="122"/>
      <c r="F48" s="122"/>
      <c r="G48" s="122"/>
      <c r="H48" s="122"/>
      <c r="I48" s="12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5.5" customHeight="1" x14ac:dyDescent="0.2">
      <c r="A49" s="12" t="s">
        <v>27</v>
      </c>
      <c r="B49" s="150" t="s">
        <v>28</v>
      </c>
      <c r="C49" s="122"/>
      <c r="D49" s="122"/>
      <c r="E49" s="122"/>
      <c r="F49" s="122"/>
      <c r="G49" s="122"/>
      <c r="H49" s="123"/>
      <c r="I49" s="13" t="s">
        <v>29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5.5" customHeight="1" x14ac:dyDescent="0.2">
      <c r="A50" s="14" t="s">
        <v>4</v>
      </c>
      <c r="B50" s="121" t="s">
        <v>219</v>
      </c>
      <c r="C50" s="122"/>
      <c r="D50" s="122"/>
      <c r="E50" s="122"/>
      <c r="F50" s="122"/>
      <c r="G50" s="123"/>
      <c r="H50" s="10">
        <v>8.3299999999999999E-2</v>
      </c>
      <c r="I50" s="15">
        <f t="shared" ref="I50:I51" si="0">ROUND($I$40*H50,2)</f>
        <v>390.51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8.25" customHeight="1" x14ac:dyDescent="0.2">
      <c r="A51" s="14" t="s">
        <v>6</v>
      </c>
      <c r="B51" s="151" t="s">
        <v>220</v>
      </c>
      <c r="C51" s="122"/>
      <c r="D51" s="122"/>
      <c r="E51" s="122"/>
      <c r="F51" s="122"/>
      <c r="G51" s="123"/>
      <c r="H51" s="80">
        <v>3.0249999999999999E-2</v>
      </c>
      <c r="I51" s="15">
        <f t="shared" si="0"/>
        <v>141.81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 x14ac:dyDescent="0.2">
      <c r="A52" s="152" t="s">
        <v>30</v>
      </c>
      <c r="B52" s="122"/>
      <c r="C52" s="122"/>
      <c r="D52" s="122"/>
      <c r="E52" s="122"/>
      <c r="F52" s="122"/>
      <c r="G52" s="122"/>
      <c r="H52" s="123"/>
      <c r="I52" s="16">
        <f>SUM(I50+I51)</f>
        <v>532.31999999999994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0.5" customHeight="1" x14ac:dyDescent="0.2">
      <c r="A53" s="153"/>
      <c r="B53" s="122"/>
      <c r="C53" s="122"/>
      <c r="D53" s="122"/>
      <c r="E53" s="122"/>
      <c r="F53" s="122"/>
      <c r="G53" s="122"/>
      <c r="H53" s="122"/>
      <c r="I53" s="12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68.25" customHeight="1" x14ac:dyDescent="0.2">
      <c r="A54" s="139" t="s">
        <v>139</v>
      </c>
      <c r="B54" s="122"/>
      <c r="C54" s="122"/>
      <c r="D54" s="122"/>
      <c r="E54" s="122"/>
      <c r="F54" s="122"/>
      <c r="G54" s="122"/>
      <c r="H54" s="122"/>
      <c r="I54" s="12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1.25" customHeight="1" x14ac:dyDescent="0.2">
      <c r="A55" s="154"/>
      <c r="B55" s="122"/>
      <c r="C55" s="122"/>
      <c r="D55" s="122"/>
      <c r="E55" s="122"/>
      <c r="F55" s="122"/>
      <c r="G55" s="122"/>
      <c r="H55" s="122"/>
      <c r="I55" s="12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32.25" customHeight="1" x14ac:dyDescent="0.2">
      <c r="A56" s="155" t="s">
        <v>221</v>
      </c>
      <c r="B56" s="122"/>
      <c r="C56" s="122"/>
      <c r="D56" s="122"/>
      <c r="E56" s="122"/>
      <c r="F56" s="122"/>
      <c r="G56" s="122"/>
      <c r="H56" s="122"/>
      <c r="I56" s="12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30" customHeight="1" x14ac:dyDescent="0.2">
      <c r="A57" s="18" t="s">
        <v>31</v>
      </c>
      <c r="B57" s="142" t="s">
        <v>32</v>
      </c>
      <c r="C57" s="122"/>
      <c r="D57" s="122"/>
      <c r="E57" s="122"/>
      <c r="F57" s="122"/>
      <c r="G57" s="123"/>
      <c r="H57" s="19" t="s">
        <v>33</v>
      </c>
      <c r="I57" s="19" t="s">
        <v>34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">
      <c r="A58" s="20" t="s">
        <v>4</v>
      </c>
      <c r="B58" s="121" t="s">
        <v>35</v>
      </c>
      <c r="C58" s="122"/>
      <c r="D58" s="122"/>
      <c r="E58" s="122"/>
      <c r="F58" s="122"/>
      <c r="G58" s="123"/>
      <c r="H58" s="21">
        <v>0.2</v>
      </c>
      <c r="I58" s="22">
        <f t="shared" ref="I58:I65" si="1">ROUND(($I$40+$I$52)*H58,2)</f>
        <v>1044.07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">
      <c r="A59" s="20" t="s">
        <v>6</v>
      </c>
      <c r="B59" s="121" t="s">
        <v>36</v>
      </c>
      <c r="C59" s="122"/>
      <c r="D59" s="122"/>
      <c r="E59" s="122"/>
      <c r="F59" s="122"/>
      <c r="G59" s="123"/>
      <c r="H59" s="21">
        <v>2.5000000000000001E-2</v>
      </c>
      <c r="I59" s="22">
        <f t="shared" si="1"/>
        <v>130.51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76.5" customHeight="1" x14ac:dyDescent="0.2">
      <c r="A60" s="20" t="s">
        <v>8</v>
      </c>
      <c r="B60" s="121" t="s">
        <v>222</v>
      </c>
      <c r="C60" s="123"/>
      <c r="D60" s="23" t="s">
        <v>37</v>
      </c>
      <c r="E60" s="24">
        <v>0.03</v>
      </c>
      <c r="F60" s="23" t="s">
        <v>38</v>
      </c>
      <c r="G60" s="25">
        <v>1</v>
      </c>
      <c r="H60" s="26">
        <f>ROUND((E60*G60),6)</f>
        <v>0.03</v>
      </c>
      <c r="I60" s="22">
        <f t="shared" si="1"/>
        <v>156.61000000000001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">
      <c r="A61" s="20" t="s">
        <v>10</v>
      </c>
      <c r="B61" s="121" t="s">
        <v>39</v>
      </c>
      <c r="C61" s="122"/>
      <c r="D61" s="122"/>
      <c r="E61" s="122"/>
      <c r="F61" s="122"/>
      <c r="G61" s="123"/>
      <c r="H61" s="21">
        <v>1.4999999999999999E-2</v>
      </c>
      <c r="I61" s="22">
        <f t="shared" si="1"/>
        <v>78.31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">
      <c r="A62" s="20" t="s">
        <v>22</v>
      </c>
      <c r="B62" s="121" t="s">
        <v>40</v>
      </c>
      <c r="C62" s="122"/>
      <c r="D62" s="122"/>
      <c r="E62" s="122"/>
      <c r="F62" s="122"/>
      <c r="G62" s="123"/>
      <c r="H62" s="21">
        <v>0.01</v>
      </c>
      <c r="I62" s="22">
        <f t="shared" si="1"/>
        <v>52.2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">
      <c r="A63" s="20" t="s">
        <v>23</v>
      </c>
      <c r="B63" s="121" t="s">
        <v>41</v>
      </c>
      <c r="C63" s="122"/>
      <c r="D63" s="122"/>
      <c r="E63" s="122"/>
      <c r="F63" s="122"/>
      <c r="G63" s="123"/>
      <c r="H63" s="21">
        <v>6.0000000000000001E-3</v>
      </c>
      <c r="I63" s="22">
        <f t="shared" si="1"/>
        <v>31.32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0.25" customHeight="1" x14ac:dyDescent="0.2">
      <c r="A64" s="20" t="s">
        <v>42</v>
      </c>
      <c r="B64" s="121" t="s">
        <v>43</v>
      </c>
      <c r="C64" s="122"/>
      <c r="D64" s="122"/>
      <c r="E64" s="122"/>
      <c r="F64" s="122"/>
      <c r="G64" s="123"/>
      <c r="H64" s="21">
        <v>2E-3</v>
      </c>
      <c r="I64" s="22">
        <f t="shared" si="1"/>
        <v>10.44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">
      <c r="A65" s="20" t="s">
        <v>44</v>
      </c>
      <c r="B65" s="121" t="s">
        <v>45</v>
      </c>
      <c r="C65" s="122"/>
      <c r="D65" s="122"/>
      <c r="E65" s="122"/>
      <c r="F65" s="122"/>
      <c r="G65" s="123"/>
      <c r="H65" s="21">
        <v>0.08</v>
      </c>
      <c r="I65" s="22">
        <f t="shared" si="1"/>
        <v>417.63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">
      <c r="A66" s="152" t="s">
        <v>30</v>
      </c>
      <c r="B66" s="122"/>
      <c r="C66" s="122"/>
      <c r="D66" s="122"/>
      <c r="E66" s="122"/>
      <c r="F66" s="122"/>
      <c r="G66" s="123"/>
      <c r="H66" s="27">
        <f t="shared" ref="H66:I66" si="2">SUM(H58:H65)</f>
        <v>0.36800000000000005</v>
      </c>
      <c r="I66" s="28">
        <f t="shared" si="2"/>
        <v>1921.0900000000001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8.25" customHeight="1" x14ac:dyDescent="0.2">
      <c r="A67" s="29"/>
      <c r="B67" s="30"/>
      <c r="C67" s="30"/>
      <c r="D67" s="30"/>
      <c r="E67" s="30"/>
      <c r="F67" s="30"/>
      <c r="G67" s="30"/>
      <c r="H67" s="31"/>
      <c r="I67" s="3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35.25" customHeight="1" x14ac:dyDescent="0.2">
      <c r="A68" s="139" t="s">
        <v>223</v>
      </c>
      <c r="B68" s="122"/>
      <c r="C68" s="122"/>
      <c r="D68" s="122"/>
      <c r="E68" s="122"/>
      <c r="F68" s="122"/>
      <c r="G68" s="122"/>
      <c r="H68" s="122"/>
      <c r="I68" s="12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7.5" customHeight="1" x14ac:dyDescent="0.2">
      <c r="A69" s="133"/>
      <c r="B69" s="122"/>
      <c r="C69" s="122"/>
      <c r="D69" s="122"/>
      <c r="E69" s="122"/>
      <c r="F69" s="122"/>
      <c r="G69" s="122"/>
      <c r="H69" s="122"/>
      <c r="I69" s="12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8" customHeight="1" x14ac:dyDescent="0.2">
      <c r="A70" s="156" t="s">
        <v>46</v>
      </c>
      <c r="B70" s="122"/>
      <c r="C70" s="122"/>
      <c r="D70" s="122"/>
      <c r="E70" s="122"/>
      <c r="F70" s="122"/>
      <c r="G70" s="122"/>
      <c r="H70" s="122"/>
      <c r="I70" s="12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8" customHeight="1" x14ac:dyDescent="0.2">
      <c r="A71" s="33" t="s">
        <v>47</v>
      </c>
      <c r="B71" s="142" t="s">
        <v>48</v>
      </c>
      <c r="C71" s="122"/>
      <c r="D71" s="122"/>
      <c r="E71" s="122"/>
      <c r="F71" s="122"/>
      <c r="G71" s="122"/>
      <c r="H71" s="123"/>
      <c r="I71" s="19" t="s">
        <v>29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">
      <c r="A72" s="14" t="s">
        <v>4</v>
      </c>
      <c r="B72" s="121" t="s">
        <v>224</v>
      </c>
      <c r="C72" s="122"/>
      <c r="D72" s="122"/>
      <c r="E72" s="122"/>
      <c r="F72" s="122"/>
      <c r="G72" s="122"/>
      <c r="H72" s="122"/>
      <c r="I72" s="22">
        <f>IF(ROUND((H75*H73*H74)-(I35*H76),2)&lt;0,0,ROUND((H75*H73*H74)-(I35*H76),2))</f>
        <v>91.07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2.5" customHeight="1" x14ac:dyDescent="0.2">
      <c r="A73" s="14"/>
      <c r="B73" s="157" t="s">
        <v>225</v>
      </c>
      <c r="C73" s="122"/>
      <c r="D73" s="122"/>
      <c r="E73" s="122"/>
      <c r="F73" s="122"/>
      <c r="G73" s="122"/>
      <c r="H73" s="34">
        <v>5.5</v>
      </c>
      <c r="I73" s="35" t="s">
        <v>49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7.25" customHeight="1" x14ac:dyDescent="0.2">
      <c r="A74" s="14"/>
      <c r="B74" s="157" t="s">
        <v>226</v>
      </c>
      <c r="C74" s="122"/>
      <c r="D74" s="122"/>
      <c r="E74" s="122"/>
      <c r="F74" s="122"/>
      <c r="G74" s="123"/>
      <c r="H74" s="36">
        <v>2</v>
      </c>
      <c r="I74" s="3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2">
      <c r="A75" s="14"/>
      <c r="B75" s="157" t="s">
        <v>227</v>
      </c>
      <c r="C75" s="122"/>
      <c r="D75" s="122"/>
      <c r="E75" s="122"/>
      <c r="F75" s="122"/>
      <c r="G75" s="123"/>
      <c r="H75" s="37">
        <v>30</v>
      </c>
      <c r="I75" s="3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2">
      <c r="A76" s="14"/>
      <c r="B76" s="158" t="s">
        <v>228</v>
      </c>
      <c r="C76" s="120"/>
      <c r="D76" s="120"/>
      <c r="E76" s="120"/>
      <c r="F76" s="120"/>
      <c r="G76" s="120"/>
      <c r="H76" s="38">
        <v>0.06</v>
      </c>
      <c r="I76" s="3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">
      <c r="A77" s="14" t="s">
        <v>6</v>
      </c>
      <c r="B77" s="121" t="s">
        <v>229</v>
      </c>
      <c r="C77" s="122"/>
      <c r="D77" s="122"/>
      <c r="E77" s="122"/>
      <c r="F77" s="122"/>
      <c r="G77" s="122"/>
      <c r="H77" s="122"/>
      <c r="I77" s="22">
        <f>ROUND(H79*H78*(1-H80),2)</f>
        <v>617.71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">
      <c r="A78" s="14"/>
      <c r="B78" s="157" t="s">
        <v>230</v>
      </c>
      <c r="C78" s="122"/>
      <c r="D78" s="122"/>
      <c r="E78" s="122"/>
      <c r="F78" s="122"/>
      <c r="G78" s="122"/>
      <c r="H78" s="34">
        <v>25.42</v>
      </c>
      <c r="I78" s="35" t="s">
        <v>49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">
      <c r="A79" s="40"/>
      <c r="B79" s="157" t="s">
        <v>231</v>
      </c>
      <c r="C79" s="122"/>
      <c r="D79" s="122"/>
      <c r="E79" s="122"/>
      <c r="F79" s="122"/>
      <c r="G79" s="122"/>
      <c r="H79" s="37">
        <v>30</v>
      </c>
      <c r="I79" s="3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">
      <c r="A80" s="40"/>
      <c r="B80" s="159" t="s">
        <v>50</v>
      </c>
      <c r="C80" s="122"/>
      <c r="D80" s="122"/>
      <c r="E80" s="122"/>
      <c r="F80" s="122"/>
      <c r="G80" s="122"/>
      <c r="H80" s="41">
        <v>0.19</v>
      </c>
      <c r="I80" s="3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">
      <c r="A81" s="14" t="s">
        <v>8</v>
      </c>
      <c r="B81" s="121" t="s">
        <v>51</v>
      </c>
      <c r="C81" s="122"/>
      <c r="D81" s="122"/>
      <c r="E81" s="122"/>
      <c r="F81" s="122"/>
      <c r="G81" s="122"/>
      <c r="H81" s="122"/>
      <c r="I81" s="22"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34.5" customHeight="1" x14ac:dyDescent="0.2">
      <c r="A82" s="14" t="s">
        <v>10</v>
      </c>
      <c r="B82" s="121" t="s">
        <v>232</v>
      </c>
      <c r="C82" s="122"/>
      <c r="D82" s="122"/>
      <c r="E82" s="122"/>
      <c r="F82" s="122"/>
      <c r="G82" s="122"/>
      <c r="H82" s="123"/>
      <c r="I82" s="43">
        <f>24.1*2</f>
        <v>48.2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">
      <c r="A83" s="14" t="s">
        <v>22</v>
      </c>
      <c r="B83" s="161" t="s">
        <v>54</v>
      </c>
      <c r="C83" s="122"/>
      <c r="D83" s="122"/>
      <c r="E83" s="122"/>
      <c r="F83" s="122"/>
      <c r="G83" s="122"/>
      <c r="H83" s="122"/>
      <c r="I83" s="44" t="s">
        <v>49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">
      <c r="A84" s="45"/>
      <c r="B84" s="152" t="s">
        <v>25</v>
      </c>
      <c r="C84" s="122"/>
      <c r="D84" s="122"/>
      <c r="E84" s="122"/>
      <c r="F84" s="122"/>
      <c r="G84" s="122"/>
      <c r="H84" s="123"/>
      <c r="I84" s="28">
        <f>SUM(I72:I82)</f>
        <v>756.98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7.5" customHeight="1" x14ac:dyDescent="0.2">
      <c r="A85" s="133"/>
      <c r="B85" s="122"/>
      <c r="C85" s="122"/>
      <c r="D85" s="122"/>
      <c r="E85" s="122"/>
      <c r="F85" s="122"/>
      <c r="G85" s="122"/>
      <c r="H85" s="122"/>
      <c r="I85" s="12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36" customHeight="1" x14ac:dyDescent="0.2">
      <c r="A86" s="139" t="s">
        <v>55</v>
      </c>
      <c r="B86" s="122"/>
      <c r="C86" s="122"/>
      <c r="D86" s="122"/>
      <c r="E86" s="122"/>
      <c r="F86" s="122"/>
      <c r="G86" s="122"/>
      <c r="H86" s="122"/>
      <c r="I86" s="12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7.5" customHeight="1" x14ac:dyDescent="0.2">
      <c r="A87" s="166"/>
      <c r="B87" s="122"/>
      <c r="C87" s="122"/>
      <c r="D87" s="122"/>
      <c r="E87" s="122"/>
      <c r="F87" s="122"/>
      <c r="G87" s="122"/>
      <c r="H87" s="122"/>
      <c r="I87" s="12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1.75" customHeight="1" x14ac:dyDescent="0.2">
      <c r="A88" s="141" t="s">
        <v>56</v>
      </c>
      <c r="B88" s="122"/>
      <c r="C88" s="122"/>
      <c r="D88" s="122"/>
      <c r="E88" s="122"/>
      <c r="F88" s="122"/>
      <c r="G88" s="122"/>
      <c r="H88" s="122"/>
      <c r="I88" s="12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3.25" customHeight="1" x14ac:dyDescent="0.2">
      <c r="A89" s="19">
        <v>2</v>
      </c>
      <c r="B89" s="142" t="s">
        <v>57</v>
      </c>
      <c r="C89" s="122"/>
      <c r="D89" s="122"/>
      <c r="E89" s="122"/>
      <c r="F89" s="122"/>
      <c r="G89" s="122"/>
      <c r="H89" s="123"/>
      <c r="I89" s="19" t="s">
        <v>29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1.75" customHeight="1" x14ac:dyDescent="0.2">
      <c r="A90" s="3" t="s">
        <v>27</v>
      </c>
      <c r="B90" s="194" t="s">
        <v>136</v>
      </c>
      <c r="C90" s="122"/>
      <c r="D90" s="122"/>
      <c r="E90" s="122"/>
      <c r="F90" s="122"/>
      <c r="G90" s="122"/>
      <c r="H90" s="123"/>
      <c r="I90" s="15">
        <f>I52</f>
        <v>532.31999999999994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8" customHeight="1" x14ac:dyDescent="0.2">
      <c r="A91" s="3" t="s">
        <v>31</v>
      </c>
      <c r="B91" s="121" t="s">
        <v>32</v>
      </c>
      <c r="C91" s="122"/>
      <c r="D91" s="122"/>
      <c r="E91" s="122"/>
      <c r="F91" s="122"/>
      <c r="G91" s="122"/>
      <c r="H91" s="123"/>
      <c r="I91" s="15">
        <f>I66</f>
        <v>1921.0900000000001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1.75" customHeight="1" x14ac:dyDescent="0.2">
      <c r="A92" s="3" t="s">
        <v>47</v>
      </c>
      <c r="B92" s="121" t="s">
        <v>48</v>
      </c>
      <c r="C92" s="122"/>
      <c r="D92" s="122"/>
      <c r="E92" s="122"/>
      <c r="F92" s="122"/>
      <c r="G92" s="122"/>
      <c r="H92" s="123"/>
      <c r="I92" s="15">
        <f>I84</f>
        <v>756.98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.75" customHeight="1" x14ac:dyDescent="0.2">
      <c r="A93" s="144" t="s">
        <v>30</v>
      </c>
      <c r="B93" s="122"/>
      <c r="C93" s="122"/>
      <c r="D93" s="122"/>
      <c r="E93" s="122"/>
      <c r="F93" s="122"/>
      <c r="G93" s="122"/>
      <c r="H93" s="123"/>
      <c r="I93" s="46">
        <f>SUM(I90+I91+I92)</f>
        <v>3210.39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" customHeight="1" x14ac:dyDescent="0.2">
      <c r="A94" s="167"/>
      <c r="B94" s="122"/>
      <c r="C94" s="122"/>
      <c r="D94" s="122"/>
      <c r="E94" s="122"/>
      <c r="F94" s="122"/>
      <c r="G94" s="122"/>
      <c r="H94" s="122"/>
      <c r="I94" s="12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6.25" customHeight="1" x14ac:dyDescent="0.2">
      <c r="A95" s="148" t="s">
        <v>58</v>
      </c>
      <c r="B95" s="122"/>
      <c r="C95" s="122"/>
      <c r="D95" s="122"/>
      <c r="E95" s="122"/>
      <c r="F95" s="122"/>
      <c r="G95" s="122"/>
      <c r="H95" s="122"/>
      <c r="I95" s="12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8.5" customHeight="1" x14ac:dyDescent="0.2">
      <c r="A96" s="33">
        <v>3</v>
      </c>
      <c r="B96" s="162" t="s">
        <v>59</v>
      </c>
      <c r="C96" s="122"/>
      <c r="D96" s="122"/>
      <c r="E96" s="122"/>
      <c r="F96" s="122"/>
      <c r="G96" s="122"/>
      <c r="H96" s="123"/>
      <c r="I96" s="33" t="s">
        <v>60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45" customHeight="1" x14ac:dyDescent="0.2">
      <c r="A97" s="14" t="s">
        <v>4</v>
      </c>
      <c r="B97" s="121" t="s">
        <v>233</v>
      </c>
      <c r="C97" s="122"/>
      <c r="D97" s="122"/>
      <c r="E97" s="122"/>
      <c r="F97" s="122"/>
      <c r="G97" s="122"/>
      <c r="H97" s="123"/>
      <c r="I97" s="22">
        <f>ROUND((($I$40/12)+($I$50/12)+($I$40*0.121/12))*(30/30)*0.05,2)</f>
        <v>23.52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">
      <c r="A98" s="14" t="s">
        <v>6</v>
      </c>
      <c r="B98" s="161" t="s">
        <v>61</v>
      </c>
      <c r="C98" s="122"/>
      <c r="D98" s="122"/>
      <c r="E98" s="122"/>
      <c r="F98" s="122"/>
      <c r="G98" s="122"/>
      <c r="H98" s="123"/>
      <c r="I98" s="22">
        <f>ROUND($I$97*H65,2)</f>
        <v>1.88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x14ac:dyDescent="0.2">
      <c r="A99" s="14" t="s">
        <v>8</v>
      </c>
      <c r="B99" s="121" t="s">
        <v>234</v>
      </c>
      <c r="C99" s="122"/>
      <c r="D99" s="122"/>
      <c r="E99" s="122"/>
      <c r="F99" s="122"/>
      <c r="G99" s="122"/>
      <c r="H99" s="123"/>
      <c r="I99" s="22">
        <f>ROUND(((($I$40/30)*7)/$H$12)*1,2)</f>
        <v>91.16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">
      <c r="A100" s="14" t="s">
        <v>10</v>
      </c>
      <c r="B100" s="161" t="s">
        <v>62</v>
      </c>
      <c r="C100" s="122"/>
      <c r="D100" s="122"/>
      <c r="E100" s="122"/>
      <c r="F100" s="122"/>
      <c r="G100" s="122"/>
      <c r="H100" s="123"/>
      <c r="I100" s="22">
        <f>ROUND($H$66*I99,2)</f>
        <v>33.549999999999997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35.25" customHeight="1" x14ac:dyDescent="0.2">
      <c r="A101" s="14" t="s">
        <v>22</v>
      </c>
      <c r="B101" s="121" t="s">
        <v>235</v>
      </c>
      <c r="C101" s="122"/>
      <c r="D101" s="122"/>
      <c r="E101" s="122"/>
      <c r="F101" s="122"/>
      <c r="G101" s="123"/>
      <c r="H101" s="47">
        <v>0.04</v>
      </c>
      <c r="I101" s="22">
        <f>ROUND($I$40*H101,2)</f>
        <v>187.52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8.75" customHeight="1" x14ac:dyDescent="0.2">
      <c r="A102" s="152" t="s">
        <v>30</v>
      </c>
      <c r="B102" s="122"/>
      <c r="C102" s="122"/>
      <c r="D102" s="122"/>
      <c r="E102" s="122"/>
      <c r="F102" s="122"/>
      <c r="G102" s="122"/>
      <c r="H102" s="123"/>
      <c r="I102" s="28">
        <f>SUM(I97:I101)</f>
        <v>337.63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7.5" customHeight="1" x14ac:dyDescent="0.2">
      <c r="A103" s="133"/>
      <c r="B103" s="122"/>
      <c r="C103" s="122"/>
      <c r="D103" s="122"/>
      <c r="E103" s="122"/>
      <c r="F103" s="122"/>
      <c r="G103" s="122"/>
      <c r="H103" s="122"/>
      <c r="I103" s="1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36" customHeight="1" x14ac:dyDescent="0.2">
      <c r="A104" s="139" t="s">
        <v>63</v>
      </c>
      <c r="B104" s="122"/>
      <c r="C104" s="122"/>
      <c r="D104" s="122"/>
      <c r="E104" s="122"/>
      <c r="F104" s="122"/>
      <c r="G104" s="122"/>
      <c r="H104" s="122"/>
      <c r="I104" s="1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7.5" customHeight="1" x14ac:dyDescent="0.2">
      <c r="A105" s="166"/>
      <c r="B105" s="122"/>
      <c r="C105" s="122"/>
      <c r="D105" s="122"/>
      <c r="E105" s="122"/>
      <c r="F105" s="122"/>
      <c r="G105" s="122"/>
      <c r="H105" s="122"/>
      <c r="I105" s="12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3.25" customHeight="1" x14ac:dyDescent="0.2">
      <c r="A106" s="141" t="s">
        <v>64</v>
      </c>
      <c r="B106" s="122"/>
      <c r="C106" s="122"/>
      <c r="D106" s="122"/>
      <c r="E106" s="122"/>
      <c r="F106" s="122"/>
      <c r="G106" s="122"/>
      <c r="H106" s="122"/>
      <c r="I106" s="1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7" customHeight="1" x14ac:dyDescent="0.2">
      <c r="A107" s="139" t="s">
        <v>65</v>
      </c>
      <c r="B107" s="122"/>
      <c r="C107" s="122"/>
      <c r="D107" s="122"/>
      <c r="E107" s="122"/>
      <c r="F107" s="122"/>
      <c r="G107" s="122"/>
      <c r="H107" s="122"/>
      <c r="I107" s="12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72.75" customHeight="1" x14ac:dyDescent="0.2">
      <c r="A108" s="168" t="s">
        <v>236</v>
      </c>
      <c r="B108" s="122"/>
      <c r="C108" s="122"/>
      <c r="D108" s="122"/>
      <c r="E108" s="122"/>
      <c r="F108" s="122"/>
      <c r="G108" s="122"/>
      <c r="H108" s="122"/>
      <c r="I108" s="12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8.25" customHeight="1" x14ac:dyDescent="0.2">
      <c r="A109" s="169"/>
      <c r="B109" s="122"/>
      <c r="C109" s="122"/>
      <c r="D109" s="122"/>
      <c r="E109" s="122"/>
      <c r="F109" s="122"/>
      <c r="G109" s="122"/>
      <c r="H109" s="122"/>
      <c r="I109" s="12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57.75" x14ac:dyDescent="0.2">
      <c r="A110" s="48" t="s">
        <v>66</v>
      </c>
      <c r="B110" s="49">
        <f>I40</f>
        <v>4688.0300000000007</v>
      </c>
      <c r="C110" s="50"/>
      <c r="D110" s="48" t="s">
        <v>237</v>
      </c>
      <c r="E110" s="49">
        <f>I93-I72-I77+I114</f>
        <v>3083.6099999999997</v>
      </c>
      <c r="F110" s="51"/>
      <c r="G110" s="48" t="s">
        <v>67</v>
      </c>
      <c r="H110" s="49">
        <f>I102</f>
        <v>337.63</v>
      </c>
      <c r="I110" s="52">
        <f>B110+E110+H110</f>
        <v>8109.27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7.5" customHeight="1" x14ac:dyDescent="0.2">
      <c r="A111" s="170"/>
      <c r="B111" s="122"/>
      <c r="C111" s="122"/>
      <c r="D111" s="122"/>
      <c r="E111" s="122"/>
      <c r="F111" s="122"/>
      <c r="G111" s="122"/>
      <c r="H111" s="122"/>
      <c r="I111" s="12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2.5" customHeight="1" x14ac:dyDescent="0.2">
      <c r="A112" s="155" t="s">
        <v>68</v>
      </c>
      <c r="B112" s="122"/>
      <c r="C112" s="122"/>
      <c r="D112" s="122"/>
      <c r="E112" s="122"/>
      <c r="F112" s="122"/>
      <c r="G112" s="122"/>
      <c r="H112" s="122"/>
      <c r="I112" s="12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53" t="s">
        <v>69</v>
      </c>
      <c r="B113" s="162" t="s">
        <v>70</v>
      </c>
      <c r="C113" s="122"/>
      <c r="D113" s="122"/>
      <c r="E113" s="122"/>
      <c r="F113" s="122"/>
      <c r="G113" s="122"/>
      <c r="H113" s="123"/>
      <c r="I113" s="53" t="s">
        <v>29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53.25" customHeight="1" x14ac:dyDescent="0.2">
      <c r="A114" s="12" t="s">
        <v>4</v>
      </c>
      <c r="B114" s="121" t="s">
        <v>238</v>
      </c>
      <c r="C114" s="122"/>
      <c r="D114" s="122"/>
      <c r="E114" s="122"/>
      <c r="F114" s="122"/>
      <c r="G114" s="54">
        <v>9.0749999999999997E-2</v>
      </c>
      <c r="H114" s="55">
        <f>H66</f>
        <v>0.36800000000000005</v>
      </c>
      <c r="I114" s="22">
        <f>ROUND($B$110*G114+$B$110*G114*H114,2)</f>
        <v>582</v>
      </c>
      <c r="J114" s="1"/>
      <c r="K114" s="1"/>
      <c r="L114" s="5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5.5" customHeight="1" x14ac:dyDescent="0.2">
      <c r="A115" s="14" t="s">
        <v>6</v>
      </c>
      <c r="B115" s="121" t="s">
        <v>239</v>
      </c>
      <c r="C115" s="122"/>
      <c r="D115" s="122"/>
      <c r="E115" s="122"/>
      <c r="F115" s="122"/>
      <c r="G115" s="122"/>
      <c r="H115" s="123"/>
      <c r="I115" s="22">
        <f>ROUND((($I$110/30)*1)/12,2)</f>
        <v>22.53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7.75" customHeight="1" x14ac:dyDescent="0.2">
      <c r="A116" s="14" t="s">
        <v>8</v>
      </c>
      <c r="B116" s="121" t="s">
        <v>240</v>
      </c>
      <c r="C116" s="122"/>
      <c r="D116" s="122"/>
      <c r="E116" s="122"/>
      <c r="F116" s="122"/>
      <c r="G116" s="122"/>
      <c r="H116" s="123"/>
      <c r="I116" s="22">
        <f>ROUND((($I$110/30)*5)/12*0.015,2)</f>
        <v>1.69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9.25" customHeight="1" x14ac:dyDescent="0.2">
      <c r="A117" s="14" t="s">
        <v>10</v>
      </c>
      <c r="B117" s="121" t="s">
        <v>241</v>
      </c>
      <c r="C117" s="122"/>
      <c r="D117" s="122"/>
      <c r="E117" s="122"/>
      <c r="F117" s="122"/>
      <c r="G117" s="122"/>
      <c r="H117" s="123"/>
      <c r="I117" s="22">
        <f>ROUND(((($I$110/30)*0.97)/12),2)</f>
        <v>21.85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02.75" customHeight="1" x14ac:dyDescent="0.2">
      <c r="A118" s="14" t="s">
        <v>22</v>
      </c>
      <c r="B118" s="121" t="s">
        <v>242</v>
      </c>
      <c r="C118" s="122"/>
      <c r="D118" s="122"/>
      <c r="E118" s="122"/>
      <c r="F118" s="122"/>
      <c r="G118" s="122"/>
      <c r="H118" s="123"/>
      <c r="I118" s="22">
        <f>ROUND(((((B110*0.121)+(H66)*(B110*0.121))*(4/12)))*0.02,2)+ROUND(((H65*B110+H66*I50+I84-I72-I77+I102)*4/12)*0.02,2)</f>
        <v>11.2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51.75" customHeight="1" x14ac:dyDescent="0.2">
      <c r="A119" s="57" t="s">
        <v>23</v>
      </c>
      <c r="B119" s="121" t="s">
        <v>243</v>
      </c>
      <c r="C119" s="122"/>
      <c r="D119" s="122"/>
      <c r="E119" s="122"/>
      <c r="F119" s="122"/>
      <c r="G119" s="122"/>
      <c r="H119" s="123"/>
      <c r="I119" s="22">
        <f>ROUND(((($I$110/30)*3)/12),2)</f>
        <v>67.58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x14ac:dyDescent="0.2">
      <c r="A120" s="152" t="s">
        <v>30</v>
      </c>
      <c r="B120" s="122"/>
      <c r="C120" s="122"/>
      <c r="D120" s="122"/>
      <c r="E120" s="122"/>
      <c r="F120" s="122"/>
      <c r="G120" s="122"/>
      <c r="H120" s="123"/>
      <c r="I120" s="58">
        <f>SUM(I114:I119)</f>
        <v>706.85000000000014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9" customHeight="1" x14ac:dyDescent="0.2">
      <c r="A121" s="152"/>
      <c r="B121" s="122"/>
      <c r="C121" s="122"/>
      <c r="D121" s="122"/>
      <c r="E121" s="122"/>
      <c r="F121" s="122"/>
      <c r="G121" s="122"/>
      <c r="H121" s="122"/>
      <c r="I121" s="1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0.25" customHeight="1" x14ac:dyDescent="0.2">
      <c r="A122" s="156" t="s">
        <v>71</v>
      </c>
      <c r="B122" s="122"/>
      <c r="C122" s="122"/>
      <c r="D122" s="122"/>
      <c r="E122" s="122"/>
      <c r="F122" s="122"/>
      <c r="G122" s="122"/>
      <c r="H122" s="122"/>
      <c r="I122" s="1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5.5" customHeight="1" x14ac:dyDescent="0.2">
      <c r="A123" s="33" t="s">
        <v>72</v>
      </c>
      <c r="B123" s="162" t="s">
        <v>73</v>
      </c>
      <c r="C123" s="122"/>
      <c r="D123" s="122"/>
      <c r="E123" s="122"/>
      <c r="F123" s="122"/>
      <c r="G123" s="122"/>
      <c r="H123" s="123"/>
      <c r="I123" s="59" t="s">
        <v>29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 x14ac:dyDescent="0.2">
      <c r="A124" s="14" t="s">
        <v>4</v>
      </c>
      <c r="B124" s="161" t="s">
        <v>74</v>
      </c>
      <c r="C124" s="122"/>
      <c r="D124" s="122"/>
      <c r="E124" s="122"/>
      <c r="F124" s="122"/>
      <c r="G124" s="122"/>
      <c r="H124" s="123"/>
      <c r="I124" s="22"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">
      <c r="A125" s="171" t="s">
        <v>30</v>
      </c>
      <c r="B125" s="122"/>
      <c r="C125" s="122"/>
      <c r="D125" s="122"/>
      <c r="E125" s="122"/>
      <c r="F125" s="122"/>
      <c r="G125" s="122"/>
      <c r="H125" s="123"/>
      <c r="I125" s="22"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7.5" customHeight="1" x14ac:dyDescent="0.2">
      <c r="A126" s="172"/>
      <c r="B126" s="122"/>
      <c r="C126" s="122"/>
      <c r="D126" s="122"/>
      <c r="E126" s="122"/>
      <c r="F126" s="122"/>
      <c r="G126" s="122"/>
      <c r="H126" s="122"/>
      <c r="I126" s="12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3.25" customHeight="1" x14ac:dyDescent="0.2">
      <c r="A127" s="141" t="s">
        <v>75</v>
      </c>
      <c r="B127" s="122"/>
      <c r="C127" s="122"/>
      <c r="D127" s="122"/>
      <c r="E127" s="122"/>
      <c r="F127" s="122"/>
      <c r="G127" s="122"/>
      <c r="H127" s="122"/>
      <c r="I127" s="12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7" customHeight="1" x14ac:dyDescent="0.2">
      <c r="A128" s="19">
        <v>4</v>
      </c>
      <c r="B128" s="162" t="s">
        <v>76</v>
      </c>
      <c r="C128" s="122"/>
      <c r="D128" s="122"/>
      <c r="E128" s="122"/>
      <c r="F128" s="122"/>
      <c r="G128" s="122"/>
      <c r="H128" s="123"/>
      <c r="I128" s="59" t="s">
        <v>29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5" customHeight="1" x14ac:dyDescent="0.2">
      <c r="A129" s="3" t="s">
        <v>69</v>
      </c>
      <c r="B129" s="161" t="s">
        <v>70</v>
      </c>
      <c r="C129" s="122"/>
      <c r="D129" s="122"/>
      <c r="E129" s="122"/>
      <c r="F129" s="122"/>
      <c r="G129" s="122"/>
      <c r="H129" s="123"/>
      <c r="I129" s="22">
        <f>I120</f>
        <v>706.85000000000014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5" customHeight="1" x14ac:dyDescent="0.2">
      <c r="A130" s="3" t="s">
        <v>77</v>
      </c>
      <c r="B130" s="161" t="s">
        <v>73</v>
      </c>
      <c r="C130" s="122"/>
      <c r="D130" s="122"/>
      <c r="E130" s="122"/>
      <c r="F130" s="122"/>
      <c r="G130" s="122"/>
      <c r="H130" s="123"/>
      <c r="I130" s="22">
        <f>I125</f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2">
      <c r="A131" s="144" t="s">
        <v>30</v>
      </c>
      <c r="B131" s="122"/>
      <c r="C131" s="122"/>
      <c r="D131" s="122"/>
      <c r="E131" s="122"/>
      <c r="F131" s="122"/>
      <c r="G131" s="122"/>
      <c r="H131" s="123"/>
      <c r="I131" s="28">
        <f>SUM(I129+I130)</f>
        <v>706.85000000000014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9" customHeight="1" x14ac:dyDescent="0.2">
      <c r="A132" s="163"/>
      <c r="B132" s="122"/>
      <c r="C132" s="122"/>
      <c r="D132" s="122"/>
      <c r="E132" s="122"/>
      <c r="F132" s="122"/>
      <c r="G132" s="122"/>
      <c r="H132" s="122"/>
      <c r="I132" s="12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30" customHeight="1" x14ac:dyDescent="0.2">
      <c r="A133" s="141" t="s">
        <v>78</v>
      </c>
      <c r="B133" s="122"/>
      <c r="C133" s="122"/>
      <c r="D133" s="122"/>
      <c r="E133" s="122"/>
      <c r="F133" s="122"/>
      <c r="G133" s="122"/>
      <c r="H133" s="122"/>
      <c r="I133" s="12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5.5" customHeight="1" x14ac:dyDescent="0.2">
      <c r="A134" s="33">
        <v>5</v>
      </c>
      <c r="B134" s="142" t="s">
        <v>79</v>
      </c>
      <c r="C134" s="122"/>
      <c r="D134" s="122"/>
      <c r="E134" s="122"/>
      <c r="F134" s="122"/>
      <c r="G134" s="122"/>
      <c r="H134" s="123"/>
      <c r="I134" s="33" t="s">
        <v>29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x14ac:dyDescent="0.2">
      <c r="A135" s="81" t="s">
        <v>4</v>
      </c>
      <c r="B135" s="196" t="s">
        <v>244</v>
      </c>
      <c r="C135" s="122"/>
      <c r="D135" s="122"/>
      <c r="E135" s="122"/>
      <c r="F135" s="122"/>
      <c r="G135" s="122"/>
      <c r="H135" s="123"/>
      <c r="I135" s="75">
        <f>I191</f>
        <v>107.90333333333332</v>
      </c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</row>
    <row r="136" spans="1:29" ht="28.5" customHeight="1" x14ac:dyDescent="0.2">
      <c r="A136" s="81" t="s">
        <v>6</v>
      </c>
      <c r="B136" s="196" t="s">
        <v>245</v>
      </c>
      <c r="C136" s="122"/>
      <c r="D136" s="122"/>
      <c r="E136" s="122"/>
      <c r="F136" s="122"/>
      <c r="G136" s="122"/>
      <c r="H136" s="123"/>
      <c r="I136" s="82">
        <f>(I195+I201+I204)</f>
        <v>14.975722222222222</v>
      </c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</row>
    <row r="137" spans="1:29" ht="15.75" customHeight="1" x14ac:dyDescent="0.2">
      <c r="A137" s="81" t="s">
        <v>8</v>
      </c>
      <c r="B137" s="196" t="s">
        <v>165</v>
      </c>
      <c r="C137" s="122"/>
      <c r="D137" s="122"/>
      <c r="E137" s="122"/>
      <c r="F137" s="122"/>
      <c r="G137" s="122"/>
      <c r="H137" s="123"/>
      <c r="I137" s="82" t="s">
        <v>166</v>
      </c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</row>
    <row r="138" spans="1:29" ht="15.75" customHeight="1" x14ac:dyDescent="0.2">
      <c r="A138" s="14" t="s">
        <v>10</v>
      </c>
      <c r="B138" s="121" t="s">
        <v>80</v>
      </c>
      <c r="C138" s="122"/>
      <c r="D138" s="122"/>
      <c r="E138" s="122"/>
      <c r="F138" s="122"/>
      <c r="G138" s="122"/>
      <c r="H138" s="123"/>
      <c r="I138" s="43"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">
      <c r="A139" s="152" t="s">
        <v>25</v>
      </c>
      <c r="B139" s="122"/>
      <c r="C139" s="122"/>
      <c r="D139" s="122"/>
      <c r="E139" s="122"/>
      <c r="F139" s="122"/>
      <c r="G139" s="122"/>
      <c r="H139" s="123"/>
      <c r="I139" s="46">
        <f>SUM(I135:I138)</f>
        <v>122.87905555555554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8.25" customHeight="1" x14ac:dyDescent="0.2">
      <c r="A140" s="164"/>
      <c r="B140" s="122"/>
      <c r="C140" s="122"/>
      <c r="D140" s="122"/>
      <c r="E140" s="122"/>
      <c r="F140" s="122"/>
      <c r="G140" s="122"/>
      <c r="H140" s="122"/>
      <c r="I140" s="12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2">
      <c r="A141" s="165"/>
      <c r="B141" s="122"/>
      <c r="C141" s="122"/>
      <c r="D141" s="122"/>
      <c r="E141" s="122"/>
      <c r="F141" s="122"/>
      <c r="G141" s="122"/>
      <c r="H141" s="122"/>
      <c r="I141" s="12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8.25" customHeight="1" x14ac:dyDescent="0.2">
      <c r="A142" s="60"/>
      <c r="B142" s="61"/>
      <c r="C142" s="61"/>
      <c r="D142" s="61"/>
      <c r="E142" s="61"/>
      <c r="F142" s="61"/>
      <c r="G142" s="61"/>
      <c r="H142" s="61"/>
      <c r="I142" s="6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9.25" customHeight="1" x14ac:dyDescent="0.2">
      <c r="A143" s="148" t="s">
        <v>81</v>
      </c>
      <c r="B143" s="122"/>
      <c r="C143" s="122"/>
      <c r="D143" s="122"/>
      <c r="E143" s="122"/>
      <c r="F143" s="122"/>
      <c r="G143" s="122"/>
      <c r="H143" s="122"/>
      <c r="I143" s="12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32.25" customHeight="1" x14ac:dyDescent="0.2">
      <c r="A144" s="33">
        <v>6</v>
      </c>
      <c r="B144" s="162" t="s">
        <v>82</v>
      </c>
      <c r="C144" s="122"/>
      <c r="D144" s="122"/>
      <c r="E144" s="122"/>
      <c r="F144" s="122"/>
      <c r="G144" s="123"/>
      <c r="H144" s="19" t="s">
        <v>33</v>
      </c>
      <c r="I144" s="63" t="s">
        <v>83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52.5" customHeight="1" x14ac:dyDescent="0.2">
      <c r="A145" s="151" t="s">
        <v>167</v>
      </c>
      <c r="B145" s="122"/>
      <c r="C145" s="122"/>
      <c r="D145" s="122"/>
      <c r="E145" s="122"/>
      <c r="F145" s="122"/>
      <c r="G145" s="123"/>
      <c r="H145" s="64" t="s">
        <v>49</v>
      </c>
      <c r="I145" s="65">
        <f>SUM(I44+I93+I102+I131+I139)</f>
        <v>9269.4090555555558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">
      <c r="A146" s="66" t="s">
        <v>4</v>
      </c>
      <c r="B146" s="148" t="s">
        <v>84</v>
      </c>
      <c r="C146" s="122"/>
      <c r="D146" s="122"/>
      <c r="E146" s="122"/>
      <c r="F146" s="122"/>
      <c r="G146" s="123"/>
      <c r="H146" s="21">
        <v>0.05</v>
      </c>
      <c r="I146" s="22">
        <f>ROUND(H146*I145,2)</f>
        <v>463.47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55.5" customHeight="1" x14ac:dyDescent="0.2">
      <c r="A147" s="210" t="s">
        <v>168</v>
      </c>
      <c r="B147" s="122"/>
      <c r="C147" s="122"/>
      <c r="D147" s="122"/>
      <c r="E147" s="122"/>
      <c r="F147" s="122"/>
      <c r="G147" s="123"/>
      <c r="H147" s="67" t="s">
        <v>49</v>
      </c>
      <c r="I147" s="65">
        <f>SUM(I44+I93+I102+I131+I139+I146)</f>
        <v>9732.8790555555552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">
      <c r="A148" s="66" t="s">
        <v>6</v>
      </c>
      <c r="B148" s="148" t="s">
        <v>85</v>
      </c>
      <c r="C148" s="122"/>
      <c r="D148" s="122"/>
      <c r="E148" s="122"/>
      <c r="F148" s="122"/>
      <c r="G148" s="123"/>
      <c r="H148" s="21">
        <v>0.1</v>
      </c>
      <c r="I148" s="22">
        <f>ROUND(H148*I147,2)</f>
        <v>973.29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57.75" customHeight="1" x14ac:dyDescent="0.2">
      <c r="A149" s="210" t="s">
        <v>169</v>
      </c>
      <c r="B149" s="122"/>
      <c r="C149" s="122"/>
      <c r="D149" s="122"/>
      <c r="E149" s="122"/>
      <c r="F149" s="122"/>
      <c r="G149" s="123"/>
      <c r="H149" s="67" t="s">
        <v>49</v>
      </c>
      <c r="I149" s="65">
        <f>SUM(I145+I146+I148)</f>
        <v>10706.169055555554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">
      <c r="A150" s="66" t="s">
        <v>8</v>
      </c>
      <c r="B150" s="148" t="s">
        <v>87</v>
      </c>
      <c r="C150" s="122"/>
      <c r="D150" s="122"/>
      <c r="E150" s="122"/>
      <c r="F150" s="122"/>
      <c r="G150" s="123"/>
      <c r="H150" s="10" t="s">
        <v>49</v>
      </c>
      <c r="I150" s="35" t="s">
        <v>49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">
      <c r="A151" s="14"/>
      <c r="B151" s="148" t="s">
        <v>88</v>
      </c>
      <c r="C151" s="122"/>
      <c r="D151" s="122"/>
      <c r="E151" s="122"/>
      <c r="F151" s="122"/>
      <c r="G151" s="123"/>
      <c r="H151" s="10" t="s">
        <v>49</v>
      </c>
      <c r="I151" s="35" t="s">
        <v>49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37.5" customHeight="1" x14ac:dyDescent="0.2">
      <c r="A152" s="14"/>
      <c r="B152" s="211" t="s">
        <v>246</v>
      </c>
      <c r="C152" s="122"/>
      <c r="D152" s="122"/>
      <c r="E152" s="122"/>
      <c r="F152" s="122"/>
      <c r="G152" s="123"/>
      <c r="H152" s="68">
        <v>7.5999999999999998E-2</v>
      </c>
      <c r="I152" s="22">
        <f t="shared" ref="I152:I153" si="3">ROUND(($I$149/(1-$H$161))*H152,2)</f>
        <v>916.81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37.5" customHeight="1" x14ac:dyDescent="0.2">
      <c r="A153" s="14"/>
      <c r="B153" s="211" t="s">
        <v>247</v>
      </c>
      <c r="C153" s="122"/>
      <c r="D153" s="122"/>
      <c r="E153" s="122"/>
      <c r="F153" s="122"/>
      <c r="G153" s="123"/>
      <c r="H153" s="68">
        <v>1.6500000000000001E-2</v>
      </c>
      <c r="I153" s="22">
        <f t="shared" si="3"/>
        <v>199.04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7" customHeight="1" x14ac:dyDescent="0.2">
      <c r="A154" s="14"/>
      <c r="B154" s="141" t="s">
        <v>248</v>
      </c>
      <c r="C154" s="122"/>
      <c r="D154" s="122"/>
      <c r="E154" s="122"/>
      <c r="F154" s="122"/>
      <c r="G154" s="123"/>
      <c r="H154" s="69" t="s">
        <v>49</v>
      </c>
      <c r="I154" s="35" t="s">
        <v>49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7" customHeight="1" x14ac:dyDescent="0.2">
      <c r="A155" s="14"/>
      <c r="B155" s="141" t="s">
        <v>249</v>
      </c>
      <c r="C155" s="122"/>
      <c r="D155" s="122"/>
      <c r="E155" s="122"/>
      <c r="F155" s="122"/>
      <c r="G155" s="123"/>
      <c r="H155" s="69" t="s">
        <v>49</v>
      </c>
      <c r="I155" s="35" t="s">
        <v>49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" customHeight="1" x14ac:dyDescent="0.2">
      <c r="A156" s="14"/>
      <c r="B156" s="175" t="s">
        <v>89</v>
      </c>
      <c r="C156" s="122"/>
      <c r="D156" s="122"/>
      <c r="E156" s="122"/>
      <c r="F156" s="122"/>
      <c r="G156" s="122"/>
      <c r="H156" s="69" t="s">
        <v>49</v>
      </c>
      <c r="I156" s="35" t="s">
        <v>49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8" customHeight="1" x14ac:dyDescent="0.2">
      <c r="A157" s="14"/>
      <c r="B157" s="141" t="s">
        <v>90</v>
      </c>
      <c r="C157" s="122"/>
      <c r="D157" s="122"/>
      <c r="E157" s="122"/>
      <c r="F157" s="122"/>
      <c r="G157" s="122"/>
      <c r="H157" s="69" t="s">
        <v>49</v>
      </c>
      <c r="I157" s="35" t="s">
        <v>49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x14ac:dyDescent="0.2">
      <c r="A158" s="14"/>
      <c r="B158" s="174" t="s">
        <v>250</v>
      </c>
      <c r="C158" s="122"/>
      <c r="D158" s="122"/>
      <c r="E158" s="122"/>
      <c r="F158" s="122"/>
      <c r="G158" s="123"/>
      <c r="H158" s="68">
        <v>0.02</v>
      </c>
      <c r="I158" s="22">
        <f>ROUND(($I$149/(1-$H$161))*H158,2)</f>
        <v>241.27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">
      <c r="A159" s="152" t="s">
        <v>30</v>
      </c>
      <c r="B159" s="122"/>
      <c r="C159" s="122"/>
      <c r="D159" s="122"/>
      <c r="E159" s="122"/>
      <c r="F159" s="122"/>
      <c r="G159" s="122"/>
      <c r="H159" s="123"/>
      <c r="I159" s="28">
        <f>SUM(I146+I148+I152+I153+I158)</f>
        <v>2793.8799999999997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6.75" customHeight="1" x14ac:dyDescent="0.2">
      <c r="A160" s="163"/>
      <c r="B160" s="122"/>
      <c r="C160" s="122"/>
      <c r="D160" s="122"/>
      <c r="E160" s="122"/>
      <c r="F160" s="122"/>
      <c r="G160" s="122"/>
      <c r="H160" s="122"/>
      <c r="I160" s="12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">
      <c r="A161" s="178" t="s">
        <v>91</v>
      </c>
      <c r="B161" s="122"/>
      <c r="C161" s="122"/>
      <c r="D161" s="122"/>
      <c r="E161" s="122"/>
      <c r="F161" s="122"/>
      <c r="G161" s="123"/>
      <c r="H161" s="70">
        <f t="shared" ref="H161:I161" si="4">SUM(H152:H158)</f>
        <v>0.1125</v>
      </c>
      <c r="I161" s="65">
        <f t="shared" si="4"/>
        <v>1357.12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79" t="s">
        <v>92</v>
      </c>
      <c r="B162" s="120"/>
      <c r="C162" s="176" t="s">
        <v>93</v>
      </c>
      <c r="D162" s="120"/>
      <c r="E162" s="120"/>
      <c r="F162" s="120"/>
      <c r="G162" s="120"/>
      <c r="H162" s="120"/>
      <c r="I162" s="12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" customHeight="1" x14ac:dyDescent="0.2">
      <c r="A163" s="180"/>
      <c r="B163" s="120"/>
      <c r="C163" s="176" t="s">
        <v>94</v>
      </c>
      <c r="D163" s="120"/>
      <c r="E163" s="120"/>
      <c r="F163" s="120"/>
      <c r="G163" s="120"/>
      <c r="H163" s="120"/>
      <c r="I163" s="12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 x14ac:dyDescent="0.2">
      <c r="A164" s="173"/>
      <c r="B164" s="131"/>
      <c r="C164" s="177" t="s">
        <v>95</v>
      </c>
      <c r="D164" s="131"/>
      <c r="E164" s="131"/>
      <c r="F164" s="131"/>
      <c r="G164" s="131"/>
      <c r="H164" s="131"/>
      <c r="I164" s="13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6.75" customHeight="1" x14ac:dyDescent="0.2">
      <c r="A165" s="181"/>
      <c r="B165" s="122"/>
      <c r="C165" s="122"/>
      <c r="D165" s="122"/>
      <c r="E165" s="122"/>
      <c r="F165" s="122"/>
      <c r="G165" s="122"/>
      <c r="H165" s="122"/>
      <c r="I165" s="12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5.5" customHeight="1" x14ac:dyDescent="0.2">
      <c r="A166" s="139" t="s">
        <v>96</v>
      </c>
      <c r="B166" s="122"/>
      <c r="C166" s="122"/>
      <c r="D166" s="122"/>
      <c r="E166" s="122"/>
      <c r="F166" s="122"/>
      <c r="G166" s="122"/>
      <c r="H166" s="122"/>
      <c r="I166" s="12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0.5" customHeight="1" x14ac:dyDescent="0.2">
      <c r="A167" s="163"/>
      <c r="B167" s="122"/>
      <c r="C167" s="122"/>
      <c r="D167" s="122"/>
      <c r="E167" s="122"/>
      <c r="F167" s="122"/>
      <c r="G167" s="122"/>
      <c r="H167" s="122"/>
      <c r="I167" s="12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x14ac:dyDescent="0.25">
      <c r="A168" s="199" t="s">
        <v>251</v>
      </c>
      <c r="B168" s="122"/>
      <c r="C168" s="122"/>
      <c r="D168" s="122"/>
      <c r="E168" s="122"/>
      <c r="F168" s="122"/>
      <c r="G168" s="122"/>
      <c r="H168" s="122"/>
      <c r="I168" s="123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</row>
    <row r="169" spans="1:29" ht="12" customHeight="1" x14ac:dyDescent="0.25">
      <c r="A169" s="197" t="s">
        <v>176</v>
      </c>
      <c r="B169" s="122"/>
      <c r="C169" s="122"/>
      <c r="D169" s="122"/>
      <c r="E169" s="122"/>
      <c r="F169" s="122"/>
      <c r="G169" s="122"/>
      <c r="H169" s="123"/>
      <c r="I169" s="83" t="s">
        <v>29</v>
      </c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</row>
    <row r="170" spans="1:29" ht="12" customHeight="1" x14ac:dyDescent="0.2">
      <c r="A170" s="84" t="s">
        <v>4</v>
      </c>
      <c r="B170" s="200" t="s">
        <v>177</v>
      </c>
      <c r="C170" s="122"/>
      <c r="D170" s="122"/>
      <c r="E170" s="122"/>
      <c r="F170" s="122"/>
      <c r="G170" s="122"/>
      <c r="H170" s="122"/>
      <c r="I170" s="82">
        <f>I44</f>
        <v>4891.6600000000008</v>
      </c>
      <c r="J170" s="71"/>
      <c r="K170" s="85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</row>
    <row r="171" spans="1:29" ht="12" customHeight="1" x14ac:dyDescent="0.2">
      <c r="A171" s="84" t="s">
        <v>6</v>
      </c>
      <c r="B171" s="200" t="s">
        <v>26</v>
      </c>
      <c r="C171" s="122"/>
      <c r="D171" s="122"/>
      <c r="E171" s="122"/>
      <c r="F171" s="122"/>
      <c r="G171" s="122"/>
      <c r="H171" s="122"/>
      <c r="I171" s="82">
        <f>I93</f>
        <v>3210.39</v>
      </c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</row>
    <row r="172" spans="1:29" ht="12" customHeight="1" x14ac:dyDescent="0.2">
      <c r="A172" s="84" t="s">
        <v>8</v>
      </c>
      <c r="B172" s="200" t="s">
        <v>98</v>
      </c>
      <c r="C172" s="122"/>
      <c r="D172" s="122"/>
      <c r="E172" s="122"/>
      <c r="F172" s="122"/>
      <c r="G172" s="122"/>
      <c r="H172" s="122"/>
      <c r="I172" s="82">
        <f>I102</f>
        <v>337.63</v>
      </c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</row>
    <row r="173" spans="1:29" ht="12" customHeight="1" x14ac:dyDescent="0.2">
      <c r="A173" s="84" t="s">
        <v>10</v>
      </c>
      <c r="B173" s="200" t="s">
        <v>99</v>
      </c>
      <c r="C173" s="122"/>
      <c r="D173" s="122"/>
      <c r="E173" s="122"/>
      <c r="F173" s="122"/>
      <c r="G173" s="122"/>
      <c r="H173" s="122"/>
      <c r="I173" s="82">
        <f>I131</f>
        <v>706.85000000000014</v>
      </c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</row>
    <row r="174" spans="1:29" ht="12" customHeight="1" x14ac:dyDescent="0.2">
      <c r="A174" s="84" t="s">
        <v>22</v>
      </c>
      <c r="B174" s="200" t="s">
        <v>178</v>
      </c>
      <c r="C174" s="122"/>
      <c r="D174" s="122"/>
      <c r="E174" s="122"/>
      <c r="F174" s="122"/>
      <c r="G174" s="122"/>
      <c r="H174" s="122"/>
      <c r="I174" s="82">
        <f>I139</f>
        <v>122.87905555555554</v>
      </c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</row>
    <row r="175" spans="1:29" ht="12" customHeight="1" x14ac:dyDescent="0.2">
      <c r="A175" s="212" t="s">
        <v>100</v>
      </c>
      <c r="B175" s="122"/>
      <c r="C175" s="122"/>
      <c r="D175" s="122"/>
      <c r="E175" s="122"/>
      <c r="F175" s="122"/>
      <c r="G175" s="122"/>
      <c r="H175" s="122"/>
      <c r="I175" s="86">
        <f>SUM(I170:I174)</f>
        <v>9269.4090555555558</v>
      </c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</row>
    <row r="176" spans="1:29" ht="12" customHeight="1" x14ac:dyDescent="0.2">
      <c r="A176" s="87" t="s">
        <v>23</v>
      </c>
      <c r="B176" s="200" t="s">
        <v>101</v>
      </c>
      <c r="C176" s="122"/>
      <c r="D176" s="122"/>
      <c r="E176" s="122"/>
      <c r="F176" s="122"/>
      <c r="G176" s="122"/>
      <c r="H176" s="122"/>
      <c r="I176" s="110">
        <f>I159</f>
        <v>2793.8799999999997</v>
      </c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</row>
    <row r="177" spans="1:29" ht="12" customHeight="1" x14ac:dyDescent="0.25">
      <c r="A177" s="213" t="s">
        <v>179</v>
      </c>
      <c r="B177" s="122"/>
      <c r="C177" s="122"/>
      <c r="D177" s="122"/>
      <c r="E177" s="122"/>
      <c r="F177" s="122"/>
      <c r="G177" s="122"/>
      <c r="H177" s="122"/>
      <c r="I177" s="86">
        <f>I175+I176</f>
        <v>12063.289055555555</v>
      </c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</row>
    <row r="178" spans="1:29" ht="12" customHeight="1" x14ac:dyDescent="0.2">
      <c r="A178" s="201"/>
      <c r="B178" s="122"/>
      <c r="C178" s="122"/>
      <c r="D178" s="122"/>
      <c r="E178" s="122"/>
      <c r="F178" s="122"/>
      <c r="G178" s="122"/>
      <c r="H178" s="122"/>
      <c r="I178" s="123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</row>
    <row r="179" spans="1:29" ht="12" customHeight="1" x14ac:dyDescent="0.2">
      <c r="A179" s="202"/>
      <c r="B179" s="122"/>
      <c r="C179" s="122"/>
      <c r="D179" s="122"/>
      <c r="E179" s="122"/>
      <c r="F179" s="122"/>
      <c r="G179" s="122"/>
      <c r="H179" s="122"/>
      <c r="I179" s="123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</row>
    <row r="180" spans="1:29" ht="12" customHeight="1" x14ac:dyDescent="0.2">
      <c r="A180" s="203" t="s">
        <v>180</v>
      </c>
      <c r="B180" s="122"/>
      <c r="C180" s="122"/>
      <c r="D180" s="122"/>
      <c r="E180" s="122"/>
      <c r="F180" s="122"/>
      <c r="G180" s="122"/>
      <c r="H180" s="122"/>
      <c r="I180" s="123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</row>
    <row r="181" spans="1:29" ht="12" customHeight="1" x14ac:dyDescent="0.2">
      <c r="A181" s="185" t="s">
        <v>106</v>
      </c>
      <c r="B181" s="122"/>
      <c r="C181" s="122"/>
      <c r="D181" s="122"/>
      <c r="E181" s="122"/>
      <c r="F181" s="122"/>
      <c r="G181" s="204" t="s">
        <v>107</v>
      </c>
      <c r="H181" s="122"/>
      <c r="I181" s="123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</row>
    <row r="182" spans="1:29" ht="12" customHeight="1" x14ac:dyDescent="0.2">
      <c r="A182" s="205" t="s">
        <v>181</v>
      </c>
      <c r="B182" s="122"/>
      <c r="C182" s="122"/>
      <c r="D182" s="122"/>
      <c r="E182" s="122"/>
      <c r="F182" s="123"/>
      <c r="G182" s="89"/>
      <c r="H182" s="89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</row>
    <row r="183" spans="1:29" ht="48" x14ac:dyDescent="0.2">
      <c r="A183" s="205" t="s">
        <v>182</v>
      </c>
      <c r="B183" s="122"/>
      <c r="C183" s="122"/>
      <c r="D183" s="122"/>
      <c r="E183" s="122"/>
      <c r="F183" s="123"/>
      <c r="G183" s="90" t="s">
        <v>183</v>
      </c>
      <c r="H183" s="77" t="s">
        <v>184</v>
      </c>
      <c r="I183" s="91" t="s">
        <v>185</v>
      </c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</row>
    <row r="184" spans="1:29" ht="12" customHeight="1" x14ac:dyDescent="0.2">
      <c r="A184" s="206" t="s">
        <v>186</v>
      </c>
      <c r="B184" s="122"/>
      <c r="C184" s="122"/>
      <c r="D184" s="122"/>
      <c r="E184" s="122"/>
      <c r="F184" s="123"/>
      <c r="G184" s="92">
        <v>2</v>
      </c>
      <c r="H184" s="93">
        <v>92.54</v>
      </c>
      <c r="I184" s="94">
        <f t="shared" ref="I184:I188" si="5">H184*G184</f>
        <v>185.08</v>
      </c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</row>
    <row r="185" spans="1:29" ht="12" customHeight="1" x14ac:dyDescent="0.2">
      <c r="A185" s="206" t="s">
        <v>187</v>
      </c>
      <c r="B185" s="122"/>
      <c r="C185" s="122"/>
      <c r="D185" s="122"/>
      <c r="E185" s="122"/>
      <c r="F185" s="123"/>
      <c r="G185" s="95">
        <v>1</v>
      </c>
      <c r="H185" s="93">
        <v>158.96</v>
      </c>
      <c r="I185" s="94">
        <f t="shared" si="5"/>
        <v>158.96</v>
      </c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</row>
    <row r="186" spans="1:29" ht="12" customHeight="1" x14ac:dyDescent="0.2">
      <c r="A186" s="207" t="s">
        <v>188</v>
      </c>
      <c r="B186" s="122"/>
      <c r="C186" s="122"/>
      <c r="D186" s="122"/>
      <c r="E186" s="122"/>
      <c r="F186" s="123"/>
      <c r="G186" s="92">
        <v>2</v>
      </c>
      <c r="H186" s="93">
        <v>62.8</v>
      </c>
      <c r="I186" s="94">
        <f t="shared" si="5"/>
        <v>125.6</v>
      </c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</row>
    <row r="187" spans="1:29" ht="12" customHeight="1" x14ac:dyDescent="0.2">
      <c r="A187" s="206" t="s">
        <v>189</v>
      </c>
      <c r="B187" s="122"/>
      <c r="C187" s="122"/>
      <c r="D187" s="122"/>
      <c r="E187" s="122"/>
      <c r="F187" s="123"/>
      <c r="G187" s="92">
        <v>1</v>
      </c>
      <c r="H187" s="93">
        <v>168.77</v>
      </c>
      <c r="I187" s="94">
        <f t="shared" si="5"/>
        <v>168.77</v>
      </c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</row>
    <row r="188" spans="1:29" ht="12" customHeight="1" x14ac:dyDescent="0.2">
      <c r="A188" s="206" t="s">
        <v>190</v>
      </c>
      <c r="B188" s="122"/>
      <c r="C188" s="122"/>
      <c r="D188" s="122"/>
      <c r="E188" s="122"/>
      <c r="F188" s="123"/>
      <c r="G188" s="92">
        <v>1</v>
      </c>
      <c r="H188" s="93">
        <v>9.01</v>
      </c>
      <c r="I188" s="94">
        <f t="shared" si="5"/>
        <v>9.01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</row>
    <row r="189" spans="1:29" ht="12" customHeight="1" x14ac:dyDescent="0.2">
      <c r="A189" s="205" t="s">
        <v>191</v>
      </c>
      <c r="B189" s="122"/>
      <c r="C189" s="122"/>
      <c r="D189" s="122"/>
      <c r="E189" s="122"/>
      <c r="F189" s="123"/>
      <c r="G189" s="89"/>
      <c r="H189" s="96"/>
      <c r="I189" s="97">
        <f>SUM(I184:I188)</f>
        <v>647.41999999999996</v>
      </c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</row>
    <row r="190" spans="1:29" ht="12" customHeight="1" x14ac:dyDescent="0.2">
      <c r="A190" s="208" t="s">
        <v>192</v>
      </c>
      <c r="B190" s="122"/>
      <c r="C190" s="122"/>
      <c r="D190" s="122"/>
      <c r="E190" s="122"/>
      <c r="F190" s="123"/>
      <c r="G190" s="98"/>
      <c r="H190" s="96"/>
      <c r="I190" s="97">
        <f>I189/12</f>
        <v>53.951666666666661</v>
      </c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</row>
    <row r="191" spans="1:29" ht="12" customHeight="1" x14ac:dyDescent="0.2">
      <c r="A191" s="208" t="s">
        <v>193</v>
      </c>
      <c r="B191" s="122"/>
      <c r="C191" s="122"/>
      <c r="D191" s="122"/>
      <c r="E191" s="122"/>
      <c r="F191" s="123"/>
      <c r="G191" s="89"/>
      <c r="H191" s="96"/>
      <c r="I191" s="99">
        <f>I190*2</f>
        <v>107.90333333333332</v>
      </c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</row>
    <row r="192" spans="1:29" ht="12" customHeight="1" x14ac:dyDescent="0.2">
      <c r="A192" s="205" t="s">
        <v>194</v>
      </c>
      <c r="B192" s="122"/>
      <c r="C192" s="122"/>
      <c r="D192" s="122"/>
      <c r="E192" s="122"/>
      <c r="F192" s="123"/>
      <c r="G192" s="89"/>
      <c r="H192" s="96"/>
      <c r="I192" s="100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</row>
    <row r="193" spans="1:29" ht="36" x14ac:dyDescent="0.2">
      <c r="A193" s="205" t="s">
        <v>182</v>
      </c>
      <c r="B193" s="122"/>
      <c r="C193" s="122"/>
      <c r="D193" s="122"/>
      <c r="E193" s="122"/>
      <c r="F193" s="123"/>
      <c r="G193" s="90" t="s">
        <v>195</v>
      </c>
      <c r="H193" s="77" t="s">
        <v>184</v>
      </c>
      <c r="I193" s="91" t="s">
        <v>185</v>
      </c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</row>
    <row r="194" spans="1:29" ht="12.75" x14ac:dyDescent="0.2">
      <c r="A194" s="206" t="s">
        <v>196</v>
      </c>
      <c r="B194" s="122"/>
      <c r="C194" s="122"/>
      <c r="D194" s="122"/>
      <c r="E194" s="122"/>
      <c r="F194" s="123"/>
      <c r="G194" s="92">
        <v>1</v>
      </c>
      <c r="H194" s="93">
        <v>1745.23</v>
      </c>
      <c r="I194" s="94">
        <f>(H194/60)/3</f>
        <v>9.6957222222222228</v>
      </c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</row>
    <row r="195" spans="1:29" ht="12" customHeight="1" x14ac:dyDescent="0.2">
      <c r="A195" s="208" t="s">
        <v>193</v>
      </c>
      <c r="B195" s="122"/>
      <c r="C195" s="122"/>
      <c r="D195" s="122"/>
      <c r="E195" s="122"/>
      <c r="F195" s="123"/>
      <c r="G195" s="89"/>
      <c r="H195" s="96"/>
      <c r="I195" s="101">
        <f>SUM(I194)</f>
        <v>9.6957222222222228</v>
      </c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</row>
    <row r="196" spans="1:29" ht="12" customHeight="1" x14ac:dyDescent="0.2">
      <c r="A196" s="208"/>
      <c r="B196" s="122"/>
      <c r="C196" s="122"/>
      <c r="D196" s="122"/>
      <c r="E196" s="122"/>
      <c r="F196" s="123"/>
      <c r="G196" s="102"/>
      <c r="H196" s="96"/>
      <c r="I196" s="10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</row>
    <row r="197" spans="1:29" ht="12" customHeight="1" x14ac:dyDescent="0.2">
      <c r="A197" s="103"/>
      <c r="B197" s="104"/>
      <c r="C197" s="104"/>
      <c r="D197" s="105"/>
      <c r="E197" s="105"/>
      <c r="F197" s="106" t="s">
        <v>197</v>
      </c>
      <c r="G197" s="102"/>
      <c r="H197" s="96"/>
      <c r="I197" s="107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</row>
    <row r="198" spans="1:29" ht="12" customHeight="1" x14ac:dyDescent="0.2">
      <c r="A198" s="205" t="s">
        <v>198</v>
      </c>
      <c r="B198" s="122"/>
      <c r="C198" s="122"/>
      <c r="D198" s="122"/>
      <c r="E198" s="122"/>
      <c r="F198" s="123"/>
      <c r="G198" s="102"/>
      <c r="H198" s="96"/>
      <c r="I198" s="107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</row>
    <row r="199" spans="1:29" ht="36" x14ac:dyDescent="0.2">
      <c r="A199" s="205" t="s">
        <v>182</v>
      </c>
      <c r="B199" s="122"/>
      <c r="C199" s="122"/>
      <c r="D199" s="122"/>
      <c r="E199" s="122"/>
      <c r="F199" s="123"/>
      <c r="G199" s="108" t="s">
        <v>252</v>
      </c>
      <c r="H199" s="77" t="s">
        <v>184</v>
      </c>
      <c r="I199" s="91" t="s">
        <v>185</v>
      </c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</row>
    <row r="200" spans="1:29" ht="12" customHeight="1" x14ac:dyDescent="0.2">
      <c r="A200" s="206" t="s">
        <v>253</v>
      </c>
      <c r="B200" s="122"/>
      <c r="C200" s="122"/>
      <c r="D200" s="122"/>
      <c r="E200" s="122"/>
      <c r="F200" s="123"/>
      <c r="G200" s="95">
        <v>1</v>
      </c>
      <c r="H200" s="93">
        <v>44.77</v>
      </c>
      <c r="I200" s="94">
        <f>(H200*G200)/12</f>
        <v>3.7308333333333334</v>
      </c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</row>
    <row r="201" spans="1:29" ht="12" customHeight="1" x14ac:dyDescent="0.2">
      <c r="A201" s="208" t="s">
        <v>193</v>
      </c>
      <c r="B201" s="122"/>
      <c r="C201" s="122"/>
      <c r="D201" s="122"/>
      <c r="E201" s="122"/>
      <c r="F201" s="123"/>
      <c r="G201" s="102"/>
      <c r="H201" s="111"/>
      <c r="I201" s="97">
        <f>SUM(I200)</f>
        <v>3.7308333333333334</v>
      </c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</row>
    <row r="202" spans="1:29" ht="36" x14ac:dyDescent="0.2">
      <c r="A202" s="216"/>
      <c r="B202" s="127"/>
      <c r="C202" s="127"/>
      <c r="D202" s="127"/>
      <c r="E202" s="127"/>
      <c r="F202" s="128"/>
      <c r="G202" s="108" t="s">
        <v>199</v>
      </c>
      <c r="H202" s="77" t="s">
        <v>184</v>
      </c>
      <c r="I202" s="91" t="s">
        <v>185</v>
      </c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</row>
    <row r="203" spans="1:29" ht="12" customHeight="1" x14ac:dyDescent="0.2">
      <c r="A203" s="209" t="s">
        <v>200</v>
      </c>
      <c r="B203" s="122"/>
      <c r="C203" s="122"/>
      <c r="D203" s="122"/>
      <c r="E203" s="122"/>
      <c r="F203" s="123"/>
      <c r="G203" s="95">
        <v>1</v>
      </c>
      <c r="H203" s="93">
        <v>55.77</v>
      </c>
      <c r="I203" s="94">
        <f>SUM((H203/12)/3)</f>
        <v>1.5491666666666666</v>
      </c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</row>
    <row r="204" spans="1:29" ht="12" customHeight="1" x14ac:dyDescent="0.2">
      <c r="A204" s="208" t="s">
        <v>193</v>
      </c>
      <c r="B204" s="122"/>
      <c r="C204" s="122"/>
      <c r="D204" s="122"/>
      <c r="E204" s="122"/>
      <c r="F204" s="123"/>
      <c r="G204" s="89"/>
      <c r="H204" s="96"/>
      <c r="I204" s="101">
        <f>SUM(I203)</f>
        <v>1.5491666666666666</v>
      </c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</row>
    <row r="205" spans="1:29" ht="12" customHeight="1" x14ac:dyDescent="0.2">
      <c r="A205" s="208"/>
      <c r="B205" s="122"/>
      <c r="C205" s="122"/>
      <c r="D205" s="122"/>
      <c r="E205" s="122"/>
      <c r="F205" s="123"/>
      <c r="G205" s="89"/>
      <c r="H205" s="96"/>
      <c r="I205" s="10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</row>
    <row r="206" spans="1:29" ht="12" customHeight="1" x14ac:dyDescent="0.2">
      <c r="A206" s="217"/>
      <c r="B206" s="122"/>
      <c r="C206" s="122"/>
      <c r="D206" s="122"/>
      <c r="E206" s="122"/>
      <c r="F206" s="123"/>
      <c r="G206" s="89"/>
      <c r="H206" s="96"/>
      <c r="I206" s="10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</row>
    <row r="207" spans="1:29" ht="12" customHeight="1" x14ac:dyDescent="0.2">
      <c r="A207" s="71"/>
      <c r="B207" s="71"/>
      <c r="C207" s="71"/>
      <c r="D207" s="71"/>
      <c r="E207" s="71"/>
      <c r="F207" s="71"/>
      <c r="G207" s="71"/>
      <c r="H207" s="71"/>
      <c r="I207" s="109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</row>
    <row r="208" spans="1:29" ht="12" customHeight="1" x14ac:dyDescent="0.2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" customHeight="1" x14ac:dyDescent="0.2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" customHeight="1" x14ac:dyDescent="0.2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" customHeight="1" x14ac:dyDescent="0.2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" customHeight="1" x14ac:dyDescent="0.2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" customHeight="1" x14ac:dyDescent="0.2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" customHeight="1" x14ac:dyDescent="0.2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" customHeight="1" x14ac:dyDescent="0.2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" customHeight="1" x14ac:dyDescent="0.2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" customHeight="1" x14ac:dyDescent="0.2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" customHeight="1" x14ac:dyDescent="0.2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" customHeight="1" x14ac:dyDescent="0.2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" customHeight="1" x14ac:dyDescent="0.2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" customHeight="1" x14ac:dyDescent="0.2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" customHeight="1" x14ac:dyDescent="0.2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" customHeight="1" x14ac:dyDescent="0.2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" customHeight="1" x14ac:dyDescent="0.2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" customHeight="1" x14ac:dyDescent="0.2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" customHeight="1" x14ac:dyDescent="0.2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" customHeight="1" x14ac:dyDescent="0.2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" customHeight="1" x14ac:dyDescent="0.2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" customHeight="1" x14ac:dyDescent="0.2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" customHeight="1" x14ac:dyDescent="0.2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" customHeight="1" x14ac:dyDescent="0.2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" customHeight="1" x14ac:dyDescent="0.2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" customHeight="1" x14ac:dyDescent="0.2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" customHeight="1" x14ac:dyDescent="0.2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" customHeight="1" x14ac:dyDescent="0.2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" customHeight="1" x14ac:dyDescent="0.2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" customHeight="1" x14ac:dyDescent="0.2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" customHeight="1" x14ac:dyDescent="0.2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" customHeight="1" x14ac:dyDescent="0.2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" customHeight="1" x14ac:dyDescent="0.2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" customHeight="1" x14ac:dyDescent="0.2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" customHeight="1" x14ac:dyDescent="0.2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" customHeight="1" x14ac:dyDescent="0.2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" customHeight="1" x14ac:dyDescent="0.2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" customHeight="1" x14ac:dyDescent="0.2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" customHeight="1" x14ac:dyDescent="0.2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" customHeight="1" x14ac:dyDescent="0.2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" customHeight="1" x14ac:dyDescent="0.2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" customHeight="1" x14ac:dyDescent="0.2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" customHeight="1" x14ac:dyDescent="0.2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" customHeight="1" x14ac:dyDescent="0.2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" customHeight="1" x14ac:dyDescent="0.2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" customHeight="1" x14ac:dyDescent="0.2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" customHeight="1" x14ac:dyDescent="0.2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" customHeight="1" x14ac:dyDescent="0.2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" customHeight="1" x14ac:dyDescent="0.2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" customHeight="1" x14ac:dyDescent="0.2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" customHeight="1" x14ac:dyDescent="0.2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" customHeight="1" x14ac:dyDescent="0.2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" customHeight="1" x14ac:dyDescent="0.2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" customHeight="1" x14ac:dyDescent="0.2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" customHeight="1" x14ac:dyDescent="0.2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" customHeight="1" x14ac:dyDescent="0.2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" customHeight="1" x14ac:dyDescent="0.2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" customHeight="1" x14ac:dyDescent="0.2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" customHeight="1" x14ac:dyDescent="0.2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" customHeight="1" x14ac:dyDescent="0.2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" customHeight="1" x14ac:dyDescent="0.2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" customHeight="1" x14ac:dyDescent="0.2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" customHeight="1" x14ac:dyDescent="0.2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" customHeight="1" x14ac:dyDescent="0.2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" customHeight="1" x14ac:dyDescent="0.2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" customHeight="1" x14ac:dyDescent="0.2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" customHeight="1" x14ac:dyDescent="0.2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" customHeight="1" x14ac:dyDescent="0.2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" customHeight="1" x14ac:dyDescent="0.2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" customHeight="1" x14ac:dyDescent="0.2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" customHeight="1" x14ac:dyDescent="0.2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" customHeight="1" x14ac:dyDescent="0.2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" customHeight="1" x14ac:dyDescent="0.2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" customHeight="1" x14ac:dyDescent="0.2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" customHeight="1" x14ac:dyDescent="0.2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" customHeight="1" x14ac:dyDescent="0.2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" customHeight="1" x14ac:dyDescent="0.2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" customHeight="1" x14ac:dyDescent="0.2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" customHeight="1" x14ac:dyDescent="0.2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" customHeight="1" x14ac:dyDescent="0.2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" customHeight="1" x14ac:dyDescent="0.2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" customHeight="1" x14ac:dyDescent="0.2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" customHeight="1" x14ac:dyDescent="0.2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" customHeight="1" x14ac:dyDescent="0.2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" customHeight="1" x14ac:dyDescent="0.2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" customHeight="1" x14ac:dyDescent="0.2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" customHeight="1" x14ac:dyDescent="0.2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" customHeight="1" x14ac:dyDescent="0.2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" customHeight="1" x14ac:dyDescent="0.2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" customHeight="1" x14ac:dyDescent="0.2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" customHeight="1" x14ac:dyDescent="0.2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" customHeight="1" x14ac:dyDescent="0.2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" customHeight="1" x14ac:dyDescent="0.2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" customHeight="1" x14ac:dyDescent="0.2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" customHeight="1" x14ac:dyDescent="0.2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" customHeight="1" x14ac:dyDescent="0.2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" customHeight="1" x14ac:dyDescent="0.2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" customHeight="1" x14ac:dyDescent="0.2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" customHeight="1" x14ac:dyDescent="0.2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" customHeight="1" x14ac:dyDescent="0.2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" customHeight="1" x14ac:dyDescent="0.2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" customHeight="1" x14ac:dyDescent="0.2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" customHeight="1" x14ac:dyDescent="0.2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" customHeight="1" x14ac:dyDescent="0.2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" customHeight="1" x14ac:dyDescent="0.2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" customHeight="1" x14ac:dyDescent="0.2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" customHeight="1" x14ac:dyDescent="0.2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" customHeight="1" x14ac:dyDescent="0.2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" customHeight="1" x14ac:dyDescent="0.2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" customHeight="1" x14ac:dyDescent="0.2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" customHeight="1" x14ac:dyDescent="0.2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" customHeight="1" x14ac:dyDescent="0.2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" customHeight="1" x14ac:dyDescent="0.2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" customHeight="1" x14ac:dyDescent="0.2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" customHeight="1" x14ac:dyDescent="0.2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" customHeight="1" x14ac:dyDescent="0.2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" customHeight="1" x14ac:dyDescent="0.2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" customHeight="1" x14ac:dyDescent="0.2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" customHeight="1" x14ac:dyDescent="0.2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" customHeight="1" x14ac:dyDescent="0.2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" customHeight="1" x14ac:dyDescent="0.2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" customHeight="1" x14ac:dyDescent="0.2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" customHeight="1" x14ac:dyDescent="0.2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" customHeight="1" x14ac:dyDescent="0.2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" customHeight="1" x14ac:dyDescent="0.2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" customHeight="1" x14ac:dyDescent="0.2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" customHeight="1" x14ac:dyDescent="0.2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" customHeight="1" x14ac:dyDescent="0.2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" customHeight="1" x14ac:dyDescent="0.2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" customHeight="1" x14ac:dyDescent="0.2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" customHeight="1" x14ac:dyDescent="0.2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" customHeight="1" x14ac:dyDescent="0.2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" customHeight="1" x14ac:dyDescent="0.2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" customHeight="1" x14ac:dyDescent="0.2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" customHeight="1" x14ac:dyDescent="0.2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" customHeight="1" x14ac:dyDescent="0.2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" customHeight="1" x14ac:dyDescent="0.2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" customHeight="1" x14ac:dyDescent="0.2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" customHeight="1" x14ac:dyDescent="0.2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" customHeight="1" x14ac:dyDescent="0.2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" customHeight="1" x14ac:dyDescent="0.2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" customHeight="1" x14ac:dyDescent="0.2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" customHeight="1" x14ac:dyDescent="0.2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" customHeight="1" x14ac:dyDescent="0.2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" customHeight="1" x14ac:dyDescent="0.2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" customHeight="1" x14ac:dyDescent="0.2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" customHeight="1" x14ac:dyDescent="0.2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" customHeight="1" x14ac:dyDescent="0.2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" customHeight="1" x14ac:dyDescent="0.2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" customHeight="1" x14ac:dyDescent="0.2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" customHeight="1" x14ac:dyDescent="0.2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" customHeight="1" x14ac:dyDescent="0.2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" customHeight="1" x14ac:dyDescent="0.2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" customHeight="1" x14ac:dyDescent="0.2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" customHeight="1" x14ac:dyDescent="0.2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" customHeight="1" x14ac:dyDescent="0.2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" customHeight="1" x14ac:dyDescent="0.2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" customHeight="1" x14ac:dyDescent="0.2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" customHeight="1" x14ac:dyDescent="0.2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" customHeight="1" x14ac:dyDescent="0.2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" customHeight="1" x14ac:dyDescent="0.2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" customHeight="1" x14ac:dyDescent="0.2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" customHeight="1" x14ac:dyDescent="0.2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" customHeight="1" x14ac:dyDescent="0.2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" customHeight="1" x14ac:dyDescent="0.2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" customHeight="1" x14ac:dyDescent="0.2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" customHeight="1" x14ac:dyDescent="0.2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" customHeight="1" x14ac:dyDescent="0.2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" customHeight="1" x14ac:dyDescent="0.2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" customHeight="1" x14ac:dyDescent="0.2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" customHeight="1" x14ac:dyDescent="0.2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" customHeight="1" x14ac:dyDescent="0.2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" customHeight="1" x14ac:dyDescent="0.2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" customHeight="1" x14ac:dyDescent="0.2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" customHeight="1" x14ac:dyDescent="0.2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" customHeight="1" x14ac:dyDescent="0.2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" customHeight="1" x14ac:dyDescent="0.2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" customHeight="1" x14ac:dyDescent="0.2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" customHeight="1" x14ac:dyDescent="0.2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" customHeight="1" x14ac:dyDescent="0.2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" customHeight="1" x14ac:dyDescent="0.2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" customHeight="1" x14ac:dyDescent="0.2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" customHeight="1" x14ac:dyDescent="0.2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" customHeight="1" x14ac:dyDescent="0.2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" customHeight="1" x14ac:dyDescent="0.2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" customHeight="1" x14ac:dyDescent="0.2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" customHeight="1" x14ac:dyDescent="0.2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" customHeight="1" x14ac:dyDescent="0.2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" customHeight="1" x14ac:dyDescent="0.2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" customHeight="1" x14ac:dyDescent="0.2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" customHeight="1" x14ac:dyDescent="0.2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" customHeight="1" x14ac:dyDescent="0.2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" customHeight="1" x14ac:dyDescent="0.2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" customHeight="1" x14ac:dyDescent="0.2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" customHeight="1" x14ac:dyDescent="0.2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" customHeight="1" x14ac:dyDescent="0.2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" customHeight="1" x14ac:dyDescent="0.2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" customHeight="1" x14ac:dyDescent="0.2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" customHeight="1" x14ac:dyDescent="0.2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" customHeight="1" x14ac:dyDescent="0.2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" customHeight="1" x14ac:dyDescent="0.2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" customHeight="1" x14ac:dyDescent="0.2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" customHeight="1" x14ac:dyDescent="0.2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" customHeight="1" x14ac:dyDescent="0.2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" customHeight="1" x14ac:dyDescent="0.2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" customHeight="1" x14ac:dyDescent="0.2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" customHeight="1" x14ac:dyDescent="0.2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" customHeight="1" x14ac:dyDescent="0.2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" customHeight="1" x14ac:dyDescent="0.2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" customHeight="1" x14ac:dyDescent="0.2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" customHeight="1" x14ac:dyDescent="0.2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" customHeight="1" x14ac:dyDescent="0.2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" customHeight="1" x14ac:dyDescent="0.2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" customHeight="1" x14ac:dyDescent="0.2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" customHeight="1" x14ac:dyDescent="0.2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" customHeight="1" x14ac:dyDescent="0.2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" customHeight="1" x14ac:dyDescent="0.2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" customHeight="1" x14ac:dyDescent="0.2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" customHeight="1" x14ac:dyDescent="0.2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" customHeight="1" x14ac:dyDescent="0.2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" customHeight="1" x14ac:dyDescent="0.2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" customHeight="1" x14ac:dyDescent="0.2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" customHeight="1" x14ac:dyDescent="0.2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" customHeight="1" x14ac:dyDescent="0.2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" customHeight="1" x14ac:dyDescent="0.2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" customHeight="1" x14ac:dyDescent="0.2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" customHeight="1" x14ac:dyDescent="0.2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" customHeight="1" x14ac:dyDescent="0.2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" customHeight="1" x14ac:dyDescent="0.2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" customHeight="1" x14ac:dyDescent="0.2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" customHeight="1" x14ac:dyDescent="0.2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" customHeight="1" x14ac:dyDescent="0.2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" customHeight="1" x14ac:dyDescent="0.2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" customHeight="1" x14ac:dyDescent="0.2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" customHeight="1" x14ac:dyDescent="0.2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" customHeight="1" x14ac:dyDescent="0.2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" customHeight="1" x14ac:dyDescent="0.2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" customHeight="1" x14ac:dyDescent="0.2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" customHeight="1" x14ac:dyDescent="0.2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" customHeight="1" x14ac:dyDescent="0.2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" customHeight="1" x14ac:dyDescent="0.2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" customHeight="1" x14ac:dyDescent="0.2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" customHeight="1" x14ac:dyDescent="0.2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" customHeight="1" x14ac:dyDescent="0.2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" customHeight="1" x14ac:dyDescent="0.2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" customHeight="1" x14ac:dyDescent="0.2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" customHeight="1" x14ac:dyDescent="0.2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" customHeight="1" x14ac:dyDescent="0.2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" customHeight="1" x14ac:dyDescent="0.2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" customHeight="1" x14ac:dyDescent="0.2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" customHeight="1" x14ac:dyDescent="0.2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" customHeight="1" x14ac:dyDescent="0.2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" customHeight="1" x14ac:dyDescent="0.2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" customHeight="1" x14ac:dyDescent="0.2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" customHeight="1" x14ac:dyDescent="0.2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" customHeight="1" x14ac:dyDescent="0.2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" customHeight="1" x14ac:dyDescent="0.2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" customHeight="1" x14ac:dyDescent="0.2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" customHeight="1" x14ac:dyDescent="0.2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" customHeight="1" x14ac:dyDescent="0.2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" customHeight="1" x14ac:dyDescent="0.2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" customHeight="1" x14ac:dyDescent="0.2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" customHeight="1" x14ac:dyDescent="0.2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" customHeight="1" x14ac:dyDescent="0.2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" customHeight="1" x14ac:dyDescent="0.2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" customHeight="1" x14ac:dyDescent="0.2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" customHeight="1" x14ac:dyDescent="0.2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" customHeight="1" x14ac:dyDescent="0.2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" customHeight="1" x14ac:dyDescent="0.2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" customHeight="1" x14ac:dyDescent="0.2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" customHeight="1" x14ac:dyDescent="0.2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" customHeight="1" x14ac:dyDescent="0.2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" customHeight="1" x14ac:dyDescent="0.2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" customHeight="1" x14ac:dyDescent="0.2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" customHeight="1" x14ac:dyDescent="0.2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" customHeight="1" x14ac:dyDescent="0.2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" customHeight="1" x14ac:dyDescent="0.2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" customHeight="1" x14ac:dyDescent="0.2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" customHeight="1" x14ac:dyDescent="0.2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" customHeight="1" x14ac:dyDescent="0.2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" customHeight="1" x14ac:dyDescent="0.2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" customHeight="1" x14ac:dyDescent="0.2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" customHeight="1" x14ac:dyDescent="0.2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" customHeight="1" x14ac:dyDescent="0.2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" customHeight="1" x14ac:dyDescent="0.2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" customHeight="1" x14ac:dyDescent="0.2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" customHeight="1" x14ac:dyDescent="0.2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" customHeight="1" x14ac:dyDescent="0.2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" customHeight="1" x14ac:dyDescent="0.2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" customHeight="1" x14ac:dyDescent="0.2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" customHeight="1" x14ac:dyDescent="0.2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" customHeight="1" x14ac:dyDescent="0.2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" customHeight="1" x14ac:dyDescent="0.2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" customHeight="1" x14ac:dyDescent="0.2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" customHeight="1" x14ac:dyDescent="0.2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" customHeight="1" x14ac:dyDescent="0.2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" customHeight="1" x14ac:dyDescent="0.2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" customHeight="1" x14ac:dyDescent="0.2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" customHeight="1" x14ac:dyDescent="0.2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" customHeight="1" x14ac:dyDescent="0.2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" customHeight="1" x14ac:dyDescent="0.2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" customHeight="1" x14ac:dyDescent="0.2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" customHeight="1" x14ac:dyDescent="0.2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" customHeight="1" x14ac:dyDescent="0.2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" customHeight="1" x14ac:dyDescent="0.2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" customHeight="1" x14ac:dyDescent="0.2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" customHeight="1" x14ac:dyDescent="0.2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" customHeight="1" x14ac:dyDescent="0.2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" customHeight="1" x14ac:dyDescent="0.2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" customHeight="1" x14ac:dyDescent="0.2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" customHeight="1" x14ac:dyDescent="0.2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" customHeight="1" x14ac:dyDescent="0.2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" customHeight="1" x14ac:dyDescent="0.2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" customHeight="1" x14ac:dyDescent="0.2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" customHeight="1" x14ac:dyDescent="0.2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" customHeight="1" x14ac:dyDescent="0.2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" customHeight="1" x14ac:dyDescent="0.2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" customHeight="1" x14ac:dyDescent="0.2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" customHeight="1" x14ac:dyDescent="0.2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" customHeight="1" x14ac:dyDescent="0.2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" customHeight="1" x14ac:dyDescent="0.2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" customHeight="1" x14ac:dyDescent="0.2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" customHeight="1" x14ac:dyDescent="0.2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" customHeight="1" x14ac:dyDescent="0.2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" customHeight="1" x14ac:dyDescent="0.2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" customHeight="1" x14ac:dyDescent="0.2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" customHeight="1" x14ac:dyDescent="0.2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" customHeight="1" x14ac:dyDescent="0.2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" customHeight="1" x14ac:dyDescent="0.2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" customHeight="1" x14ac:dyDescent="0.2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" customHeight="1" x14ac:dyDescent="0.2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" customHeight="1" x14ac:dyDescent="0.2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" customHeight="1" x14ac:dyDescent="0.2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" customHeight="1" x14ac:dyDescent="0.2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" customHeight="1" x14ac:dyDescent="0.2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" customHeight="1" x14ac:dyDescent="0.2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" customHeight="1" x14ac:dyDescent="0.2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" customHeight="1" x14ac:dyDescent="0.2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" customHeight="1" x14ac:dyDescent="0.2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" customHeight="1" x14ac:dyDescent="0.2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" customHeight="1" x14ac:dyDescent="0.2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" customHeight="1" x14ac:dyDescent="0.2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" customHeight="1" x14ac:dyDescent="0.2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" customHeight="1" x14ac:dyDescent="0.2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" customHeight="1" x14ac:dyDescent="0.2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" customHeight="1" x14ac:dyDescent="0.2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" customHeight="1" x14ac:dyDescent="0.2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" customHeight="1" x14ac:dyDescent="0.2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" customHeight="1" x14ac:dyDescent="0.2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" customHeight="1" x14ac:dyDescent="0.2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" customHeight="1" x14ac:dyDescent="0.2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" customHeight="1" x14ac:dyDescent="0.2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" customHeight="1" x14ac:dyDescent="0.2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" customHeight="1" x14ac:dyDescent="0.2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" customHeight="1" x14ac:dyDescent="0.2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" customHeight="1" x14ac:dyDescent="0.2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" customHeight="1" x14ac:dyDescent="0.2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" customHeight="1" x14ac:dyDescent="0.2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" customHeight="1" x14ac:dyDescent="0.2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" customHeight="1" x14ac:dyDescent="0.2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" customHeight="1" x14ac:dyDescent="0.2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" customHeight="1" x14ac:dyDescent="0.2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" customHeight="1" x14ac:dyDescent="0.2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" customHeight="1" x14ac:dyDescent="0.2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" customHeight="1" x14ac:dyDescent="0.2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" customHeight="1" x14ac:dyDescent="0.2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" customHeight="1" x14ac:dyDescent="0.2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" customHeight="1" x14ac:dyDescent="0.2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" customHeight="1" x14ac:dyDescent="0.2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" customHeight="1" x14ac:dyDescent="0.2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" customHeight="1" x14ac:dyDescent="0.2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" customHeight="1" x14ac:dyDescent="0.2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" customHeight="1" x14ac:dyDescent="0.2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" customHeight="1" x14ac:dyDescent="0.2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" customHeight="1" x14ac:dyDescent="0.2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" customHeight="1" x14ac:dyDescent="0.2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" customHeight="1" x14ac:dyDescent="0.2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" customHeight="1" x14ac:dyDescent="0.2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" customHeight="1" x14ac:dyDescent="0.2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" customHeight="1" x14ac:dyDescent="0.2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" customHeight="1" x14ac:dyDescent="0.2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" customHeight="1" x14ac:dyDescent="0.2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" customHeight="1" x14ac:dyDescent="0.2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" customHeight="1" x14ac:dyDescent="0.2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" customHeight="1" x14ac:dyDescent="0.2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" customHeight="1" x14ac:dyDescent="0.2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" customHeight="1" x14ac:dyDescent="0.2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" customHeight="1" x14ac:dyDescent="0.2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" customHeight="1" x14ac:dyDescent="0.2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" customHeight="1" x14ac:dyDescent="0.2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" customHeight="1" x14ac:dyDescent="0.2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" customHeight="1" x14ac:dyDescent="0.2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" customHeight="1" x14ac:dyDescent="0.2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" customHeight="1" x14ac:dyDescent="0.2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" customHeight="1" x14ac:dyDescent="0.2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" customHeight="1" x14ac:dyDescent="0.2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" customHeight="1" x14ac:dyDescent="0.2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" customHeight="1" x14ac:dyDescent="0.2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" customHeight="1" x14ac:dyDescent="0.2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" customHeight="1" x14ac:dyDescent="0.2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" customHeight="1" x14ac:dyDescent="0.2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" customHeight="1" x14ac:dyDescent="0.2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" customHeight="1" x14ac:dyDescent="0.2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" customHeight="1" x14ac:dyDescent="0.2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" customHeight="1" x14ac:dyDescent="0.2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" customHeight="1" x14ac:dyDescent="0.2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" customHeight="1" x14ac:dyDescent="0.2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" customHeight="1" x14ac:dyDescent="0.2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" customHeight="1" x14ac:dyDescent="0.2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" customHeight="1" x14ac:dyDescent="0.2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" customHeight="1" x14ac:dyDescent="0.2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" customHeight="1" x14ac:dyDescent="0.2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" customHeight="1" x14ac:dyDescent="0.2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" customHeight="1" x14ac:dyDescent="0.2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" customHeight="1" x14ac:dyDescent="0.2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" customHeight="1" x14ac:dyDescent="0.2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" customHeight="1" x14ac:dyDescent="0.2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" customHeight="1" x14ac:dyDescent="0.2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" customHeight="1" x14ac:dyDescent="0.2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" customHeight="1" x14ac:dyDescent="0.2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" customHeight="1" x14ac:dyDescent="0.2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" customHeight="1" x14ac:dyDescent="0.2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" customHeight="1" x14ac:dyDescent="0.2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" customHeight="1" x14ac:dyDescent="0.2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" customHeight="1" x14ac:dyDescent="0.2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" customHeight="1" x14ac:dyDescent="0.2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" customHeight="1" x14ac:dyDescent="0.2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" customHeight="1" x14ac:dyDescent="0.2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" customHeight="1" x14ac:dyDescent="0.2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" customHeight="1" x14ac:dyDescent="0.2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" customHeight="1" x14ac:dyDescent="0.2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" customHeight="1" x14ac:dyDescent="0.2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" customHeight="1" x14ac:dyDescent="0.2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" customHeight="1" x14ac:dyDescent="0.2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" customHeight="1" x14ac:dyDescent="0.2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" customHeight="1" x14ac:dyDescent="0.2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" customHeight="1" x14ac:dyDescent="0.2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" customHeight="1" x14ac:dyDescent="0.2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" customHeight="1" x14ac:dyDescent="0.2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" customHeight="1" x14ac:dyDescent="0.2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" customHeight="1" x14ac:dyDescent="0.2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" customHeight="1" x14ac:dyDescent="0.2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" customHeight="1" x14ac:dyDescent="0.2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" customHeight="1" x14ac:dyDescent="0.2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" customHeight="1" x14ac:dyDescent="0.2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" customHeight="1" x14ac:dyDescent="0.2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" customHeight="1" x14ac:dyDescent="0.2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" customHeight="1" x14ac:dyDescent="0.2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" customHeight="1" x14ac:dyDescent="0.2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" customHeight="1" x14ac:dyDescent="0.2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" customHeight="1" x14ac:dyDescent="0.2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" customHeight="1" x14ac:dyDescent="0.2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" customHeight="1" x14ac:dyDescent="0.2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" customHeight="1" x14ac:dyDescent="0.2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" customHeight="1" x14ac:dyDescent="0.2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" customHeight="1" x14ac:dyDescent="0.2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" customHeight="1" x14ac:dyDescent="0.2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" customHeight="1" x14ac:dyDescent="0.2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" customHeight="1" x14ac:dyDescent="0.2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" customHeight="1" x14ac:dyDescent="0.2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" customHeight="1" x14ac:dyDescent="0.2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" customHeight="1" x14ac:dyDescent="0.2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" customHeight="1" x14ac:dyDescent="0.2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" customHeight="1" x14ac:dyDescent="0.2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" customHeight="1" x14ac:dyDescent="0.2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" customHeight="1" x14ac:dyDescent="0.2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" customHeight="1" x14ac:dyDescent="0.2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" customHeight="1" x14ac:dyDescent="0.2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" customHeight="1" x14ac:dyDescent="0.2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" customHeight="1" x14ac:dyDescent="0.2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" customHeight="1" x14ac:dyDescent="0.2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" customHeight="1" x14ac:dyDescent="0.2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" customHeight="1" x14ac:dyDescent="0.2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" customHeight="1" x14ac:dyDescent="0.2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" customHeight="1" x14ac:dyDescent="0.2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" customHeight="1" x14ac:dyDescent="0.2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" customHeight="1" x14ac:dyDescent="0.2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" customHeight="1" x14ac:dyDescent="0.2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" customHeight="1" x14ac:dyDescent="0.2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" customHeight="1" x14ac:dyDescent="0.2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" customHeight="1" x14ac:dyDescent="0.2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" customHeight="1" x14ac:dyDescent="0.2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" customHeight="1" x14ac:dyDescent="0.2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" customHeight="1" x14ac:dyDescent="0.2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" customHeight="1" x14ac:dyDescent="0.2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" customHeight="1" x14ac:dyDescent="0.2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" customHeight="1" x14ac:dyDescent="0.2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" customHeight="1" x14ac:dyDescent="0.2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" customHeight="1" x14ac:dyDescent="0.2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" customHeight="1" x14ac:dyDescent="0.2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" customHeight="1" x14ac:dyDescent="0.2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" customHeight="1" x14ac:dyDescent="0.2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" customHeight="1" x14ac:dyDescent="0.2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" customHeight="1" x14ac:dyDescent="0.2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" customHeight="1" x14ac:dyDescent="0.2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" customHeight="1" x14ac:dyDescent="0.2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" customHeight="1" x14ac:dyDescent="0.2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" customHeight="1" x14ac:dyDescent="0.2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" customHeight="1" x14ac:dyDescent="0.2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" customHeight="1" x14ac:dyDescent="0.2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" customHeight="1" x14ac:dyDescent="0.2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" customHeight="1" x14ac:dyDescent="0.2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" customHeight="1" x14ac:dyDescent="0.2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" customHeight="1" x14ac:dyDescent="0.2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" customHeight="1" x14ac:dyDescent="0.2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" customHeight="1" x14ac:dyDescent="0.2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" customHeight="1" x14ac:dyDescent="0.2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" customHeight="1" x14ac:dyDescent="0.2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" customHeight="1" x14ac:dyDescent="0.2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" customHeight="1" x14ac:dyDescent="0.2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" customHeight="1" x14ac:dyDescent="0.2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" customHeight="1" x14ac:dyDescent="0.2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" customHeight="1" x14ac:dyDescent="0.2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" customHeight="1" x14ac:dyDescent="0.2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" customHeight="1" x14ac:dyDescent="0.2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" customHeight="1" x14ac:dyDescent="0.2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" customHeight="1" x14ac:dyDescent="0.2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" customHeight="1" x14ac:dyDescent="0.2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" customHeight="1" x14ac:dyDescent="0.2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" customHeight="1" x14ac:dyDescent="0.2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" customHeight="1" x14ac:dyDescent="0.2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" customHeight="1" x14ac:dyDescent="0.2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" customHeight="1" x14ac:dyDescent="0.2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" customHeight="1" x14ac:dyDescent="0.2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" customHeight="1" x14ac:dyDescent="0.2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" customHeight="1" x14ac:dyDescent="0.2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" customHeight="1" x14ac:dyDescent="0.2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" customHeight="1" x14ac:dyDescent="0.2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" customHeight="1" x14ac:dyDescent="0.2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" customHeight="1" x14ac:dyDescent="0.2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" customHeight="1" x14ac:dyDescent="0.2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" customHeight="1" x14ac:dyDescent="0.2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" customHeight="1" x14ac:dyDescent="0.2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" customHeight="1" x14ac:dyDescent="0.2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" customHeight="1" x14ac:dyDescent="0.2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" customHeight="1" x14ac:dyDescent="0.2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" customHeight="1" x14ac:dyDescent="0.2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" customHeight="1" x14ac:dyDescent="0.2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" customHeight="1" x14ac:dyDescent="0.2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" customHeight="1" x14ac:dyDescent="0.2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" customHeight="1" x14ac:dyDescent="0.2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" customHeight="1" x14ac:dyDescent="0.2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" customHeight="1" x14ac:dyDescent="0.2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" customHeight="1" x14ac:dyDescent="0.2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" customHeight="1" x14ac:dyDescent="0.2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" customHeight="1" x14ac:dyDescent="0.2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" customHeight="1" x14ac:dyDescent="0.2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" customHeight="1" x14ac:dyDescent="0.2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" customHeight="1" x14ac:dyDescent="0.2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" customHeight="1" x14ac:dyDescent="0.2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" customHeight="1" x14ac:dyDescent="0.2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" customHeight="1" x14ac:dyDescent="0.2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" customHeight="1" x14ac:dyDescent="0.2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" customHeight="1" x14ac:dyDescent="0.2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" customHeight="1" x14ac:dyDescent="0.2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" customHeight="1" x14ac:dyDescent="0.2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" customHeight="1" x14ac:dyDescent="0.2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" customHeight="1" x14ac:dyDescent="0.2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" customHeight="1" x14ac:dyDescent="0.2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" customHeight="1" x14ac:dyDescent="0.2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" customHeight="1" x14ac:dyDescent="0.2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" customHeight="1" x14ac:dyDescent="0.2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" customHeight="1" x14ac:dyDescent="0.2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" customHeight="1" x14ac:dyDescent="0.2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" customHeight="1" x14ac:dyDescent="0.2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" customHeight="1" x14ac:dyDescent="0.2">
      <c r="A773" s="1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" customHeight="1" x14ac:dyDescent="0.2">
      <c r="A774" s="1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" customHeight="1" x14ac:dyDescent="0.2">
      <c r="A775" s="1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" customHeight="1" x14ac:dyDescent="0.2">
      <c r="A776" s="1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2"/>
    <row r="778" spans="1:29" ht="14.25" customHeight="1" x14ac:dyDescent="0.2"/>
    <row r="779" spans="1:29" ht="14.25" customHeight="1" x14ac:dyDescent="0.2"/>
    <row r="780" spans="1:29" ht="14.25" customHeight="1" x14ac:dyDescent="0.2"/>
    <row r="781" spans="1:29" ht="14.25" customHeight="1" x14ac:dyDescent="0.2"/>
    <row r="782" spans="1:29" ht="14.25" customHeight="1" x14ac:dyDescent="0.2"/>
    <row r="783" spans="1:29" ht="14.25" customHeight="1" x14ac:dyDescent="0.2"/>
    <row r="784" spans="1:29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</sheetData>
  <mergeCells count="225">
    <mergeCell ref="A165:I165"/>
    <mergeCell ref="A166:I166"/>
    <mergeCell ref="A167:I167"/>
    <mergeCell ref="A168:I168"/>
    <mergeCell ref="A169:H169"/>
    <mergeCell ref="B170:H170"/>
    <mergeCell ref="B171:H171"/>
    <mergeCell ref="B172:H172"/>
    <mergeCell ref="B173:H173"/>
    <mergeCell ref="B157:G157"/>
    <mergeCell ref="B158:G158"/>
    <mergeCell ref="A159:H159"/>
    <mergeCell ref="A160:I160"/>
    <mergeCell ref="A161:G161"/>
    <mergeCell ref="A162:B164"/>
    <mergeCell ref="C162:I162"/>
    <mergeCell ref="C163:I163"/>
    <mergeCell ref="C164:I164"/>
    <mergeCell ref="A206:F206"/>
    <mergeCell ref="A194:F194"/>
    <mergeCell ref="A195:F195"/>
    <mergeCell ref="A196:F196"/>
    <mergeCell ref="A198:F198"/>
    <mergeCell ref="A199:F199"/>
    <mergeCell ref="A200:F200"/>
    <mergeCell ref="A201:F201"/>
    <mergeCell ref="A125:H125"/>
    <mergeCell ref="A126:I126"/>
    <mergeCell ref="A127:I127"/>
    <mergeCell ref="B128:H128"/>
    <mergeCell ref="B129:H129"/>
    <mergeCell ref="B130:H130"/>
    <mergeCell ref="A131:H131"/>
    <mergeCell ref="A132:I132"/>
    <mergeCell ref="A133:I133"/>
    <mergeCell ref="B134:H134"/>
    <mergeCell ref="B135:H135"/>
    <mergeCell ref="B136:H136"/>
    <mergeCell ref="B137:H137"/>
    <mergeCell ref="B138:H138"/>
    <mergeCell ref="A139:H139"/>
    <mergeCell ref="A140:I140"/>
    <mergeCell ref="A189:F189"/>
    <mergeCell ref="A190:F190"/>
    <mergeCell ref="A191:F191"/>
    <mergeCell ref="A192:F192"/>
    <mergeCell ref="A193:F193"/>
    <mergeCell ref="A202:F202"/>
    <mergeCell ref="A203:F203"/>
    <mergeCell ref="A204:F204"/>
    <mergeCell ref="A205:F205"/>
    <mergeCell ref="A181:F181"/>
    <mergeCell ref="G181:I181"/>
    <mergeCell ref="A182:F182"/>
    <mergeCell ref="A183:F183"/>
    <mergeCell ref="A184:F184"/>
    <mergeCell ref="A185:F185"/>
    <mergeCell ref="A186:F186"/>
    <mergeCell ref="A187:F187"/>
    <mergeCell ref="A188:F188"/>
    <mergeCell ref="B123:H123"/>
    <mergeCell ref="B124:H124"/>
    <mergeCell ref="B174:H174"/>
    <mergeCell ref="A175:H175"/>
    <mergeCell ref="B176:H176"/>
    <mergeCell ref="A177:H177"/>
    <mergeCell ref="A178:I178"/>
    <mergeCell ref="A179:I179"/>
    <mergeCell ref="A180:I180"/>
    <mergeCell ref="A141:I141"/>
    <mergeCell ref="A143:I143"/>
    <mergeCell ref="B144:G144"/>
    <mergeCell ref="A145:G145"/>
    <mergeCell ref="B146:G146"/>
    <mergeCell ref="A147:G147"/>
    <mergeCell ref="B148:G148"/>
    <mergeCell ref="A149:G149"/>
    <mergeCell ref="B150:G150"/>
    <mergeCell ref="B151:G151"/>
    <mergeCell ref="B152:G152"/>
    <mergeCell ref="B153:G153"/>
    <mergeCell ref="B154:G154"/>
    <mergeCell ref="B155:G155"/>
    <mergeCell ref="B156:G156"/>
    <mergeCell ref="B114:F114"/>
    <mergeCell ref="B115:H115"/>
    <mergeCell ref="B116:H116"/>
    <mergeCell ref="B117:H117"/>
    <mergeCell ref="B118:H118"/>
    <mergeCell ref="B119:H119"/>
    <mergeCell ref="A120:H120"/>
    <mergeCell ref="A121:I121"/>
    <mergeCell ref="A122:I122"/>
    <mergeCell ref="A104:I104"/>
    <mergeCell ref="A105:I105"/>
    <mergeCell ref="A106:I106"/>
    <mergeCell ref="A107:I107"/>
    <mergeCell ref="A108:I108"/>
    <mergeCell ref="A109:I109"/>
    <mergeCell ref="A111:I111"/>
    <mergeCell ref="A112:I112"/>
    <mergeCell ref="B113:H113"/>
    <mergeCell ref="A95:I95"/>
    <mergeCell ref="B96:H96"/>
    <mergeCell ref="B97:H97"/>
    <mergeCell ref="B98:H98"/>
    <mergeCell ref="B99:H99"/>
    <mergeCell ref="B100:H100"/>
    <mergeCell ref="B101:G101"/>
    <mergeCell ref="A102:H102"/>
    <mergeCell ref="A103:I103"/>
    <mergeCell ref="A86:I86"/>
    <mergeCell ref="A87:I87"/>
    <mergeCell ref="A88:I88"/>
    <mergeCell ref="B89:H89"/>
    <mergeCell ref="B90:H90"/>
    <mergeCell ref="B91:H91"/>
    <mergeCell ref="B92:H92"/>
    <mergeCell ref="A93:H93"/>
    <mergeCell ref="A94:I94"/>
    <mergeCell ref="B77:H77"/>
    <mergeCell ref="B78:G78"/>
    <mergeCell ref="B79:G79"/>
    <mergeCell ref="B80:G80"/>
    <mergeCell ref="B81:H81"/>
    <mergeCell ref="B82:H82"/>
    <mergeCell ref="B83:H83"/>
    <mergeCell ref="B84:H84"/>
    <mergeCell ref="A85:I85"/>
    <mergeCell ref="A68:I68"/>
    <mergeCell ref="A69:I69"/>
    <mergeCell ref="A70:I70"/>
    <mergeCell ref="B71:H71"/>
    <mergeCell ref="B72:H72"/>
    <mergeCell ref="B73:G73"/>
    <mergeCell ref="B74:G74"/>
    <mergeCell ref="B75:G75"/>
    <mergeCell ref="B76:G76"/>
    <mergeCell ref="B58:G58"/>
    <mergeCell ref="B59:G59"/>
    <mergeCell ref="B60:C60"/>
    <mergeCell ref="B61:G61"/>
    <mergeCell ref="B62:G62"/>
    <mergeCell ref="B63:G63"/>
    <mergeCell ref="B64:G64"/>
    <mergeCell ref="B65:G65"/>
    <mergeCell ref="A66:G66"/>
    <mergeCell ref="B49:H49"/>
    <mergeCell ref="B50:G50"/>
    <mergeCell ref="B51:G51"/>
    <mergeCell ref="A52:H52"/>
    <mergeCell ref="A53:I53"/>
    <mergeCell ref="A54:I54"/>
    <mergeCell ref="A55:I55"/>
    <mergeCell ref="A56:I56"/>
    <mergeCell ref="B57:G57"/>
    <mergeCell ref="A40:H40"/>
    <mergeCell ref="A41:I41"/>
    <mergeCell ref="B42:H42"/>
    <mergeCell ref="A43:I43"/>
    <mergeCell ref="A44:H44"/>
    <mergeCell ref="A45:I45"/>
    <mergeCell ref="A46:I46"/>
    <mergeCell ref="A47:I47"/>
    <mergeCell ref="A48:I48"/>
    <mergeCell ref="A31:I31"/>
    <mergeCell ref="A32:I32"/>
    <mergeCell ref="A33:I33"/>
    <mergeCell ref="B34:G34"/>
    <mergeCell ref="B35:H35"/>
    <mergeCell ref="B36:G36"/>
    <mergeCell ref="B37:H37"/>
    <mergeCell ref="B38:H38"/>
    <mergeCell ref="B39:H39"/>
    <mergeCell ref="B26:G26"/>
    <mergeCell ref="H26:I26"/>
    <mergeCell ref="B27:G27"/>
    <mergeCell ref="H27:I27"/>
    <mergeCell ref="B28:G28"/>
    <mergeCell ref="H28:I28"/>
    <mergeCell ref="B29:G29"/>
    <mergeCell ref="H29:I29"/>
    <mergeCell ref="A30:I30"/>
    <mergeCell ref="B21:G21"/>
    <mergeCell ref="H21:I21"/>
    <mergeCell ref="B22:G22"/>
    <mergeCell ref="H22:I22"/>
    <mergeCell ref="B23:G23"/>
    <mergeCell ref="H23:I23"/>
    <mergeCell ref="H24:I24"/>
    <mergeCell ref="B24:G24"/>
    <mergeCell ref="B25:G25"/>
    <mergeCell ref="H25:I25"/>
    <mergeCell ref="A14:E14"/>
    <mergeCell ref="F14:G14"/>
    <mergeCell ref="H14:I14"/>
    <mergeCell ref="A20:I20"/>
    <mergeCell ref="J20:P20"/>
    <mergeCell ref="Q20:X20"/>
    <mergeCell ref="Y20:AC20"/>
    <mergeCell ref="A15:E15"/>
    <mergeCell ref="F15:G15"/>
    <mergeCell ref="H15:I15"/>
    <mergeCell ref="A16:I16"/>
    <mergeCell ref="A17:I17"/>
    <mergeCell ref="A18:I18"/>
    <mergeCell ref="A19:I19"/>
    <mergeCell ref="B9:G9"/>
    <mergeCell ref="H9:I9"/>
    <mergeCell ref="B10:G10"/>
    <mergeCell ref="H10:I10"/>
    <mergeCell ref="H11:I11"/>
    <mergeCell ref="B11:G11"/>
    <mergeCell ref="B12:G12"/>
    <mergeCell ref="H12:I12"/>
    <mergeCell ref="A13:I13"/>
    <mergeCell ref="A2:I2"/>
    <mergeCell ref="A3:I3"/>
    <mergeCell ref="A4:E4"/>
    <mergeCell ref="F4:I4"/>
    <mergeCell ref="A5:E5"/>
    <mergeCell ref="F5:I5"/>
    <mergeCell ref="A6:I6"/>
    <mergeCell ref="A7:I7"/>
    <mergeCell ref="A8:I8"/>
  </mergeCells>
  <pageMargins left="0.25" right="0.25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947"/>
  <sheetViews>
    <sheetView topLeftCell="A188" workbookViewId="0">
      <selection activeCell="A139" sqref="A139:I139"/>
    </sheetView>
  </sheetViews>
  <sheetFormatPr defaultColWidth="12.5703125" defaultRowHeight="15" customHeight="1" x14ac:dyDescent="0.2"/>
  <cols>
    <col min="1" max="1" width="15.28515625" customWidth="1"/>
    <col min="2" max="2" width="11.140625" customWidth="1"/>
    <col min="3" max="3" width="13.28515625" customWidth="1"/>
    <col min="4" max="4" width="10.140625" customWidth="1"/>
    <col min="5" max="5" width="12.42578125" customWidth="1"/>
    <col min="6" max="6" width="11.28515625" customWidth="1"/>
    <col min="7" max="7" width="11" customWidth="1"/>
    <col min="8" max="8" width="14.42578125" customWidth="1"/>
    <col min="9" max="9" width="14.28515625" customWidth="1"/>
    <col min="10" max="10" width="25.140625" customWidth="1"/>
    <col min="11" max="11" width="11.140625" customWidth="1"/>
    <col min="12" max="12" width="7.42578125" customWidth="1"/>
    <col min="13" max="13" width="6.5703125" customWidth="1"/>
    <col min="14" max="15" width="9.28515625" customWidth="1"/>
    <col min="16" max="29" width="9.140625" customWidth="1"/>
  </cols>
  <sheetData>
    <row r="1" spans="1:29" ht="12" customHeight="1" x14ac:dyDescent="0.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82.5" customHeight="1" x14ac:dyDescent="0.35">
      <c r="A2" s="182" t="s">
        <v>108</v>
      </c>
      <c r="B2" s="120"/>
      <c r="C2" s="120"/>
      <c r="D2" s="120"/>
      <c r="E2" s="120"/>
      <c r="F2" s="120"/>
      <c r="G2" s="120"/>
      <c r="H2" s="120"/>
      <c r="I2" s="1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51" customHeight="1" x14ac:dyDescent="0.35">
      <c r="A3" s="183" t="s">
        <v>254</v>
      </c>
      <c r="B3" s="120"/>
      <c r="C3" s="120"/>
      <c r="D3" s="120"/>
      <c r="E3" s="120"/>
      <c r="F3" s="120"/>
      <c r="G3" s="120"/>
      <c r="H3" s="120"/>
      <c r="I3" s="12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121" t="s">
        <v>0</v>
      </c>
      <c r="B4" s="122"/>
      <c r="C4" s="122"/>
      <c r="D4" s="122"/>
      <c r="E4" s="123"/>
      <c r="F4" s="124" t="s">
        <v>202</v>
      </c>
      <c r="G4" s="122"/>
      <c r="H4" s="122"/>
      <c r="I4" s="12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121" t="s">
        <v>1</v>
      </c>
      <c r="B5" s="122"/>
      <c r="C5" s="122"/>
      <c r="D5" s="122"/>
      <c r="E5" s="123"/>
      <c r="F5" s="124" t="s">
        <v>111</v>
      </c>
      <c r="G5" s="122"/>
      <c r="H5" s="122"/>
      <c r="I5" s="12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">
      <c r="A6" s="121" t="s">
        <v>2</v>
      </c>
      <c r="B6" s="122"/>
      <c r="C6" s="122"/>
      <c r="D6" s="122"/>
      <c r="E6" s="122"/>
      <c r="F6" s="122"/>
      <c r="G6" s="122"/>
      <c r="H6" s="122"/>
      <c r="I6" s="1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25" customHeight="1" x14ac:dyDescent="0.2">
      <c r="A7" s="184" t="s">
        <v>255</v>
      </c>
      <c r="B7" s="122"/>
      <c r="C7" s="122"/>
      <c r="D7" s="122"/>
      <c r="E7" s="122"/>
      <c r="F7" s="122"/>
      <c r="G7" s="122"/>
      <c r="H7" s="122"/>
      <c r="I7" s="1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0.25" customHeight="1" x14ac:dyDescent="0.2">
      <c r="A8" s="125" t="s">
        <v>3</v>
      </c>
      <c r="B8" s="122"/>
      <c r="C8" s="122"/>
      <c r="D8" s="122"/>
      <c r="E8" s="122"/>
      <c r="F8" s="122"/>
      <c r="G8" s="122"/>
      <c r="H8" s="122"/>
      <c r="I8" s="1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">
      <c r="A9" s="3" t="s">
        <v>4</v>
      </c>
      <c r="B9" s="121" t="s">
        <v>5</v>
      </c>
      <c r="C9" s="122"/>
      <c r="D9" s="122"/>
      <c r="E9" s="122"/>
      <c r="F9" s="122"/>
      <c r="G9" s="123"/>
      <c r="H9" s="124" t="s">
        <v>113</v>
      </c>
      <c r="I9" s="12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">
      <c r="A10" s="3" t="s">
        <v>6</v>
      </c>
      <c r="B10" s="121" t="s">
        <v>7</v>
      </c>
      <c r="C10" s="122"/>
      <c r="D10" s="122"/>
      <c r="E10" s="122"/>
      <c r="F10" s="122"/>
      <c r="G10" s="123"/>
      <c r="H10" s="124" t="s">
        <v>114</v>
      </c>
      <c r="I10" s="12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 x14ac:dyDescent="0.2">
      <c r="A11" s="3" t="s">
        <v>8</v>
      </c>
      <c r="B11" s="121" t="s">
        <v>9</v>
      </c>
      <c r="C11" s="122"/>
      <c r="D11" s="122"/>
      <c r="E11" s="122"/>
      <c r="F11" s="122"/>
      <c r="G11" s="123"/>
      <c r="H11" s="124" t="s">
        <v>256</v>
      </c>
      <c r="I11" s="12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">
      <c r="A12" s="3" t="s">
        <v>10</v>
      </c>
      <c r="B12" s="121" t="s">
        <v>11</v>
      </c>
      <c r="C12" s="122"/>
      <c r="D12" s="122"/>
      <c r="E12" s="122"/>
      <c r="F12" s="122"/>
      <c r="G12" s="123"/>
      <c r="H12" s="124">
        <v>12</v>
      </c>
      <c r="I12" s="12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x14ac:dyDescent="0.2">
      <c r="A13" s="126" t="s">
        <v>12</v>
      </c>
      <c r="B13" s="127"/>
      <c r="C13" s="127"/>
      <c r="D13" s="127"/>
      <c r="E13" s="127"/>
      <c r="F13" s="127"/>
      <c r="G13" s="127"/>
      <c r="H13" s="127"/>
      <c r="I13" s="1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x14ac:dyDescent="0.2">
      <c r="A14" s="185" t="s">
        <v>116</v>
      </c>
      <c r="B14" s="122"/>
      <c r="C14" s="122"/>
      <c r="D14" s="122"/>
      <c r="E14" s="122"/>
      <c r="F14" s="185" t="s">
        <v>117</v>
      </c>
      <c r="G14" s="123"/>
      <c r="H14" s="185" t="s">
        <v>118</v>
      </c>
      <c r="I14" s="123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spans="1:29" ht="27" customHeight="1" x14ac:dyDescent="0.2">
      <c r="A15" s="186" t="s">
        <v>257</v>
      </c>
      <c r="B15" s="122"/>
      <c r="C15" s="122"/>
      <c r="D15" s="122"/>
      <c r="E15" s="123"/>
      <c r="F15" s="187" t="s">
        <v>120</v>
      </c>
      <c r="G15" s="123"/>
      <c r="H15" s="188">
        <v>1</v>
      </c>
      <c r="I15" s="123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1:29" ht="12.75" x14ac:dyDescent="0.2">
      <c r="A16" s="130"/>
      <c r="B16" s="131"/>
      <c r="C16" s="131"/>
      <c r="D16" s="131"/>
      <c r="E16" s="131"/>
      <c r="F16" s="131"/>
      <c r="G16" s="131"/>
      <c r="H16" s="131"/>
      <c r="I16" s="132"/>
      <c r="J16" s="4"/>
      <c r="K16" s="5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7.5" customHeight="1" x14ac:dyDescent="0.2">
      <c r="A17" s="133"/>
      <c r="B17" s="122"/>
      <c r="C17" s="122"/>
      <c r="D17" s="122"/>
      <c r="E17" s="122"/>
      <c r="F17" s="122"/>
      <c r="G17" s="122"/>
      <c r="H17" s="122"/>
      <c r="I17" s="123"/>
      <c r="J17" s="4"/>
      <c r="K17" s="5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54" customHeight="1" x14ac:dyDescent="0.2">
      <c r="A18" s="134" t="s">
        <v>258</v>
      </c>
      <c r="B18" s="122"/>
      <c r="C18" s="122"/>
      <c r="D18" s="122"/>
      <c r="E18" s="122"/>
      <c r="F18" s="122"/>
      <c r="G18" s="122"/>
      <c r="H18" s="122"/>
      <c r="I18" s="123"/>
      <c r="J18" s="4"/>
      <c r="K18" s="5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9" customHeight="1" x14ac:dyDescent="0.2">
      <c r="A19" s="135"/>
      <c r="B19" s="122"/>
      <c r="C19" s="122"/>
      <c r="D19" s="122"/>
      <c r="E19" s="122"/>
      <c r="F19" s="122"/>
      <c r="G19" s="122"/>
      <c r="H19" s="122"/>
      <c r="I19" s="123"/>
      <c r="J19" s="4"/>
      <c r="K19" s="5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1.75" customHeight="1" x14ac:dyDescent="0.2">
      <c r="A20" s="125" t="s">
        <v>13</v>
      </c>
      <c r="B20" s="122"/>
      <c r="C20" s="122"/>
      <c r="D20" s="122"/>
      <c r="E20" s="122"/>
      <c r="F20" s="122"/>
      <c r="G20" s="122"/>
      <c r="H20" s="122"/>
      <c r="I20" s="123"/>
      <c r="J20" s="129"/>
      <c r="K20" s="120"/>
      <c r="L20" s="120"/>
      <c r="M20" s="120"/>
      <c r="N20" s="120"/>
      <c r="O20" s="120"/>
      <c r="P20" s="120"/>
      <c r="Q20" s="129"/>
      <c r="R20" s="120"/>
      <c r="S20" s="120"/>
      <c r="T20" s="120"/>
      <c r="U20" s="120"/>
      <c r="V20" s="120"/>
      <c r="W20" s="120"/>
      <c r="X20" s="120"/>
      <c r="Y20" s="129"/>
      <c r="Z20" s="120"/>
      <c r="AA20" s="120"/>
      <c r="AB20" s="120"/>
      <c r="AC20" s="120"/>
    </row>
    <row r="21" spans="1:29" ht="15.75" customHeight="1" x14ac:dyDescent="0.2">
      <c r="A21" s="3">
        <v>1</v>
      </c>
      <c r="B21" s="121" t="s">
        <v>14</v>
      </c>
      <c r="C21" s="122"/>
      <c r="D21" s="122"/>
      <c r="E21" s="122"/>
      <c r="F21" s="122"/>
      <c r="G21" s="123"/>
      <c r="H21" s="136" t="s">
        <v>122</v>
      </c>
      <c r="I21" s="12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">
      <c r="A22" s="3">
        <v>2</v>
      </c>
      <c r="B22" s="121" t="s">
        <v>15</v>
      </c>
      <c r="C22" s="122"/>
      <c r="D22" s="122"/>
      <c r="E22" s="122"/>
      <c r="F22" s="122"/>
      <c r="G22" s="123"/>
      <c r="H22" s="189">
        <v>1196079</v>
      </c>
      <c r="I22" s="12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">
      <c r="A23" s="3">
        <v>3</v>
      </c>
      <c r="B23" s="121" t="s">
        <v>259</v>
      </c>
      <c r="C23" s="122"/>
      <c r="D23" s="122"/>
      <c r="E23" s="122"/>
      <c r="F23" s="122"/>
      <c r="G23" s="123"/>
      <c r="H23" s="136">
        <v>1991.06</v>
      </c>
      <c r="I23" s="1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">
      <c r="A24" s="3">
        <v>4</v>
      </c>
      <c r="B24" s="121" t="s">
        <v>16</v>
      </c>
      <c r="C24" s="122"/>
      <c r="D24" s="122"/>
      <c r="E24" s="122"/>
      <c r="F24" s="122"/>
      <c r="G24" s="123"/>
      <c r="H24" s="136" t="s">
        <v>122</v>
      </c>
      <c r="I24" s="12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">
      <c r="A25" s="3">
        <v>5</v>
      </c>
      <c r="B25" s="121" t="s">
        <v>17</v>
      </c>
      <c r="C25" s="122"/>
      <c r="D25" s="122"/>
      <c r="E25" s="122"/>
      <c r="F25" s="122"/>
      <c r="G25" s="123"/>
      <c r="H25" s="137" t="s">
        <v>124</v>
      </c>
      <c r="I25" s="12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">
      <c r="A26" s="72">
        <v>6</v>
      </c>
      <c r="B26" s="190" t="s">
        <v>260</v>
      </c>
      <c r="C26" s="191"/>
      <c r="D26" s="191"/>
      <c r="E26" s="191"/>
      <c r="F26" s="191"/>
      <c r="G26" s="192"/>
      <c r="H26" s="193">
        <f>H23/220</f>
        <v>9.050272727272727</v>
      </c>
      <c r="I26" s="192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5.75" customHeight="1" x14ac:dyDescent="0.2">
      <c r="A27" s="74">
        <v>7</v>
      </c>
      <c r="B27" s="190" t="s">
        <v>261</v>
      </c>
      <c r="C27" s="191"/>
      <c r="D27" s="191"/>
      <c r="E27" s="191"/>
      <c r="F27" s="191"/>
      <c r="G27" s="192"/>
      <c r="H27" s="193">
        <f>H26*1.5</f>
        <v>13.575409090909091</v>
      </c>
      <c r="I27" s="192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</row>
    <row r="28" spans="1:29" ht="15.75" customHeight="1" x14ac:dyDescent="0.2">
      <c r="A28" s="74">
        <v>8</v>
      </c>
      <c r="B28" s="190" t="s">
        <v>262</v>
      </c>
      <c r="C28" s="191"/>
      <c r="D28" s="191"/>
      <c r="E28" s="191"/>
      <c r="F28" s="191"/>
      <c r="G28" s="192"/>
      <c r="H28" s="215">
        <f>ROUND(H26*0.2,2)</f>
        <v>1.81</v>
      </c>
      <c r="I28" s="192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</row>
    <row r="29" spans="1:29" ht="15.75" customHeight="1" x14ac:dyDescent="0.2">
      <c r="A29" s="74">
        <v>9</v>
      </c>
      <c r="B29" s="190" t="s">
        <v>127</v>
      </c>
      <c r="C29" s="191"/>
      <c r="D29" s="191"/>
      <c r="E29" s="191"/>
      <c r="F29" s="191"/>
      <c r="G29" s="192"/>
      <c r="H29" s="195">
        <v>1</v>
      </c>
      <c r="I29" s="19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</row>
    <row r="30" spans="1:29" ht="9" customHeight="1" x14ac:dyDescent="0.2">
      <c r="A30" s="138"/>
      <c r="B30" s="122"/>
      <c r="C30" s="122"/>
      <c r="D30" s="122"/>
      <c r="E30" s="122"/>
      <c r="F30" s="122"/>
      <c r="G30" s="122"/>
      <c r="H30" s="122"/>
      <c r="I30" s="12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2.5" customHeight="1" x14ac:dyDescent="0.2">
      <c r="A31" s="139"/>
      <c r="B31" s="122"/>
      <c r="C31" s="122"/>
      <c r="D31" s="122"/>
      <c r="E31" s="122"/>
      <c r="F31" s="122"/>
      <c r="G31" s="122"/>
      <c r="H31" s="122"/>
      <c r="I31" s="12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9" customHeight="1" x14ac:dyDescent="0.2">
      <c r="A32" s="140"/>
      <c r="B32" s="122"/>
      <c r="C32" s="122"/>
      <c r="D32" s="122"/>
      <c r="E32" s="122"/>
      <c r="F32" s="122"/>
      <c r="G32" s="122"/>
      <c r="H32" s="122"/>
      <c r="I32" s="12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2.5" customHeight="1" x14ac:dyDescent="0.2">
      <c r="A33" s="141" t="s">
        <v>18</v>
      </c>
      <c r="B33" s="122"/>
      <c r="C33" s="122"/>
      <c r="D33" s="122"/>
      <c r="E33" s="122"/>
      <c r="F33" s="122"/>
      <c r="G33" s="122"/>
      <c r="H33" s="122"/>
      <c r="I33" s="12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30" customHeight="1" x14ac:dyDescent="0.2">
      <c r="A34" s="7">
        <v>1</v>
      </c>
      <c r="B34" s="142" t="s">
        <v>19</v>
      </c>
      <c r="C34" s="122"/>
      <c r="D34" s="122"/>
      <c r="E34" s="122"/>
      <c r="F34" s="122"/>
      <c r="G34" s="123"/>
      <c r="H34" s="7" t="s">
        <v>20</v>
      </c>
      <c r="I34" s="7" t="s">
        <v>21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27" customHeight="1" x14ac:dyDescent="0.2">
      <c r="A35" s="3" t="s">
        <v>4</v>
      </c>
      <c r="B35" s="121" t="s">
        <v>263</v>
      </c>
      <c r="C35" s="122"/>
      <c r="D35" s="122"/>
      <c r="E35" s="122"/>
      <c r="F35" s="122"/>
      <c r="G35" s="122"/>
      <c r="H35" s="123"/>
      <c r="I35" s="9">
        <f>((22/6)*30)*(H23/220)</f>
        <v>995.53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5" customHeight="1" x14ac:dyDescent="0.2">
      <c r="A36" s="3" t="s">
        <v>6</v>
      </c>
      <c r="B36" s="143" t="s">
        <v>264</v>
      </c>
      <c r="C36" s="122"/>
      <c r="D36" s="122"/>
      <c r="E36" s="122"/>
      <c r="F36" s="122"/>
      <c r="G36" s="123"/>
      <c r="H36" s="11"/>
      <c r="I36" s="9">
        <f>ROUND(H36*I35,2)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x14ac:dyDescent="0.2">
      <c r="A37" s="3" t="s">
        <v>8</v>
      </c>
      <c r="B37" s="196" t="s">
        <v>265</v>
      </c>
      <c r="C37" s="122"/>
      <c r="D37" s="122"/>
      <c r="E37" s="122"/>
      <c r="F37" s="122"/>
      <c r="G37" s="122"/>
      <c r="H37" s="123"/>
      <c r="I37" s="75">
        <f>ROUND(1*1*22*H28,2)</f>
        <v>39.82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6.25" customHeight="1" x14ac:dyDescent="0.2">
      <c r="A38" s="3" t="s">
        <v>10</v>
      </c>
      <c r="B38" s="196" t="s">
        <v>266</v>
      </c>
      <c r="C38" s="122"/>
      <c r="D38" s="122"/>
      <c r="E38" s="122"/>
      <c r="F38" s="122"/>
      <c r="G38" s="122"/>
      <c r="H38" s="123"/>
      <c r="I38" s="75">
        <f>ROUND((H26*0.125)*22*1,0)*1.2</f>
        <v>30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">
      <c r="A39" s="3" t="s">
        <v>22</v>
      </c>
      <c r="B39" s="121" t="s">
        <v>24</v>
      </c>
      <c r="C39" s="122"/>
      <c r="D39" s="122"/>
      <c r="E39" s="122"/>
      <c r="F39" s="122"/>
      <c r="G39" s="122"/>
      <c r="H39" s="123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25">
      <c r="A40" s="218" t="s">
        <v>30</v>
      </c>
      <c r="B40" s="122"/>
      <c r="C40" s="122"/>
      <c r="D40" s="122"/>
      <c r="E40" s="122"/>
      <c r="F40" s="122"/>
      <c r="G40" s="122"/>
      <c r="H40" s="123"/>
      <c r="I40" s="76">
        <f>SUM(I35:I39)</f>
        <v>1065.3499999999999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</row>
    <row r="41" spans="1:29" ht="12.75" x14ac:dyDescent="0.2">
      <c r="A41" s="145"/>
      <c r="B41" s="122"/>
      <c r="C41" s="122"/>
      <c r="D41" s="122"/>
      <c r="E41" s="122"/>
      <c r="F41" s="122"/>
      <c r="G41" s="122"/>
      <c r="H41" s="122"/>
      <c r="I41" s="12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71.25" customHeight="1" x14ac:dyDescent="0.2">
      <c r="A42" s="146" t="s">
        <v>267</v>
      </c>
      <c r="B42" s="122"/>
      <c r="C42" s="122"/>
      <c r="D42" s="122"/>
      <c r="E42" s="122"/>
      <c r="F42" s="122"/>
      <c r="G42" s="122"/>
      <c r="H42" s="122"/>
      <c r="I42" s="12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0.5" customHeight="1" x14ac:dyDescent="0.2">
      <c r="A43" s="147"/>
      <c r="B43" s="122"/>
      <c r="C43" s="122"/>
      <c r="D43" s="122"/>
      <c r="E43" s="122"/>
      <c r="F43" s="122"/>
      <c r="G43" s="122"/>
      <c r="H43" s="122"/>
      <c r="I43" s="12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1.75" customHeight="1" x14ac:dyDescent="0.2">
      <c r="A44" s="148" t="s">
        <v>26</v>
      </c>
      <c r="B44" s="122"/>
      <c r="C44" s="122"/>
      <c r="D44" s="122"/>
      <c r="E44" s="122"/>
      <c r="F44" s="122"/>
      <c r="G44" s="122"/>
      <c r="H44" s="122"/>
      <c r="I44" s="12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5.5" customHeight="1" x14ac:dyDescent="0.2">
      <c r="A45" s="149" t="s">
        <v>218</v>
      </c>
      <c r="B45" s="122"/>
      <c r="C45" s="122"/>
      <c r="D45" s="122"/>
      <c r="E45" s="122"/>
      <c r="F45" s="122"/>
      <c r="G45" s="122"/>
      <c r="H45" s="122"/>
      <c r="I45" s="12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5.5" customHeight="1" x14ac:dyDescent="0.2">
      <c r="A46" s="12" t="s">
        <v>27</v>
      </c>
      <c r="B46" s="150" t="s">
        <v>28</v>
      </c>
      <c r="C46" s="122"/>
      <c r="D46" s="122"/>
      <c r="E46" s="122"/>
      <c r="F46" s="122"/>
      <c r="G46" s="122"/>
      <c r="H46" s="123"/>
      <c r="I46" s="13" t="s">
        <v>29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5.5" customHeight="1" x14ac:dyDescent="0.2">
      <c r="A47" s="14" t="s">
        <v>4</v>
      </c>
      <c r="B47" s="121" t="s">
        <v>268</v>
      </c>
      <c r="C47" s="122"/>
      <c r="D47" s="122"/>
      <c r="E47" s="122"/>
      <c r="F47" s="122"/>
      <c r="G47" s="123"/>
      <c r="H47" s="10">
        <v>8.3299999999999999E-2</v>
      </c>
      <c r="I47" s="15">
        <f t="shared" ref="I47:I48" si="0">ROUND($I$40*H47,2)</f>
        <v>88.74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9.25" customHeight="1" x14ac:dyDescent="0.2">
      <c r="A48" s="14" t="s">
        <v>6</v>
      </c>
      <c r="B48" s="151" t="s">
        <v>269</v>
      </c>
      <c r="C48" s="122"/>
      <c r="D48" s="122"/>
      <c r="E48" s="122"/>
      <c r="F48" s="122"/>
      <c r="G48" s="123"/>
      <c r="H48" s="80">
        <v>3.0249999999999999E-2</v>
      </c>
      <c r="I48" s="15">
        <f t="shared" si="0"/>
        <v>32.229999999999997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5" customHeight="1" x14ac:dyDescent="0.2">
      <c r="A49" s="152" t="s">
        <v>30</v>
      </c>
      <c r="B49" s="122"/>
      <c r="C49" s="122"/>
      <c r="D49" s="122"/>
      <c r="E49" s="122"/>
      <c r="F49" s="122"/>
      <c r="G49" s="122"/>
      <c r="H49" s="123"/>
      <c r="I49" s="16">
        <f>SUM(I47+I48)</f>
        <v>120.97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0.5" customHeight="1" x14ac:dyDescent="0.2">
      <c r="A50" s="153"/>
      <c r="B50" s="122"/>
      <c r="C50" s="122"/>
      <c r="D50" s="122"/>
      <c r="E50" s="122"/>
      <c r="F50" s="122"/>
      <c r="G50" s="122"/>
      <c r="H50" s="122"/>
      <c r="I50" s="123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59.25" customHeight="1" x14ac:dyDescent="0.2">
      <c r="A51" s="139" t="s">
        <v>139</v>
      </c>
      <c r="B51" s="122"/>
      <c r="C51" s="122"/>
      <c r="D51" s="122"/>
      <c r="E51" s="122"/>
      <c r="F51" s="122"/>
      <c r="G51" s="122"/>
      <c r="H51" s="122"/>
      <c r="I51" s="12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1.25" customHeight="1" x14ac:dyDescent="0.2">
      <c r="A52" s="154"/>
      <c r="B52" s="122"/>
      <c r="C52" s="122"/>
      <c r="D52" s="122"/>
      <c r="E52" s="122"/>
      <c r="F52" s="122"/>
      <c r="G52" s="122"/>
      <c r="H52" s="122"/>
      <c r="I52" s="12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41.25" customHeight="1" x14ac:dyDescent="0.2">
      <c r="A53" s="155" t="s">
        <v>270</v>
      </c>
      <c r="B53" s="122"/>
      <c r="C53" s="122"/>
      <c r="D53" s="122"/>
      <c r="E53" s="122"/>
      <c r="F53" s="122"/>
      <c r="G53" s="122"/>
      <c r="H53" s="122"/>
      <c r="I53" s="12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30" customHeight="1" x14ac:dyDescent="0.2">
      <c r="A54" s="18" t="s">
        <v>31</v>
      </c>
      <c r="B54" s="142" t="s">
        <v>32</v>
      </c>
      <c r="C54" s="122"/>
      <c r="D54" s="122"/>
      <c r="E54" s="122"/>
      <c r="F54" s="122"/>
      <c r="G54" s="123"/>
      <c r="H54" s="19" t="s">
        <v>33</v>
      </c>
      <c r="I54" s="19" t="s">
        <v>34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">
      <c r="A55" s="20" t="s">
        <v>4</v>
      </c>
      <c r="B55" s="121" t="s">
        <v>35</v>
      </c>
      <c r="C55" s="122"/>
      <c r="D55" s="122"/>
      <c r="E55" s="122"/>
      <c r="F55" s="122"/>
      <c r="G55" s="123"/>
      <c r="H55" s="21">
        <v>0.2</v>
      </c>
      <c r="I55" s="22">
        <f t="shared" ref="I55:I62" si="1">ROUND(($I$40+$I$49)*H55,2)</f>
        <v>237.26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">
      <c r="A56" s="20" t="s">
        <v>6</v>
      </c>
      <c r="B56" s="121" t="s">
        <v>36</v>
      </c>
      <c r="C56" s="122"/>
      <c r="D56" s="122"/>
      <c r="E56" s="122"/>
      <c r="F56" s="122"/>
      <c r="G56" s="123"/>
      <c r="H56" s="21">
        <v>2.5000000000000001E-2</v>
      </c>
      <c r="I56" s="22">
        <f t="shared" si="1"/>
        <v>29.66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70.5" customHeight="1" x14ac:dyDescent="0.2">
      <c r="A57" s="20" t="s">
        <v>8</v>
      </c>
      <c r="B57" s="121" t="s">
        <v>271</v>
      </c>
      <c r="C57" s="123"/>
      <c r="D57" s="23" t="s">
        <v>37</v>
      </c>
      <c r="E57" s="24">
        <v>0.03</v>
      </c>
      <c r="F57" s="23" t="s">
        <v>38</v>
      </c>
      <c r="G57" s="25">
        <v>1</v>
      </c>
      <c r="H57" s="26">
        <f>ROUND((E57*G57),6)</f>
        <v>0.03</v>
      </c>
      <c r="I57" s="22">
        <f t="shared" si="1"/>
        <v>35.590000000000003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">
      <c r="A58" s="20" t="s">
        <v>10</v>
      </c>
      <c r="B58" s="121" t="s">
        <v>39</v>
      </c>
      <c r="C58" s="122"/>
      <c r="D58" s="122"/>
      <c r="E58" s="122"/>
      <c r="F58" s="122"/>
      <c r="G58" s="123"/>
      <c r="H58" s="21">
        <v>1.4999999999999999E-2</v>
      </c>
      <c r="I58" s="22">
        <f t="shared" si="1"/>
        <v>17.79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">
      <c r="A59" s="20" t="s">
        <v>22</v>
      </c>
      <c r="B59" s="121" t="s">
        <v>40</v>
      </c>
      <c r="C59" s="122"/>
      <c r="D59" s="122"/>
      <c r="E59" s="122"/>
      <c r="F59" s="122"/>
      <c r="G59" s="123"/>
      <c r="H59" s="21">
        <v>0.01</v>
      </c>
      <c r="I59" s="22">
        <f t="shared" si="1"/>
        <v>11.86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">
      <c r="A60" s="20" t="s">
        <v>23</v>
      </c>
      <c r="B60" s="121" t="s">
        <v>41</v>
      </c>
      <c r="C60" s="122"/>
      <c r="D60" s="122"/>
      <c r="E60" s="122"/>
      <c r="F60" s="122"/>
      <c r="G60" s="123"/>
      <c r="H60" s="21">
        <v>6.0000000000000001E-3</v>
      </c>
      <c r="I60" s="22">
        <f t="shared" si="1"/>
        <v>7.12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0.25" customHeight="1" x14ac:dyDescent="0.2">
      <c r="A61" s="20" t="s">
        <v>42</v>
      </c>
      <c r="B61" s="121" t="s">
        <v>43</v>
      </c>
      <c r="C61" s="122"/>
      <c r="D61" s="122"/>
      <c r="E61" s="122"/>
      <c r="F61" s="122"/>
      <c r="G61" s="123"/>
      <c r="H61" s="21">
        <v>2E-3</v>
      </c>
      <c r="I61" s="22">
        <f t="shared" si="1"/>
        <v>2.37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">
      <c r="A62" s="20" t="s">
        <v>44</v>
      </c>
      <c r="B62" s="121" t="s">
        <v>45</v>
      </c>
      <c r="C62" s="122"/>
      <c r="D62" s="122"/>
      <c r="E62" s="122"/>
      <c r="F62" s="122"/>
      <c r="G62" s="123"/>
      <c r="H62" s="21">
        <v>0.08</v>
      </c>
      <c r="I62" s="22">
        <f t="shared" si="1"/>
        <v>94.91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">
      <c r="A63" s="152" t="s">
        <v>30</v>
      </c>
      <c r="B63" s="122"/>
      <c r="C63" s="122"/>
      <c r="D63" s="122"/>
      <c r="E63" s="122"/>
      <c r="F63" s="122"/>
      <c r="G63" s="123"/>
      <c r="H63" s="27">
        <f t="shared" ref="H63:I63" si="2">SUM(H55:H62)</f>
        <v>0.36800000000000005</v>
      </c>
      <c r="I63" s="28">
        <f t="shared" si="2"/>
        <v>436.56000000000006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8.25" customHeight="1" x14ac:dyDescent="0.2">
      <c r="A64" s="29"/>
      <c r="B64" s="30"/>
      <c r="C64" s="30"/>
      <c r="D64" s="30"/>
      <c r="E64" s="30"/>
      <c r="F64" s="30"/>
      <c r="G64" s="30"/>
      <c r="H64" s="31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35.25" customHeight="1" x14ac:dyDescent="0.2">
      <c r="A65" s="139" t="s">
        <v>272</v>
      </c>
      <c r="B65" s="122"/>
      <c r="C65" s="122"/>
      <c r="D65" s="122"/>
      <c r="E65" s="122"/>
      <c r="F65" s="122"/>
      <c r="G65" s="122"/>
      <c r="H65" s="122"/>
      <c r="I65" s="12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7.5" customHeight="1" x14ac:dyDescent="0.2">
      <c r="A66" s="133"/>
      <c r="B66" s="122"/>
      <c r="C66" s="122"/>
      <c r="D66" s="122"/>
      <c r="E66" s="122"/>
      <c r="F66" s="122"/>
      <c r="G66" s="122"/>
      <c r="H66" s="122"/>
      <c r="I66" s="12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8" customHeight="1" x14ac:dyDescent="0.2">
      <c r="A67" s="156" t="s">
        <v>46</v>
      </c>
      <c r="B67" s="122"/>
      <c r="C67" s="122"/>
      <c r="D67" s="122"/>
      <c r="E67" s="122"/>
      <c r="F67" s="122"/>
      <c r="G67" s="122"/>
      <c r="H67" s="122"/>
      <c r="I67" s="12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8" customHeight="1" x14ac:dyDescent="0.2">
      <c r="A68" s="33" t="s">
        <v>47</v>
      </c>
      <c r="B68" s="142" t="s">
        <v>48</v>
      </c>
      <c r="C68" s="122"/>
      <c r="D68" s="122"/>
      <c r="E68" s="122"/>
      <c r="F68" s="122"/>
      <c r="G68" s="122"/>
      <c r="H68" s="123"/>
      <c r="I68" s="19" t="s">
        <v>29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">
      <c r="A69" s="14" t="s">
        <v>4</v>
      </c>
      <c r="B69" s="121" t="s">
        <v>273</v>
      </c>
      <c r="C69" s="122"/>
      <c r="D69" s="122"/>
      <c r="E69" s="122"/>
      <c r="F69" s="122"/>
      <c r="G69" s="122"/>
      <c r="H69" s="122"/>
      <c r="I69" s="22">
        <f>IF(ROUND((H72*H70*H71)-(I35*H73),2)&lt;0,0,ROUND((H72*H70*H71)-(I35*H73),2))</f>
        <v>182.27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2.5" customHeight="1" x14ac:dyDescent="0.2">
      <c r="A70" s="14"/>
      <c r="B70" s="157" t="s">
        <v>274</v>
      </c>
      <c r="C70" s="122"/>
      <c r="D70" s="122"/>
      <c r="E70" s="122"/>
      <c r="F70" s="122"/>
      <c r="G70" s="122"/>
      <c r="H70" s="34">
        <v>5.5</v>
      </c>
      <c r="I70" s="35" t="s">
        <v>49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7.25" customHeight="1" x14ac:dyDescent="0.2">
      <c r="A71" s="14"/>
      <c r="B71" s="157" t="s">
        <v>275</v>
      </c>
      <c r="C71" s="122"/>
      <c r="D71" s="122"/>
      <c r="E71" s="122"/>
      <c r="F71" s="122"/>
      <c r="G71" s="123"/>
      <c r="H71" s="36">
        <v>2</v>
      </c>
      <c r="I71" s="3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2">
      <c r="A72" s="14"/>
      <c r="B72" s="157" t="s">
        <v>276</v>
      </c>
      <c r="C72" s="122"/>
      <c r="D72" s="122"/>
      <c r="E72" s="122"/>
      <c r="F72" s="122"/>
      <c r="G72" s="123"/>
      <c r="H72" s="37">
        <v>22</v>
      </c>
      <c r="I72" s="3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2">
      <c r="A73" s="14"/>
      <c r="B73" s="158" t="s">
        <v>277</v>
      </c>
      <c r="C73" s="120"/>
      <c r="D73" s="120"/>
      <c r="E73" s="120"/>
      <c r="F73" s="120"/>
      <c r="G73" s="120"/>
      <c r="H73" s="38">
        <v>0.06</v>
      </c>
      <c r="I73" s="3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">
      <c r="A74" s="14" t="s">
        <v>6</v>
      </c>
      <c r="B74" s="121" t="s">
        <v>278</v>
      </c>
      <c r="C74" s="122"/>
      <c r="D74" s="122"/>
      <c r="E74" s="122"/>
      <c r="F74" s="122"/>
      <c r="G74" s="122"/>
      <c r="H74" s="122"/>
      <c r="I74" s="22">
        <f>ROUND(H76*H75*(1-H77),2)</f>
        <v>226.49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">
      <c r="A75" s="14"/>
      <c r="B75" s="157" t="s">
        <v>279</v>
      </c>
      <c r="C75" s="122"/>
      <c r="D75" s="122"/>
      <c r="E75" s="122"/>
      <c r="F75" s="122"/>
      <c r="G75" s="122"/>
      <c r="H75" s="34">
        <v>12.71</v>
      </c>
      <c r="I75" s="35" t="s">
        <v>49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">
      <c r="A76" s="40"/>
      <c r="B76" s="157" t="s">
        <v>280</v>
      </c>
      <c r="C76" s="122"/>
      <c r="D76" s="122"/>
      <c r="E76" s="122"/>
      <c r="F76" s="122"/>
      <c r="G76" s="122"/>
      <c r="H76" s="37">
        <v>22</v>
      </c>
      <c r="I76" s="3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">
      <c r="A77" s="40"/>
      <c r="B77" s="159" t="s">
        <v>50</v>
      </c>
      <c r="C77" s="122"/>
      <c r="D77" s="122"/>
      <c r="E77" s="122"/>
      <c r="F77" s="122"/>
      <c r="G77" s="122"/>
      <c r="H77" s="41">
        <v>0.19</v>
      </c>
      <c r="I77" s="3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">
      <c r="A78" s="14" t="s">
        <v>8</v>
      </c>
      <c r="B78" s="121" t="s">
        <v>51</v>
      </c>
      <c r="C78" s="122"/>
      <c r="D78" s="122"/>
      <c r="E78" s="122"/>
      <c r="F78" s="122"/>
      <c r="G78" s="122"/>
      <c r="H78" s="122"/>
      <c r="I78" s="22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hidden="1" customHeight="1" x14ac:dyDescent="0.2">
      <c r="A79" s="40" t="s">
        <v>10</v>
      </c>
      <c r="B79" s="160" t="s">
        <v>52</v>
      </c>
      <c r="C79" s="122"/>
      <c r="D79" s="122"/>
      <c r="E79" s="122"/>
      <c r="F79" s="122"/>
      <c r="G79" s="122"/>
      <c r="H79" s="122"/>
      <c r="I79" s="42" t="s">
        <v>53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30" customHeight="1" x14ac:dyDescent="0.2">
      <c r="A80" s="14" t="s">
        <v>10</v>
      </c>
      <c r="B80" s="121" t="s">
        <v>281</v>
      </c>
      <c r="C80" s="122"/>
      <c r="D80" s="122"/>
      <c r="E80" s="122"/>
      <c r="F80" s="122"/>
      <c r="G80" s="122"/>
      <c r="H80" s="123"/>
      <c r="I80" s="43">
        <v>24.1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">
      <c r="A81" s="14" t="s">
        <v>22</v>
      </c>
      <c r="B81" s="161" t="s">
        <v>54</v>
      </c>
      <c r="C81" s="122"/>
      <c r="D81" s="122"/>
      <c r="E81" s="122"/>
      <c r="F81" s="122"/>
      <c r="G81" s="122"/>
      <c r="H81" s="122"/>
      <c r="I81" s="44" t="s">
        <v>49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">
      <c r="A82" s="45"/>
      <c r="B82" s="152" t="s">
        <v>25</v>
      </c>
      <c r="C82" s="122"/>
      <c r="D82" s="122"/>
      <c r="E82" s="122"/>
      <c r="F82" s="122"/>
      <c r="G82" s="122"/>
      <c r="H82" s="123"/>
      <c r="I82" s="28">
        <f>SUM(I69:I80)</f>
        <v>432.86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7.5" customHeight="1" x14ac:dyDescent="0.2">
      <c r="A83" s="133"/>
      <c r="B83" s="122"/>
      <c r="C83" s="122"/>
      <c r="D83" s="122"/>
      <c r="E83" s="122"/>
      <c r="F83" s="122"/>
      <c r="G83" s="122"/>
      <c r="H83" s="122"/>
      <c r="I83" s="12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36" customHeight="1" x14ac:dyDescent="0.2">
      <c r="A84" s="139" t="s">
        <v>55</v>
      </c>
      <c r="B84" s="122"/>
      <c r="C84" s="122"/>
      <c r="D84" s="122"/>
      <c r="E84" s="122"/>
      <c r="F84" s="122"/>
      <c r="G84" s="122"/>
      <c r="H84" s="122"/>
      <c r="I84" s="12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7.5" customHeight="1" x14ac:dyDescent="0.2">
      <c r="A85" s="166"/>
      <c r="B85" s="122"/>
      <c r="C85" s="122"/>
      <c r="D85" s="122"/>
      <c r="E85" s="122"/>
      <c r="F85" s="122"/>
      <c r="G85" s="122"/>
      <c r="H85" s="122"/>
      <c r="I85" s="12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1.75" customHeight="1" x14ac:dyDescent="0.2">
      <c r="A86" s="141" t="s">
        <v>56</v>
      </c>
      <c r="B86" s="122"/>
      <c r="C86" s="122"/>
      <c r="D86" s="122"/>
      <c r="E86" s="122"/>
      <c r="F86" s="122"/>
      <c r="G86" s="122"/>
      <c r="H86" s="122"/>
      <c r="I86" s="12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3.25" customHeight="1" x14ac:dyDescent="0.2">
      <c r="A87" s="19">
        <v>2</v>
      </c>
      <c r="B87" s="142" t="s">
        <v>57</v>
      </c>
      <c r="C87" s="122"/>
      <c r="D87" s="122"/>
      <c r="E87" s="122"/>
      <c r="F87" s="122"/>
      <c r="G87" s="122"/>
      <c r="H87" s="123"/>
      <c r="I87" s="19" t="s">
        <v>29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1.75" customHeight="1" x14ac:dyDescent="0.2">
      <c r="A88" s="3" t="s">
        <v>27</v>
      </c>
      <c r="B88" s="194" t="s">
        <v>136</v>
      </c>
      <c r="C88" s="122"/>
      <c r="D88" s="122"/>
      <c r="E88" s="122"/>
      <c r="F88" s="122"/>
      <c r="G88" s="122"/>
      <c r="H88" s="123"/>
      <c r="I88" s="15">
        <f>I49</f>
        <v>120.97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8" customHeight="1" x14ac:dyDescent="0.2">
      <c r="A89" s="3" t="s">
        <v>31</v>
      </c>
      <c r="B89" s="121" t="s">
        <v>32</v>
      </c>
      <c r="C89" s="122"/>
      <c r="D89" s="122"/>
      <c r="E89" s="122"/>
      <c r="F89" s="122"/>
      <c r="G89" s="122"/>
      <c r="H89" s="123"/>
      <c r="I89" s="15">
        <f>I63</f>
        <v>436.56000000000006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1.75" customHeight="1" x14ac:dyDescent="0.2">
      <c r="A90" s="3" t="s">
        <v>47</v>
      </c>
      <c r="B90" s="121" t="s">
        <v>48</v>
      </c>
      <c r="C90" s="122"/>
      <c r="D90" s="122"/>
      <c r="E90" s="122"/>
      <c r="F90" s="122"/>
      <c r="G90" s="122"/>
      <c r="H90" s="123"/>
      <c r="I90" s="15">
        <f>I82</f>
        <v>432.86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1.75" customHeight="1" x14ac:dyDescent="0.2">
      <c r="A91" s="144" t="s">
        <v>30</v>
      </c>
      <c r="B91" s="122"/>
      <c r="C91" s="122"/>
      <c r="D91" s="122"/>
      <c r="E91" s="122"/>
      <c r="F91" s="122"/>
      <c r="G91" s="122"/>
      <c r="H91" s="123"/>
      <c r="I91" s="46">
        <f>SUM(I88+I89+I90)</f>
        <v>990.3900000000001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" customHeight="1" x14ac:dyDescent="0.2">
      <c r="A92" s="167"/>
      <c r="B92" s="122"/>
      <c r="C92" s="122"/>
      <c r="D92" s="122"/>
      <c r="E92" s="122"/>
      <c r="F92" s="122"/>
      <c r="G92" s="122"/>
      <c r="H92" s="122"/>
      <c r="I92" s="1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6.25" customHeight="1" x14ac:dyDescent="0.2">
      <c r="A93" s="148" t="s">
        <v>58</v>
      </c>
      <c r="B93" s="122"/>
      <c r="C93" s="122"/>
      <c r="D93" s="122"/>
      <c r="E93" s="122"/>
      <c r="F93" s="122"/>
      <c r="G93" s="122"/>
      <c r="H93" s="122"/>
      <c r="I93" s="12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8.5" customHeight="1" x14ac:dyDescent="0.2">
      <c r="A94" s="33">
        <v>3</v>
      </c>
      <c r="B94" s="162" t="s">
        <v>59</v>
      </c>
      <c r="C94" s="122"/>
      <c r="D94" s="122"/>
      <c r="E94" s="122"/>
      <c r="F94" s="122"/>
      <c r="G94" s="122"/>
      <c r="H94" s="123"/>
      <c r="I94" s="33" t="s">
        <v>60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45" customHeight="1" x14ac:dyDescent="0.2">
      <c r="A95" s="14" t="s">
        <v>4</v>
      </c>
      <c r="B95" s="121" t="s">
        <v>282</v>
      </c>
      <c r="C95" s="122"/>
      <c r="D95" s="122"/>
      <c r="E95" s="122"/>
      <c r="F95" s="122"/>
      <c r="G95" s="122"/>
      <c r="H95" s="123"/>
      <c r="I95" s="22">
        <f>ROUND((($I$40/12)+($I$47/12)+($I$40*0.121/12))*(30/30)*0.05,2)</f>
        <v>5.35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">
      <c r="A96" s="14" t="s">
        <v>6</v>
      </c>
      <c r="B96" s="161" t="s">
        <v>61</v>
      </c>
      <c r="C96" s="122"/>
      <c r="D96" s="122"/>
      <c r="E96" s="122"/>
      <c r="F96" s="122"/>
      <c r="G96" s="122"/>
      <c r="H96" s="123"/>
      <c r="I96" s="22">
        <f>ROUND($I$95*H62,2)</f>
        <v>0.43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42" customHeight="1" x14ac:dyDescent="0.2">
      <c r="A97" s="14" t="s">
        <v>8</v>
      </c>
      <c r="B97" s="121" t="s">
        <v>283</v>
      </c>
      <c r="C97" s="122"/>
      <c r="D97" s="122"/>
      <c r="E97" s="122"/>
      <c r="F97" s="122"/>
      <c r="G97" s="122"/>
      <c r="H97" s="123"/>
      <c r="I97" s="22">
        <f>ROUND(((($I$40/30)*7)/$H$12)*1,2)</f>
        <v>20.72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">
      <c r="A98" s="14" t="s">
        <v>10</v>
      </c>
      <c r="B98" s="161" t="s">
        <v>62</v>
      </c>
      <c r="C98" s="122"/>
      <c r="D98" s="122"/>
      <c r="E98" s="122"/>
      <c r="F98" s="122"/>
      <c r="G98" s="122"/>
      <c r="H98" s="123"/>
      <c r="I98" s="22">
        <f>ROUND($H$63*I97,2)</f>
        <v>7.62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35.25" customHeight="1" x14ac:dyDescent="0.2">
      <c r="A99" s="14" t="s">
        <v>22</v>
      </c>
      <c r="B99" s="121" t="s">
        <v>284</v>
      </c>
      <c r="C99" s="122"/>
      <c r="D99" s="122"/>
      <c r="E99" s="122"/>
      <c r="F99" s="122"/>
      <c r="G99" s="123"/>
      <c r="H99" s="47">
        <v>0.04</v>
      </c>
      <c r="I99" s="22">
        <f>ROUND($I$40*H99,2)</f>
        <v>42.61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8.75" customHeight="1" x14ac:dyDescent="0.2">
      <c r="A100" s="152" t="s">
        <v>30</v>
      </c>
      <c r="B100" s="122"/>
      <c r="C100" s="122"/>
      <c r="D100" s="122"/>
      <c r="E100" s="122"/>
      <c r="F100" s="122"/>
      <c r="G100" s="122"/>
      <c r="H100" s="123"/>
      <c r="I100" s="28">
        <f>SUM(I95:I99)</f>
        <v>76.72999999999999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7.5" customHeight="1" x14ac:dyDescent="0.2">
      <c r="A101" s="133"/>
      <c r="B101" s="122"/>
      <c r="C101" s="122"/>
      <c r="D101" s="122"/>
      <c r="E101" s="122"/>
      <c r="F101" s="122"/>
      <c r="G101" s="122"/>
      <c r="H101" s="122"/>
      <c r="I101" s="12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36" customHeight="1" x14ac:dyDescent="0.2">
      <c r="A102" s="139" t="s">
        <v>63</v>
      </c>
      <c r="B102" s="122"/>
      <c r="C102" s="122"/>
      <c r="D102" s="122"/>
      <c r="E102" s="122"/>
      <c r="F102" s="122"/>
      <c r="G102" s="122"/>
      <c r="H102" s="122"/>
      <c r="I102" s="1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7.5" customHeight="1" x14ac:dyDescent="0.2">
      <c r="A103" s="166"/>
      <c r="B103" s="122"/>
      <c r="C103" s="122"/>
      <c r="D103" s="122"/>
      <c r="E103" s="122"/>
      <c r="F103" s="122"/>
      <c r="G103" s="122"/>
      <c r="H103" s="122"/>
      <c r="I103" s="1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3.25" customHeight="1" x14ac:dyDescent="0.2">
      <c r="A104" s="141" t="s">
        <v>64</v>
      </c>
      <c r="B104" s="122"/>
      <c r="C104" s="122"/>
      <c r="D104" s="122"/>
      <c r="E104" s="122"/>
      <c r="F104" s="122"/>
      <c r="G104" s="122"/>
      <c r="H104" s="122"/>
      <c r="I104" s="1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7" customHeight="1" x14ac:dyDescent="0.2">
      <c r="A105" s="139" t="s">
        <v>65</v>
      </c>
      <c r="B105" s="122"/>
      <c r="C105" s="122"/>
      <c r="D105" s="122"/>
      <c r="E105" s="122"/>
      <c r="F105" s="122"/>
      <c r="G105" s="122"/>
      <c r="H105" s="122"/>
      <c r="I105" s="12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61.5" customHeight="1" x14ac:dyDescent="0.2">
      <c r="A106" s="168" t="s">
        <v>285</v>
      </c>
      <c r="B106" s="122"/>
      <c r="C106" s="122"/>
      <c r="D106" s="122"/>
      <c r="E106" s="122"/>
      <c r="F106" s="122"/>
      <c r="G106" s="122"/>
      <c r="H106" s="122"/>
      <c r="I106" s="1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8.25" customHeight="1" x14ac:dyDescent="0.2">
      <c r="A107" s="169"/>
      <c r="B107" s="122"/>
      <c r="C107" s="122"/>
      <c r="D107" s="122"/>
      <c r="E107" s="122"/>
      <c r="F107" s="122"/>
      <c r="G107" s="122"/>
      <c r="H107" s="122"/>
      <c r="I107" s="12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57.75" x14ac:dyDescent="0.2">
      <c r="A108" s="48" t="s">
        <v>66</v>
      </c>
      <c r="B108" s="49">
        <f>I40</f>
        <v>1065.3499999999999</v>
      </c>
      <c r="C108" s="50"/>
      <c r="D108" s="48" t="s">
        <v>286</v>
      </c>
      <c r="E108" s="49">
        <f>I91-I69-I74+I112</f>
        <v>713.8900000000001</v>
      </c>
      <c r="F108" s="51"/>
      <c r="G108" s="48" t="s">
        <v>67</v>
      </c>
      <c r="H108" s="49">
        <f>I100</f>
        <v>76.72999999999999</v>
      </c>
      <c r="I108" s="52">
        <f>B108+E108+H108</f>
        <v>1855.97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7.5" customHeight="1" x14ac:dyDescent="0.2">
      <c r="A109" s="170"/>
      <c r="B109" s="122"/>
      <c r="C109" s="122"/>
      <c r="D109" s="122"/>
      <c r="E109" s="122"/>
      <c r="F109" s="122"/>
      <c r="G109" s="122"/>
      <c r="H109" s="122"/>
      <c r="I109" s="12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22.5" customHeight="1" x14ac:dyDescent="0.2">
      <c r="A110" s="155" t="s">
        <v>68</v>
      </c>
      <c r="B110" s="122"/>
      <c r="C110" s="122"/>
      <c r="D110" s="122"/>
      <c r="E110" s="122"/>
      <c r="F110" s="122"/>
      <c r="G110" s="122"/>
      <c r="H110" s="122"/>
      <c r="I110" s="12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53" t="s">
        <v>69</v>
      </c>
      <c r="B111" s="162" t="s">
        <v>70</v>
      </c>
      <c r="C111" s="122"/>
      <c r="D111" s="122"/>
      <c r="E111" s="122"/>
      <c r="F111" s="122"/>
      <c r="G111" s="122"/>
      <c r="H111" s="123"/>
      <c r="I111" s="53" t="s">
        <v>29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51" customHeight="1" x14ac:dyDescent="0.2">
      <c r="A112" s="12" t="s">
        <v>4</v>
      </c>
      <c r="B112" s="121" t="s">
        <v>287</v>
      </c>
      <c r="C112" s="122"/>
      <c r="D112" s="122"/>
      <c r="E112" s="122"/>
      <c r="F112" s="122"/>
      <c r="G112" s="54">
        <v>9.0749999999999997E-2</v>
      </c>
      <c r="H112" s="55">
        <f>H63</f>
        <v>0.36800000000000005</v>
      </c>
      <c r="I112" s="22">
        <f>ROUND($B$108*G112+$B$108*G112*H112,2)</f>
        <v>132.26</v>
      </c>
      <c r="J112" s="1"/>
      <c r="K112" s="1"/>
      <c r="L112" s="5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3.25" customHeight="1" x14ac:dyDescent="0.2">
      <c r="A113" s="14" t="s">
        <v>6</v>
      </c>
      <c r="B113" s="121" t="s">
        <v>288</v>
      </c>
      <c r="C113" s="122"/>
      <c r="D113" s="122"/>
      <c r="E113" s="122"/>
      <c r="F113" s="122"/>
      <c r="G113" s="122"/>
      <c r="H113" s="123"/>
      <c r="I113" s="22">
        <f>ROUND((($I$108/30)*1)/12,2)</f>
        <v>5.16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8.5" customHeight="1" x14ac:dyDescent="0.2">
      <c r="A114" s="14" t="s">
        <v>8</v>
      </c>
      <c r="B114" s="121" t="s">
        <v>289</v>
      </c>
      <c r="C114" s="122"/>
      <c r="D114" s="122"/>
      <c r="E114" s="122"/>
      <c r="F114" s="122"/>
      <c r="G114" s="122"/>
      <c r="H114" s="123"/>
      <c r="I114" s="22">
        <f>ROUND((($I$108/30)*5)/12*0.015,2)</f>
        <v>0.39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31.5" customHeight="1" x14ac:dyDescent="0.2">
      <c r="A115" s="14" t="s">
        <v>10</v>
      </c>
      <c r="B115" s="121" t="s">
        <v>290</v>
      </c>
      <c r="C115" s="122"/>
      <c r="D115" s="122"/>
      <c r="E115" s="122"/>
      <c r="F115" s="122"/>
      <c r="G115" s="122"/>
      <c r="H115" s="123"/>
      <c r="I115" s="22">
        <f>ROUND(((($I$108/30)*0.97)/12),2)</f>
        <v>5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11" customHeight="1" x14ac:dyDescent="0.2">
      <c r="A116" s="14" t="s">
        <v>22</v>
      </c>
      <c r="B116" s="121" t="s">
        <v>291</v>
      </c>
      <c r="C116" s="122"/>
      <c r="D116" s="122"/>
      <c r="E116" s="122"/>
      <c r="F116" s="122"/>
      <c r="G116" s="122"/>
      <c r="H116" s="123"/>
      <c r="I116" s="22">
        <f>ROUND(((((B108*0.121)+(H63)*(B108*0.121))*(4/12)))*0.02,2)+ROUND(((H62*B108+H63*I47+I82-I69-I74+I100)*4/12)*0.02,2)</f>
        <v>2.6399999999999997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45" customHeight="1" x14ac:dyDescent="0.2">
      <c r="A117" s="57" t="s">
        <v>23</v>
      </c>
      <c r="B117" s="121" t="s">
        <v>292</v>
      </c>
      <c r="C117" s="122"/>
      <c r="D117" s="122"/>
      <c r="E117" s="122"/>
      <c r="F117" s="122"/>
      <c r="G117" s="122"/>
      <c r="H117" s="123"/>
      <c r="I117" s="22">
        <f>ROUND(((($I$108/30)*3)/12),2)</f>
        <v>15.47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x14ac:dyDescent="0.2">
      <c r="A118" s="152" t="s">
        <v>30</v>
      </c>
      <c r="B118" s="122"/>
      <c r="C118" s="122"/>
      <c r="D118" s="122"/>
      <c r="E118" s="122"/>
      <c r="F118" s="122"/>
      <c r="G118" s="122"/>
      <c r="H118" s="123"/>
      <c r="I118" s="58">
        <f>SUM(I112:I117)</f>
        <v>160.91999999999996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9" customHeight="1" x14ac:dyDescent="0.2">
      <c r="A119" s="152"/>
      <c r="B119" s="122"/>
      <c r="C119" s="122"/>
      <c r="D119" s="122"/>
      <c r="E119" s="122"/>
      <c r="F119" s="122"/>
      <c r="G119" s="122"/>
      <c r="H119" s="122"/>
      <c r="I119" s="12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0.25" customHeight="1" x14ac:dyDescent="0.2">
      <c r="A120" s="156" t="s">
        <v>71</v>
      </c>
      <c r="B120" s="122"/>
      <c r="C120" s="122"/>
      <c r="D120" s="122"/>
      <c r="E120" s="122"/>
      <c r="F120" s="122"/>
      <c r="G120" s="122"/>
      <c r="H120" s="122"/>
      <c r="I120" s="12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5.5" customHeight="1" x14ac:dyDescent="0.2">
      <c r="A121" s="33" t="s">
        <v>72</v>
      </c>
      <c r="B121" s="162" t="s">
        <v>73</v>
      </c>
      <c r="C121" s="122"/>
      <c r="D121" s="122"/>
      <c r="E121" s="122"/>
      <c r="F121" s="122"/>
      <c r="G121" s="122"/>
      <c r="H121" s="123"/>
      <c r="I121" s="59" t="s">
        <v>29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 x14ac:dyDescent="0.2">
      <c r="A122" s="14" t="s">
        <v>4</v>
      </c>
      <c r="B122" s="161" t="s">
        <v>74</v>
      </c>
      <c r="C122" s="122"/>
      <c r="D122" s="122"/>
      <c r="E122" s="122"/>
      <c r="F122" s="122"/>
      <c r="G122" s="122"/>
      <c r="H122" s="123"/>
      <c r="I122" s="22"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">
      <c r="A123" s="171" t="s">
        <v>30</v>
      </c>
      <c r="B123" s="122"/>
      <c r="C123" s="122"/>
      <c r="D123" s="122"/>
      <c r="E123" s="122"/>
      <c r="F123" s="122"/>
      <c r="G123" s="122"/>
      <c r="H123" s="123"/>
      <c r="I123" s="22"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7.5" customHeight="1" x14ac:dyDescent="0.2">
      <c r="A124" s="172"/>
      <c r="B124" s="122"/>
      <c r="C124" s="122"/>
      <c r="D124" s="122"/>
      <c r="E124" s="122"/>
      <c r="F124" s="122"/>
      <c r="G124" s="122"/>
      <c r="H124" s="122"/>
      <c r="I124" s="12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3.25" customHeight="1" x14ac:dyDescent="0.2">
      <c r="A125" s="141" t="s">
        <v>75</v>
      </c>
      <c r="B125" s="122"/>
      <c r="C125" s="122"/>
      <c r="D125" s="122"/>
      <c r="E125" s="122"/>
      <c r="F125" s="122"/>
      <c r="G125" s="122"/>
      <c r="H125" s="122"/>
      <c r="I125" s="12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7" customHeight="1" x14ac:dyDescent="0.2">
      <c r="A126" s="19">
        <v>4</v>
      </c>
      <c r="B126" s="162" t="s">
        <v>76</v>
      </c>
      <c r="C126" s="122"/>
      <c r="D126" s="122"/>
      <c r="E126" s="122"/>
      <c r="F126" s="122"/>
      <c r="G126" s="122"/>
      <c r="H126" s="123"/>
      <c r="I126" s="59" t="s">
        <v>29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5" customHeight="1" x14ac:dyDescent="0.2">
      <c r="A127" s="3" t="s">
        <v>69</v>
      </c>
      <c r="B127" s="161" t="s">
        <v>70</v>
      </c>
      <c r="C127" s="122"/>
      <c r="D127" s="122"/>
      <c r="E127" s="122"/>
      <c r="F127" s="122"/>
      <c r="G127" s="122"/>
      <c r="H127" s="123"/>
      <c r="I127" s="22">
        <f>I118</f>
        <v>160.91999999999996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5" customHeight="1" x14ac:dyDescent="0.2">
      <c r="A128" s="3" t="s">
        <v>77</v>
      </c>
      <c r="B128" s="161" t="s">
        <v>73</v>
      </c>
      <c r="C128" s="122"/>
      <c r="D128" s="122"/>
      <c r="E128" s="122"/>
      <c r="F128" s="122"/>
      <c r="G128" s="122"/>
      <c r="H128" s="123"/>
      <c r="I128" s="22">
        <f>I123</f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2">
      <c r="A129" s="144" t="s">
        <v>30</v>
      </c>
      <c r="B129" s="122"/>
      <c r="C129" s="122"/>
      <c r="D129" s="122"/>
      <c r="E129" s="122"/>
      <c r="F129" s="122"/>
      <c r="G129" s="122"/>
      <c r="H129" s="123"/>
      <c r="I129" s="28">
        <f>SUM(I127+I128)</f>
        <v>160.91999999999996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9" customHeight="1" x14ac:dyDescent="0.2">
      <c r="A130" s="163"/>
      <c r="B130" s="122"/>
      <c r="C130" s="122"/>
      <c r="D130" s="122"/>
      <c r="E130" s="122"/>
      <c r="F130" s="122"/>
      <c r="G130" s="122"/>
      <c r="H130" s="122"/>
      <c r="I130" s="12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30" customHeight="1" x14ac:dyDescent="0.2">
      <c r="A131" s="141" t="s">
        <v>78</v>
      </c>
      <c r="B131" s="122"/>
      <c r="C131" s="122"/>
      <c r="D131" s="122"/>
      <c r="E131" s="122"/>
      <c r="F131" s="122"/>
      <c r="G131" s="122"/>
      <c r="H131" s="122"/>
      <c r="I131" s="12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5.5" customHeight="1" x14ac:dyDescent="0.2">
      <c r="A132" s="33">
        <v>5</v>
      </c>
      <c r="B132" s="142" t="s">
        <v>79</v>
      </c>
      <c r="C132" s="122"/>
      <c r="D132" s="122"/>
      <c r="E132" s="122"/>
      <c r="F132" s="122"/>
      <c r="G132" s="122"/>
      <c r="H132" s="123"/>
      <c r="I132" s="33" t="s">
        <v>29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30" customHeight="1" x14ac:dyDescent="0.2">
      <c r="A133" s="81" t="s">
        <v>4</v>
      </c>
      <c r="B133" s="196" t="s">
        <v>293</v>
      </c>
      <c r="C133" s="122"/>
      <c r="D133" s="122"/>
      <c r="E133" s="122"/>
      <c r="F133" s="122"/>
      <c r="G133" s="122"/>
      <c r="H133" s="123"/>
      <c r="I133" s="75">
        <f>I188</f>
        <v>53.951666666666661</v>
      </c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</row>
    <row r="134" spans="1:29" ht="35.25" customHeight="1" x14ac:dyDescent="0.2">
      <c r="A134" s="81" t="s">
        <v>6</v>
      </c>
      <c r="B134" s="196" t="s">
        <v>294</v>
      </c>
      <c r="C134" s="122"/>
      <c r="D134" s="122"/>
      <c r="E134" s="122"/>
      <c r="F134" s="122"/>
      <c r="G134" s="122"/>
      <c r="H134" s="123"/>
      <c r="I134" s="82">
        <f>I193+I199+I202</f>
        <v>14.975722222222222</v>
      </c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</row>
    <row r="135" spans="1:29" ht="15.75" customHeight="1" x14ac:dyDescent="0.2">
      <c r="A135" s="81" t="s">
        <v>8</v>
      </c>
      <c r="B135" s="196" t="s">
        <v>165</v>
      </c>
      <c r="C135" s="122"/>
      <c r="D135" s="122"/>
      <c r="E135" s="122"/>
      <c r="F135" s="122"/>
      <c r="G135" s="122"/>
      <c r="H135" s="123"/>
      <c r="I135" s="82" t="s">
        <v>166</v>
      </c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</row>
    <row r="136" spans="1:29" ht="15.75" customHeight="1" x14ac:dyDescent="0.2">
      <c r="A136" s="14" t="s">
        <v>10</v>
      </c>
      <c r="B136" s="121" t="s">
        <v>80</v>
      </c>
      <c r="C136" s="122"/>
      <c r="D136" s="122"/>
      <c r="E136" s="122"/>
      <c r="F136" s="122"/>
      <c r="G136" s="122"/>
      <c r="H136" s="123"/>
      <c r="I136" s="43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">
      <c r="A137" s="152" t="s">
        <v>25</v>
      </c>
      <c r="B137" s="122"/>
      <c r="C137" s="122"/>
      <c r="D137" s="122"/>
      <c r="E137" s="122"/>
      <c r="F137" s="122"/>
      <c r="G137" s="122"/>
      <c r="H137" s="123"/>
      <c r="I137" s="46">
        <f>SUM(I133:I136)</f>
        <v>68.927388888888885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8.25" customHeight="1" x14ac:dyDescent="0.2">
      <c r="A138" s="164"/>
      <c r="B138" s="122"/>
      <c r="C138" s="122"/>
      <c r="D138" s="122"/>
      <c r="E138" s="122"/>
      <c r="F138" s="122"/>
      <c r="G138" s="122"/>
      <c r="H138" s="122"/>
      <c r="I138" s="12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2">
      <c r="A139" s="165"/>
      <c r="B139" s="122"/>
      <c r="C139" s="122"/>
      <c r="D139" s="122"/>
      <c r="E139" s="122"/>
      <c r="F139" s="122"/>
      <c r="G139" s="122"/>
      <c r="H139" s="122"/>
      <c r="I139" s="12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8.25" customHeight="1" x14ac:dyDescent="0.2">
      <c r="A140" s="60"/>
      <c r="B140" s="61"/>
      <c r="C140" s="61"/>
      <c r="D140" s="61"/>
      <c r="E140" s="61"/>
      <c r="F140" s="61"/>
      <c r="G140" s="61"/>
      <c r="H140" s="61"/>
      <c r="I140" s="6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9.25" customHeight="1" x14ac:dyDescent="0.2">
      <c r="A141" s="148" t="s">
        <v>81</v>
      </c>
      <c r="B141" s="122"/>
      <c r="C141" s="122"/>
      <c r="D141" s="122"/>
      <c r="E141" s="122"/>
      <c r="F141" s="122"/>
      <c r="G141" s="122"/>
      <c r="H141" s="122"/>
      <c r="I141" s="12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32.25" customHeight="1" x14ac:dyDescent="0.2">
      <c r="A142" s="33">
        <v>6</v>
      </c>
      <c r="B142" s="162" t="s">
        <v>82</v>
      </c>
      <c r="C142" s="122"/>
      <c r="D142" s="122"/>
      <c r="E142" s="122"/>
      <c r="F142" s="122"/>
      <c r="G142" s="123"/>
      <c r="H142" s="19" t="s">
        <v>33</v>
      </c>
      <c r="I142" s="63" t="s">
        <v>83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47.25" customHeight="1" x14ac:dyDescent="0.2">
      <c r="A143" s="151" t="s">
        <v>295</v>
      </c>
      <c r="B143" s="122"/>
      <c r="C143" s="122"/>
      <c r="D143" s="122"/>
      <c r="E143" s="122"/>
      <c r="F143" s="122"/>
      <c r="G143" s="123"/>
      <c r="H143" s="64" t="s">
        <v>49</v>
      </c>
      <c r="I143" s="65">
        <f>SUM(I40+I91+I100+I129+I137)</f>
        <v>2362.3173888888887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">
      <c r="A144" s="66" t="s">
        <v>4</v>
      </c>
      <c r="B144" s="148" t="s">
        <v>84</v>
      </c>
      <c r="C144" s="122"/>
      <c r="D144" s="122"/>
      <c r="E144" s="122"/>
      <c r="F144" s="122"/>
      <c r="G144" s="123"/>
      <c r="H144" s="21">
        <v>0.05</v>
      </c>
      <c r="I144" s="22">
        <f>ROUND(H144*I143,2)</f>
        <v>118.12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48" customHeight="1" x14ac:dyDescent="0.2">
      <c r="A145" s="210" t="s">
        <v>296</v>
      </c>
      <c r="B145" s="122"/>
      <c r="C145" s="122"/>
      <c r="D145" s="122"/>
      <c r="E145" s="122"/>
      <c r="F145" s="122"/>
      <c r="G145" s="123"/>
      <c r="H145" s="67" t="s">
        <v>49</v>
      </c>
      <c r="I145" s="65">
        <f>SUM(I40+I91+I100+I129+I137+I144)</f>
        <v>2480.4373888888886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">
      <c r="A146" s="66" t="s">
        <v>6</v>
      </c>
      <c r="B146" s="148" t="s">
        <v>85</v>
      </c>
      <c r="C146" s="122"/>
      <c r="D146" s="122"/>
      <c r="E146" s="122"/>
      <c r="F146" s="122"/>
      <c r="G146" s="123"/>
      <c r="H146" s="21">
        <v>0.1</v>
      </c>
      <c r="I146" s="22">
        <f>ROUND(H146*I145,2)</f>
        <v>248.04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49.5" customHeight="1" x14ac:dyDescent="0.2">
      <c r="A147" s="210" t="s">
        <v>86</v>
      </c>
      <c r="B147" s="122"/>
      <c r="C147" s="122"/>
      <c r="D147" s="122"/>
      <c r="E147" s="122"/>
      <c r="F147" s="122"/>
      <c r="G147" s="123"/>
      <c r="H147" s="67" t="s">
        <v>49</v>
      </c>
      <c r="I147" s="65">
        <f>SUM(I143+I144+I146)</f>
        <v>2728.4773888888885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">
      <c r="A148" s="66" t="s">
        <v>8</v>
      </c>
      <c r="B148" s="148" t="s">
        <v>87</v>
      </c>
      <c r="C148" s="122"/>
      <c r="D148" s="122"/>
      <c r="E148" s="122"/>
      <c r="F148" s="122"/>
      <c r="G148" s="123"/>
      <c r="H148" s="10" t="s">
        <v>49</v>
      </c>
      <c r="I148" s="35" t="s">
        <v>49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">
      <c r="A149" s="14"/>
      <c r="B149" s="148" t="s">
        <v>88</v>
      </c>
      <c r="C149" s="122"/>
      <c r="D149" s="122"/>
      <c r="E149" s="122"/>
      <c r="F149" s="122"/>
      <c r="G149" s="123"/>
      <c r="H149" s="10" t="s">
        <v>49</v>
      </c>
      <c r="I149" s="35" t="s">
        <v>49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x14ac:dyDescent="0.2">
      <c r="A150" s="14"/>
      <c r="B150" s="211" t="s">
        <v>297</v>
      </c>
      <c r="C150" s="122"/>
      <c r="D150" s="122"/>
      <c r="E150" s="122"/>
      <c r="F150" s="122"/>
      <c r="G150" s="123"/>
      <c r="H150" s="68">
        <v>7.5999999999999998E-2</v>
      </c>
      <c r="I150" s="22">
        <f t="shared" ref="I150:I151" si="3">ROUND(($I$147/(1-$H$159))*H150,2)</f>
        <v>233.65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x14ac:dyDescent="0.2">
      <c r="A151" s="14"/>
      <c r="B151" s="211" t="s">
        <v>298</v>
      </c>
      <c r="C151" s="122"/>
      <c r="D151" s="122"/>
      <c r="E151" s="122"/>
      <c r="F151" s="122"/>
      <c r="G151" s="123"/>
      <c r="H151" s="68">
        <v>1.6500000000000001E-2</v>
      </c>
      <c r="I151" s="22">
        <f t="shared" si="3"/>
        <v>50.73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27" customHeight="1" x14ac:dyDescent="0.2">
      <c r="A152" s="14"/>
      <c r="B152" s="141" t="s">
        <v>299</v>
      </c>
      <c r="C152" s="122"/>
      <c r="D152" s="122"/>
      <c r="E152" s="122"/>
      <c r="F152" s="122"/>
      <c r="G152" s="123"/>
      <c r="H152" s="69" t="s">
        <v>49</v>
      </c>
      <c r="I152" s="35" t="s">
        <v>49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7" customHeight="1" x14ac:dyDescent="0.2">
      <c r="A153" s="14"/>
      <c r="B153" s="141" t="s">
        <v>300</v>
      </c>
      <c r="C153" s="122"/>
      <c r="D153" s="122"/>
      <c r="E153" s="122"/>
      <c r="F153" s="122"/>
      <c r="G153" s="123"/>
      <c r="H153" s="69" t="s">
        <v>49</v>
      </c>
      <c r="I153" s="35" t="s">
        <v>49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8" customHeight="1" x14ac:dyDescent="0.2">
      <c r="A154" s="14"/>
      <c r="B154" s="175" t="s">
        <v>89</v>
      </c>
      <c r="C154" s="122"/>
      <c r="D154" s="122"/>
      <c r="E154" s="122"/>
      <c r="F154" s="122"/>
      <c r="G154" s="122"/>
      <c r="H154" s="69" t="s">
        <v>49</v>
      </c>
      <c r="I154" s="35" t="s">
        <v>49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8" customHeight="1" x14ac:dyDescent="0.2">
      <c r="A155" s="14"/>
      <c r="B155" s="141" t="s">
        <v>90</v>
      </c>
      <c r="C155" s="122"/>
      <c r="D155" s="122"/>
      <c r="E155" s="122"/>
      <c r="F155" s="122"/>
      <c r="G155" s="122"/>
      <c r="H155" s="69" t="s">
        <v>49</v>
      </c>
      <c r="I155" s="35" t="s">
        <v>49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x14ac:dyDescent="0.2">
      <c r="A156" s="14"/>
      <c r="B156" s="174" t="s">
        <v>301</v>
      </c>
      <c r="C156" s="122"/>
      <c r="D156" s="122"/>
      <c r="E156" s="122"/>
      <c r="F156" s="122"/>
      <c r="G156" s="123"/>
      <c r="H156" s="68">
        <v>0.02</v>
      </c>
      <c r="I156" s="22">
        <f>ROUND(($I$147/(1-$H$159))*H156,2)</f>
        <v>61.49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">
      <c r="A157" s="152" t="s">
        <v>30</v>
      </c>
      <c r="B157" s="122"/>
      <c r="C157" s="122"/>
      <c r="D157" s="122"/>
      <c r="E157" s="122"/>
      <c r="F157" s="122"/>
      <c r="G157" s="122"/>
      <c r="H157" s="123"/>
      <c r="I157" s="28">
        <f>SUM(I144+I146+I150+I151+I156)</f>
        <v>712.03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6.75" customHeight="1" x14ac:dyDescent="0.2">
      <c r="A158" s="163"/>
      <c r="B158" s="122"/>
      <c r="C158" s="122"/>
      <c r="D158" s="122"/>
      <c r="E158" s="122"/>
      <c r="F158" s="122"/>
      <c r="G158" s="122"/>
      <c r="H158" s="122"/>
      <c r="I158" s="12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">
      <c r="A159" s="178" t="s">
        <v>91</v>
      </c>
      <c r="B159" s="122"/>
      <c r="C159" s="122"/>
      <c r="D159" s="122"/>
      <c r="E159" s="122"/>
      <c r="F159" s="122"/>
      <c r="G159" s="123"/>
      <c r="H159" s="70">
        <f t="shared" ref="H159:I159" si="4">SUM(H150:H156)</f>
        <v>0.1125</v>
      </c>
      <c r="I159" s="65">
        <f t="shared" si="4"/>
        <v>345.87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79" t="s">
        <v>92</v>
      </c>
      <c r="B160" s="120"/>
      <c r="C160" s="176" t="s">
        <v>93</v>
      </c>
      <c r="D160" s="120"/>
      <c r="E160" s="120"/>
      <c r="F160" s="120"/>
      <c r="G160" s="120"/>
      <c r="H160" s="120"/>
      <c r="I160" s="12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" customHeight="1" x14ac:dyDescent="0.2">
      <c r="A161" s="180"/>
      <c r="B161" s="120"/>
      <c r="C161" s="176" t="s">
        <v>94</v>
      </c>
      <c r="D161" s="120"/>
      <c r="E161" s="120"/>
      <c r="F161" s="120"/>
      <c r="G161" s="120"/>
      <c r="H161" s="120"/>
      <c r="I161" s="12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 x14ac:dyDescent="0.2">
      <c r="A162" s="173"/>
      <c r="B162" s="131"/>
      <c r="C162" s="177" t="s">
        <v>95</v>
      </c>
      <c r="D162" s="131"/>
      <c r="E162" s="131"/>
      <c r="F162" s="131"/>
      <c r="G162" s="131"/>
      <c r="H162" s="131"/>
      <c r="I162" s="13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6.75" customHeight="1" x14ac:dyDescent="0.2">
      <c r="A163" s="181"/>
      <c r="B163" s="122"/>
      <c r="C163" s="122"/>
      <c r="D163" s="122"/>
      <c r="E163" s="122"/>
      <c r="F163" s="122"/>
      <c r="G163" s="122"/>
      <c r="H163" s="122"/>
      <c r="I163" s="12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25.5" customHeight="1" x14ac:dyDescent="0.2">
      <c r="A164" s="139" t="s">
        <v>96</v>
      </c>
      <c r="B164" s="122"/>
      <c r="C164" s="122"/>
      <c r="D164" s="122"/>
      <c r="E164" s="122"/>
      <c r="F164" s="122"/>
      <c r="G164" s="122"/>
      <c r="H164" s="122"/>
      <c r="I164" s="12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0.5" customHeight="1" x14ac:dyDescent="0.2">
      <c r="A165" s="163"/>
      <c r="B165" s="122"/>
      <c r="C165" s="122"/>
      <c r="D165" s="122"/>
      <c r="E165" s="122"/>
      <c r="F165" s="122"/>
      <c r="G165" s="122"/>
      <c r="H165" s="122"/>
      <c r="I165" s="12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x14ac:dyDescent="0.25">
      <c r="A166" s="199" t="s">
        <v>302</v>
      </c>
      <c r="B166" s="122"/>
      <c r="C166" s="122"/>
      <c r="D166" s="122"/>
      <c r="E166" s="122"/>
      <c r="F166" s="122"/>
      <c r="G166" s="122"/>
      <c r="H166" s="122"/>
      <c r="I166" s="123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</row>
    <row r="167" spans="1:29" ht="12" customHeight="1" x14ac:dyDescent="0.25">
      <c r="A167" s="197" t="s">
        <v>303</v>
      </c>
      <c r="B167" s="122"/>
      <c r="C167" s="122"/>
      <c r="D167" s="122"/>
      <c r="E167" s="122"/>
      <c r="F167" s="122"/>
      <c r="G167" s="122"/>
      <c r="H167" s="123"/>
      <c r="I167" s="83" t="s">
        <v>29</v>
      </c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</row>
    <row r="168" spans="1:29" ht="12" customHeight="1" x14ac:dyDescent="0.2">
      <c r="A168" s="84" t="s">
        <v>4</v>
      </c>
      <c r="B168" s="200" t="s">
        <v>97</v>
      </c>
      <c r="C168" s="122"/>
      <c r="D168" s="122"/>
      <c r="E168" s="122"/>
      <c r="F168" s="122"/>
      <c r="G168" s="122"/>
      <c r="H168" s="122"/>
      <c r="I168" s="82">
        <f>I40</f>
        <v>1065.3499999999999</v>
      </c>
      <c r="J168" s="71"/>
      <c r="K168" s="85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</row>
    <row r="169" spans="1:29" ht="12" customHeight="1" x14ac:dyDescent="0.2">
      <c r="A169" s="84" t="s">
        <v>6</v>
      </c>
      <c r="B169" s="200" t="s">
        <v>26</v>
      </c>
      <c r="C169" s="122"/>
      <c r="D169" s="122"/>
      <c r="E169" s="122"/>
      <c r="F169" s="122"/>
      <c r="G169" s="122"/>
      <c r="H169" s="122"/>
      <c r="I169" s="82">
        <f>I91</f>
        <v>990.3900000000001</v>
      </c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</row>
    <row r="170" spans="1:29" ht="12" customHeight="1" x14ac:dyDescent="0.2">
      <c r="A170" s="84" t="s">
        <v>8</v>
      </c>
      <c r="B170" s="200" t="s">
        <v>98</v>
      </c>
      <c r="C170" s="122"/>
      <c r="D170" s="122"/>
      <c r="E170" s="122"/>
      <c r="F170" s="122"/>
      <c r="G170" s="122"/>
      <c r="H170" s="122"/>
      <c r="I170" s="82">
        <f>I100</f>
        <v>76.72999999999999</v>
      </c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</row>
    <row r="171" spans="1:29" ht="12" customHeight="1" x14ac:dyDescent="0.2">
      <c r="A171" s="84" t="s">
        <v>10</v>
      </c>
      <c r="B171" s="200" t="s">
        <v>99</v>
      </c>
      <c r="C171" s="122"/>
      <c r="D171" s="122"/>
      <c r="E171" s="122"/>
      <c r="F171" s="122"/>
      <c r="G171" s="122"/>
      <c r="H171" s="122"/>
      <c r="I171" s="82">
        <f>I129</f>
        <v>160.91999999999996</v>
      </c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</row>
    <row r="172" spans="1:29" ht="12" customHeight="1" x14ac:dyDescent="0.2">
      <c r="A172" s="84" t="s">
        <v>22</v>
      </c>
      <c r="B172" s="200" t="s">
        <v>178</v>
      </c>
      <c r="C172" s="122"/>
      <c r="D172" s="122"/>
      <c r="E172" s="122"/>
      <c r="F172" s="122"/>
      <c r="G172" s="122"/>
      <c r="H172" s="122"/>
      <c r="I172" s="82">
        <f>I137</f>
        <v>68.927388888888885</v>
      </c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</row>
    <row r="173" spans="1:29" ht="12" customHeight="1" x14ac:dyDescent="0.2">
      <c r="A173" s="212" t="s">
        <v>100</v>
      </c>
      <c r="B173" s="122"/>
      <c r="C173" s="122"/>
      <c r="D173" s="122"/>
      <c r="E173" s="122"/>
      <c r="F173" s="122"/>
      <c r="G173" s="122"/>
      <c r="H173" s="122"/>
      <c r="I173" s="86">
        <f>SUM(I168:I172)</f>
        <v>2362.3173888888887</v>
      </c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</row>
    <row r="174" spans="1:29" ht="12" customHeight="1" x14ac:dyDescent="0.2">
      <c r="A174" s="87" t="s">
        <v>23</v>
      </c>
      <c r="B174" s="200" t="s">
        <v>101</v>
      </c>
      <c r="C174" s="122"/>
      <c r="D174" s="122"/>
      <c r="E174" s="122"/>
      <c r="F174" s="122"/>
      <c r="G174" s="122"/>
      <c r="H174" s="122"/>
      <c r="I174" s="110">
        <f>I157</f>
        <v>712.03</v>
      </c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</row>
    <row r="175" spans="1:29" ht="12" customHeight="1" x14ac:dyDescent="0.25">
      <c r="A175" s="213" t="s">
        <v>179</v>
      </c>
      <c r="B175" s="122"/>
      <c r="C175" s="122"/>
      <c r="D175" s="122"/>
      <c r="E175" s="122"/>
      <c r="F175" s="122"/>
      <c r="G175" s="122"/>
      <c r="H175" s="122"/>
      <c r="I175" s="86">
        <f>I173+I174</f>
        <v>3074.3473888888884</v>
      </c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</row>
    <row r="176" spans="1:29" ht="12" customHeight="1" x14ac:dyDescent="0.2">
      <c r="A176" s="201"/>
      <c r="B176" s="122"/>
      <c r="C176" s="122"/>
      <c r="D176" s="122"/>
      <c r="E176" s="122"/>
      <c r="F176" s="122"/>
      <c r="G176" s="122"/>
      <c r="H176" s="122"/>
      <c r="I176" s="123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</row>
    <row r="177" spans="1:29" ht="12" customHeight="1" x14ac:dyDescent="0.2">
      <c r="A177" s="202"/>
      <c r="B177" s="122"/>
      <c r="C177" s="122"/>
      <c r="D177" s="122"/>
      <c r="E177" s="122"/>
      <c r="F177" s="122"/>
      <c r="G177" s="122"/>
      <c r="H177" s="122"/>
      <c r="I177" s="123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</row>
    <row r="178" spans="1:29" ht="12" customHeight="1" x14ac:dyDescent="0.2">
      <c r="A178" s="203" t="s">
        <v>180</v>
      </c>
      <c r="B178" s="122"/>
      <c r="C178" s="122"/>
      <c r="D178" s="122"/>
      <c r="E178" s="122"/>
      <c r="F178" s="122"/>
      <c r="G178" s="122"/>
      <c r="H178" s="122"/>
      <c r="I178" s="123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</row>
    <row r="179" spans="1:29" ht="12" customHeight="1" x14ac:dyDescent="0.2">
      <c r="A179" s="185" t="s">
        <v>106</v>
      </c>
      <c r="B179" s="122"/>
      <c r="C179" s="122"/>
      <c r="D179" s="122"/>
      <c r="E179" s="122"/>
      <c r="F179" s="122"/>
      <c r="G179" s="204" t="s">
        <v>107</v>
      </c>
      <c r="H179" s="122"/>
      <c r="I179" s="123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</row>
    <row r="180" spans="1:29" ht="12" customHeight="1" x14ac:dyDescent="0.2">
      <c r="A180" s="205" t="s">
        <v>181</v>
      </c>
      <c r="B180" s="122"/>
      <c r="C180" s="122"/>
      <c r="D180" s="122"/>
      <c r="E180" s="122"/>
      <c r="F180" s="123"/>
      <c r="G180" s="89"/>
      <c r="H180" s="89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</row>
    <row r="181" spans="1:29" ht="48" x14ac:dyDescent="0.2">
      <c r="A181" s="205" t="s">
        <v>182</v>
      </c>
      <c r="B181" s="122"/>
      <c r="C181" s="122"/>
      <c r="D181" s="122"/>
      <c r="E181" s="122"/>
      <c r="F181" s="123"/>
      <c r="G181" s="90" t="s">
        <v>183</v>
      </c>
      <c r="H181" s="77" t="s">
        <v>184</v>
      </c>
      <c r="I181" s="91" t="s">
        <v>185</v>
      </c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</row>
    <row r="182" spans="1:29" ht="12" customHeight="1" x14ac:dyDescent="0.2">
      <c r="A182" s="206" t="s">
        <v>186</v>
      </c>
      <c r="B182" s="122"/>
      <c r="C182" s="122"/>
      <c r="D182" s="122"/>
      <c r="E182" s="122"/>
      <c r="F182" s="123"/>
      <c r="G182" s="92">
        <v>2</v>
      </c>
      <c r="H182" s="93">
        <v>92.54</v>
      </c>
      <c r="I182" s="94">
        <f t="shared" ref="I182:I186" si="5">H182*G182</f>
        <v>185.08</v>
      </c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</row>
    <row r="183" spans="1:29" ht="12" customHeight="1" x14ac:dyDescent="0.2">
      <c r="A183" s="206" t="s">
        <v>187</v>
      </c>
      <c r="B183" s="122"/>
      <c r="C183" s="122"/>
      <c r="D183" s="122"/>
      <c r="E183" s="122"/>
      <c r="F183" s="123"/>
      <c r="G183" s="95">
        <v>1</v>
      </c>
      <c r="H183" s="93">
        <v>158.96</v>
      </c>
      <c r="I183" s="94">
        <f t="shared" si="5"/>
        <v>158.96</v>
      </c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</row>
    <row r="184" spans="1:29" ht="12" customHeight="1" x14ac:dyDescent="0.2">
      <c r="A184" s="207" t="s">
        <v>188</v>
      </c>
      <c r="B184" s="122"/>
      <c r="C184" s="122"/>
      <c r="D184" s="122"/>
      <c r="E184" s="122"/>
      <c r="F184" s="123"/>
      <c r="G184" s="92">
        <v>2</v>
      </c>
      <c r="H184" s="93">
        <v>62.8</v>
      </c>
      <c r="I184" s="94">
        <f t="shared" si="5"/>
        <v>125.6</v>
      </c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</row>
    <row r="185" spans="1:29" ht="12" customHeight="1" x14ac:dyDescent="0.2">
      <c r="A185" s="206" t="s">
        <v>189</v>
      </c>
      <c r="B185" s="122"/>
      <c r="C185" s="122"/>
      <c r="D185" s="122"/>
      <c r="E185" s="122"/>
      <c r="F185" s="123"/>
      <c r="G185" s="92">
        <v>1</v>
      </c>
      <c r="H185" s="93">
        <v>168.77</v>
      </c>
      <c r="I185" s="94">
        <f t="shared" si="5"/>
        <v>168.77</v>
      </c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</row>
    <row r="186" spans="1:29" ht="12" customHeight="1" x14ac:dyDescent="0.2">
      <c r="A186" s="206" t="s">
        <v>190</v>
      </c>
      <c r="B186" s="122"/>
      <c r="C186" s="122"/>
      <c r="D186" s="122"/>
      <c r="E186" s="122"/>
      <c r="F186" s="123"/>
      <c r="G186" s="92">
        <v>1</v>
      </c>
      <c r="H186" s="93">
        <v>9.01</v>
      </c>
      <c r="I186" s="94">
        <f t="shared" si="5"/>
        <v>9.01</v>
      </c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</row>
    <row r="187" spans="1:29" ht="12" customHeight="1" x14ac:dyDescent="0.2">
      <c r="A187" s="205" t="s">
        <v>191</v>
      </c>
      <c r="B187" s="122"/>
      <c r="C187" s="122"/>
      <c r="D187" s="122"/>
      <c r="E187" s="122"/>
      <c r="F187" s="123"/>
      <c r="G187" s="89"/>
      <c r="H187" s="96"/>
      <c r="I187" s="97">
        <f>SUM(I182:I186)</f>
        <v>647.41999999999996</v>
      </c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</row>
    <row r="188" spans="1:29" ht="12" customHeight="1" x14ac:dyDescent="0.2">
      <c r="A188" s="208" t="s">
        <v>192</v>
      </c>
      <c r="B188" s="122"/>
      <c r="C188" s="122"/>
      <c r="D188" s="122"/>
      <c r="E188" s="122"/>
      <c r="F188" s="123"/>
      <c r="G188" s="98"/>
      <c r="H188" s="96"/>
      <c r="I188" s="97">
        <f>I187/12</f>
        <v>53.951666666666661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</row>
    <row r="189" spans="1:29" ht="12" customHeight="1" x14ac:dyDescent="0.2">
      <c r="A189" s="208" t="s">
        <v>193</v>
      </c>
      <c r="B189" s="122"/>
      <c r="C189" s="122"/>
      <c r="D189" s="122"/>
      <c r="E189" s="122"/>
      <c r="F189" s="123"/>
      <c r="G189" s="89"/>
      <c r="H189" s="96"/>
      <c r="I189" s="99">
        <f>I188*1</f>
        <v>53.951666666666661</v>
      </c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</row>
    <row r="190" spans="1:29" ht="12" customHeight="1" x14ac:dyDescent="0.2">
      <c r="A190" s="205" t="s">
        <v>194</v>
      </c>
      <c r="B190" s="122"/>
      <c r="C190" s="122"/>
      <c r="D190" s="122"/>
      <c r="E190" s="122"/>
      <c r="F190" s="123"/>
      <c r="G190" s="89"/>
      <c r="H190" s="96"/>
      <c r="I190" s="100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</row>
    <row r="191" spans="1:29" ht="36" x14ac:dyDescent="0.2">
      <c r="A191" s="205" t="s">
        <v>182</v>
      </c>
      <c r="B191" s="122"/>
      <c r="C191" s="122"/>
      <c r="D191" s="122"/>
      <c r="E191" s="122"/>
      <c r="F191" s="123"/>
      <c r="G191" s="90" t="s">
        <v>195</v>
      </c>
      <c r="H191" s="77" t="s">
        <v>184</v>
      </c>
      <c r="I191" s="91" t="s">
        <v>185</v>
      </c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</row>
    <row r="192" spans="1:29" ht="12.75" x14ac:dyDescent="0.2">
      <c r="A192" s="206" t="s">
        <v>196</v>
      </c>
      <c r="B192" s="122"/>
      <c r="C192" s="122"/>
      <c r="D192" s="122"/>
      <c r="E192" s="122"/>
      <c r="F192" s="123"/>
      <c r="G192" s="92">
        <v>1</v>
      </c>
      <c r="H192" s="93">
        <v>1745.23</v>
      </c>
      <c r="I192" s="94">
        <f>(H192/60)/3</f>
        <v>9.6957222222222228</v>
      </c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</row>
    <row r="193" spans="1:29" ht="12" customHeight="1" x14ac:dyDescent="0.2">
      <c r="A193" s="208" t="s">
        <v>193</v>
      </c>
      <c r="B193" s="122"/>
      <c r="C193" s="122"/>
      <c r="D193" s="122"/>
      <c r="E193" s="122"/>
      <c r="F193" s="123"/>
      <c r="G193" s="89"/>
      <c r="H193" s="96"/>
      <c r="I193" s="101">
        <f>SUM(I192)</f>
        <v>9.6957222222222228</v>
      </c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</row>
    <row r="194" spans="1:29" ht="12" customHeight="1" x14ac:dyDescent="0.2">
      <c r="A194" s="208"/>
      <c r="B194" s="122"/>
      <c r="C194" s="122"/>
      <c r="D194" s="122"/>
      <c r="E194" s="122"/>
      <c r="F194" s="123"/>
      <c r="G194" s="102"/>
      <c r="H194" s="96"/>
      <c r="I194" s="10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</row>
    <row r="195" spans="1:29" ht="12" customHeight="1" x14ac:dyDescent="0.2">
      <c r="A195" s="103"/>
      <c r="B195" s="104"/>
      <c r="C195" s="104"/>
      <c r="D195" s="105"/>
      <c r="E195" s="105"/>
      <c r="F195" s="106" t="s">
        <v>197</v>
      </c>
      <c r="G195" s="102"/>
      <c r="H195" s="96"/>
      <c r="I195" s="107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</row>
    <row r="196" spans="1:29" ht="12" customHeight="1" x14ac:dyDescent="0.2">
      <c r="A196" s="205" t="s">
        <v>198</v>
      </c>
      <c r="B196" s="122"/>
      <c r="C196" s="122"/>
      <c r="D196" s="122"/>
      <c r="E196" s="122"/>
      <c r="F196" s="123"/>
      <c r="G196" s="102"/>
      <c r="H196" s="96"/>
      <c r="I196" s="107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</row>
    <row r="197" spans="1:29" ht="36" x14ac:dyDescent="0.2">
      <c r="A197" s="205" t="s">
        <v>182</v>
      </c>
      <c r="B197" s="122"/>
      <c r="C197" s="122"/>
      <c r="D197" s="122"/>
      <c r="E197" s="122"/>
      <c r="F197" s="123"/>
      <c r="G197" s="108" t="s">
        <v>252</v>
      </c>
      <c r="H197" s="77" t="s">
        <v>184</v>
      </c>
      <c r="I197" s="91" t="s">
        <v>185</v>
      </c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</row>
    <row r="198" spans="1:29" ht="12" customHeight="1" x14ac:dyDescent="0.2">
      <c r="A198" s="206" t="s">
        <v>253</v>
      </c>
      <c r="B198" s="122"/>
      <c r="C198" s="122"/>
      <c r="D198" s="122"/>
      <c r="E198" s="122"/>
      <c r="F198" s="123"/>
      <c r="G198" s="95">
        <v>1</v>
      </c>
      <c r="H198" s="93">
        <v>44.77</v>
      </c>
      <c r="I198" s="94">
        <f>(H198*G198)/12</f>
        <v>3.7308333333333334</v>
      </c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</row>
    <row r="199" spans="1:29" ht="12" customHeight="1" x14ac:dyDescent="0.2">
      <c r="A199" s="208" t="s">
        <v>193</v>
      </c>
      <c r="B199" s="122"/>
      <c r="C199" s="122"/>
      <c r="D199" s="122"/>
      <c r="E199" s="122"/>
      <c r="F199" s="123"/>
      <c r="G199" s="102"/>
      <c r="H199" s="111"/>
      <c r="I199" s="97">
        <f>SUM(I198)</f>
        <v>3.7308333333333334</v>
      </c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</row>
    <row r="200" spans="1:29" ht="36" x14ac:dyDescent="0.2">
      <c r="A200" s="216"/>
      <c r="B200" s="127"/>
      <c r="C200" s="127"/>
      <c r="D200" s="127"/>
      <c r="E200" s="127"/>
      <c r="F200" s="128"/>
      <c r="G200" s="108" t="s">
        <v>199</v>
      </c>
      <c r="H200" s="77" t="s">
        <v>184</v>
      </c>
      <c r="I200" s="91" t="s">
        <v>185</v>
      </c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</row>
    <row r="201" spans="1:29" ht="12" customHeight="1" x14ac:dyDescent="0.2">
      <c r="A201" s="209" t="s">
        <v>200</v>
      </c>
      <c r="B201" s="122"/>
      <c r="C201" s="122"/>
      <c r="D201" s="122"/>
      <c r="E201" s="122"/>
      <c r="F201" s="123"/>
      <c r="G201" s="95">
        <v>1</v>
      </c>
      <c r="H201" s="93">
        <v>55.77</v>
      </c>
      <c r="I201" s="94">
        <f>SUM((H201/12)/3)</f>
        <v>1.5491666666666666</v>
      </c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</row>
    <row r="202" spans="1:29" ht="12" customHeight="1" x14ac:dyDescent="0.2">
      <c r="A202" s="208" t="s">
        <v>193</v>
      </c>
      <c r="B202" s="122"/>
      <c r="C202" s="122"/>
      <c r="D202" s="122"/>
      <c r="E202" s="122"/>
      <c r="F202" s="123"/>
      <c r="G202" s="89"/>
      <c r="H202" s="96"/>
      <c r="I202" s="101">
        <f>SUM(I201)</f>
        <v>1.5491666666666666</v>
      </c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</row>
    <row r="203" spans="1:29" ht="12" customHeight="1" x14ac:dyDescent="0.2">
      <c r="A203" s="71"/>
      <c r="B203" s="71"/>
      <c r="C203" s="71"/>
      <c r="D203" s="71"/>
      <c r="E203" s="71"/>
      <c r="F203" s="71"/>
      <c r="G203" s="71"/>
      <c r="H203" s="71"/>
      <c r="I203" s="109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</row>
    <row r="204" spans="1:29" ht="12" customHeight="1" x14ac:dyDescent="0.2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" customHeight="1" x14ac:dyDescent="0.2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" customHeight="1" x14ac:dyDescent="0.2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" customHeight="1" x14ac:dyDescent="0.2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" customHeight="1" x14ac:dyDescent="0.2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" customHeight="1" x14ac:dyDescent="0.2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" customHeight="1" x14ac:dyDescent="0.2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" customHeight="1" x14ac:dyDescent="0.2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" customHeight="1" x14ac:dyDescent="0.2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" customHeight="1" x14ac:dyDescent="0.2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" customHeight="1" x14ac:dyDescent="0.2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" customHeight="1" x14ac:dyDescent="0.2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" customHeight="1" x14ac:dyDescent="0.2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" customHeight="1" x14ac:dyDescent="0.2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" customHeight="1" x14ac:dyDescent="0.2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" customHeight="1" x14ac:dyDescent="0.2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" customHeight="1" x14ac:dyDescent="0.2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" customHeight="1" x14ac:dyDescent="0.2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" customHeight="1" x14ac:dyDescent="0.2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" customHeight="1" x14ac:dyDescent="0.2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" customHeight="1" x14ac:dyDescent="0.2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" customHeight="1" x14ac:dyDescent="0.2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" customHeight="1" x14ac:dyDescent="0.2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" customHeight="1" x14ac:dyDescent="0.2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" customHeight="1" x14ac:dyDescent="0.2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" customHeight="1" x14ac:dyDescent="0.2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" customHeight="1" x14ac:dyDescent="0.2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" customHeight="1" x14ac:dyDescent="0.2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" customHeight="1" x14ac:dyDescent="0.2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" customHeight="1" x14ac:dyDescent="0.2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" customHeight="1" x14ac:dyDescent="0.2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" customHeight="1" x14ac:dyDescent="0.2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" customHeight="1" x14ac:dyDescent="0.2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" customHeight="1" x14ac:dyDescent="0.2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" customHeight="1" x14ac:dyDescent="0.2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" customHeight="1" x14ac:dyDescent="0.2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" customHeight="1" x14ac:dyDescent="0.2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" customHeight="1" x14ac:dyDescent="0.2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" customHeight="1" x14ac:dyDescent="0.2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" customHeight="1" x14ac:dyDescent="0.2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" customHeight="1" x14ac:dyDescent="0.2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" customHeight="1" x14ac:dyDescent="0.2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" customHeight="1" x14ac:dyDescent="0.2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" customHeight="1" x14ac:dyDescent="0.2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" customHeight="1" x14ac:dyDescent="0.2">
      <c r="A248" s="1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" customHeight="1" x14ac:dyDescent="0.2">
      <c r="A249" s="1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" customHeight="1" x14ac:dyDescent="0.2">
      <c r="A250" s="1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" customHeight="1" x14ac:dyDescent="0.2">
      <c r="A251" s="1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" customHeight="1" x14ac:dyDescent="0.2">
      <c r="A252" s="1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" customHeight="1" x14ac:dyDescent="0.2">
      <c r="A253" s="1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" customHeight="1" x14ac:dyDescent="0.2">
      <c r="A254" s="1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" customHeight="1" x14ac:dyDescent="0.2">
      <c r="A255" s="1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" customHeight="1" x14ac:dyDescent="0.2">
      <c r="A256" s="1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" customHeight="1" x14ac:dyDescent="0.2">
      <c r="A257" s="1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" customHeight="1" x14ac:dyDescent="0.2">
      <c r="A258" s="1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" customHeight="1" x14ac:dyDescent="0.2">
      <c r="A259" s="1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" customHeight="1" x14ac:dyDescent="0.2">
      <c r="A260" s="1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" customHeight="1" x14ac:dyDescent="0.2">
      <c r="A261" s="1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" customHeight="1" x14ac:dyDescent="0.2">
      <c r="A262" s="1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" customHeight="1" x14ac:dyDescent="0.2">
      <c r="A263" s="1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" customHeight="1" x14ac:dyDescent="0.2">
      <c r="A264" s="1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" customHeight="1" x14ac:dyDescent="0.2">
      <c r="A265" s="1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" customHeight="1" x14ac:dyDescent="0.2">
      <c r="A266" s="1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" customHeight="1" x14ac:dyDescent="0.2">
      <c r="A267" s="1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" customHeight="1" x14ac:dyDescent="0.2">
      <c r="A268" s="1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" customHeight="1" x14ac:dyDescent="0.2">
      <c r="A269" s="1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" customHeight="1" x14ac:dyDescent="0.2">
      <c r="A270" s="1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" customHeight="1" x14ac:dyDescent="0.2">
      <c r="A271" s="1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" customHeight="1" x14ac:dyDescent="0.2">
      <c r="A272" s="1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" customHeight="1" x14ac:dyDescent="0.2">
      <c r="A273" s="1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" customHeight="1" x14ac:dyDescent="0.2">
      <c r="A274" s="1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" customHeight="1" x14ac:dyDescent="0.2">
      <c r="A275" s="1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" customHeight="1" x14ac:dyDescent="0.2">
      <c r="A276" s="1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" customHeight="1" x14ac:dyDescent="0.2">
      <c r="A277" s="1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" customHeight="1" x14ac:dyDescent="0.2">
      <c r="A278" s="1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" customHeight="1" x14ac:dyDescent="0.2">
      <c r="A279" s="1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" customHeight="1" x14ac:dyDescent="0.2">
      <c r="A280" s="1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" customHeight="1" x14ac:dyDescent="0.2">
      <c r="A281" s="1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" customHeight="1" x14ac:dyDescent="0.2">
      <c r="A282" s="1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" customHeight="1" x14ac:dyDescent="0.2">
      <c r="A283" s="1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" customHeight="1" x14ac:dyDescent="0.2">
      <c r="A284" s="1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" customHeight="1" x14ac:dyDescent="0.2">
      <c r="A285" s="1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" customHeight="1" x14ac:dyDescent="0.2">
      <c r="A286" s="1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" customHeight="1" x14ac:dyDescent="0.2">
      <c r="A287" s="1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" customHeight="1" x14ac:dyDescent="0.2">
      <c r="A288" s="1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" customHeight="1" x14ac:dyDescent="0.2">
      <c r="A289" s="1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" customHeight="1" x14ac:dyDescent="0.2">
      <c r="A290" s="1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" customHeight="1" x14ac:dyDescent="0.2">
      <c r="A291" s="1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" customHeight="1" x14ac:dyDescent="0.2">
      <c r="A292" s="1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" customHeight="1" x14ac:dyDescent="0.2">
      <c r="A293" s="1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" customHeight="1" x14ac:dyDescent="0.2">
      <c r="A294" s="1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" customHeight="1" x14ac:dyDescent="0.2">
      <c r="A295" s="1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" customHeight="1" x14ac:dyDescent="0.2">
      <c r="A296" s="1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" customHeight="1" x14ac:dyDescent="0.2">
      <c r="A297" s="1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" customHeight="1" x14ac:dyDescent="0.2">
      <c r="A298" s="1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" customHeight="1" x14ac:dyDescent="0.2">
      <c r="A299" s="1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" customHeight="1" x14ac:dyDescent="0.2">
      <c r="A300" s="1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" customHeight="1" x14ac:dyDescent="0.2">
      <c r="A301" s="1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" customHeight="1" x14ac:dyDescent="0.2">
      <c r="A302" s="1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" customHeight="1" x14ac:dyDescent="0.2">
      <c r="A303" s="1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" customHeight="1" x14ac:dyDescent="0.2">
      <c r="A304" s="1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" customHeight="1" x14ac:dyDescent="0.2">
      <c r="A305" s="1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" customHeight="1" x14ac:dyDescent="0.2">
      <c r="A306" s="1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" customHeight="1" x14ac:dyDescent="0.2">
      <c r="A307" s="1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" customHeight="1" x14ac:dyDescent="0.2">
      <c r="A308" s="1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" customHeight="1" x14ac:dyDescent="0.2">
      <c r="A309" s="1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" customHeight="1" x14ac:dyDescent="0.2">
      <c r="A310" s="1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" customHeight="1" x14ac:dyDescent="0.2">
      <c r="A311" s="1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" customHeight="1" x14ac:dyDescent="0.2">
      <c r="A312" s="1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" customHeight="1" x14ac:dyDescent="0.2">
      <c r="A313" s="1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" customHeight="1" x14ac:dyDescent="0.2">
      <c r="A314" s="1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" customHeight="1" x14ac:dyDescent="0.2">
      <c r="A315" s="1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" customHeight="1" x14ac:dyDescent="0.2">
      <c r="A316" s="1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" customHeight="1" x14ac:dyDescent="0.2">
      <c r="A317" s="1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" customHeight="1" x14ac:dyDescent="0.2">
      <c r="A318" s="1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" customHeight="1" x14ac:dyDescent="0.2">
      <c r="A319" s="1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" customHeight="1" x14ac:dyDescent="0.2">
      <c r="A320" s="1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" customHeight="1" x14ac:dyDescent="0.2">
      <c r="A321" s="1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" customHeight="1" x14ac:dyDescent="0.2">
      <c r="A322" s="1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" customHeight="1" x14ac:dyDescent="0.2">
      <c r="A323" s="1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" customHeight="1" x14ac:dyDescent="0.2">
      <c r="A324" s="1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" customHeight="1" x14ac:dyDescent="0.2">
      <c r="A325" s="1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" customHeight="1" x14ac:dyDescent="0.2">
      <c r="A326" s="1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" customHeight="1" x14ac:dyDescent="0.2">
      <c r="A327" s="1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" customHeight="1" x14ac:dyDescent="0.2">
      <c r="A328" s="1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" customHeight="1" x14ac:dyDescent="0.2">
      <c r="A329" s="1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" customHeight="1" x14ac:dyDescent="0.2">
      <c r="A330" s="1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" customHeight="1" x14ac:dyDescent="0.2">
      <c r="A331" s="1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" customHeight="1" x14ac:dyDescent="0.2">
      <c r="A332" s="1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" customHeight="1" x14ac:dyDescent="0.2">
      <c r="A333" s="1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" customHeight="1" x14ac:dyDescent="0.2">
      <c r="A334" s="1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" customHeight="1" x14ac:dyDescent="0.2">
      <c r="A335" s="1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" customHeight="1" x14ac:dyDescent="0.2">
      <c r="A336" s="1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" customHeight="1" x14ac:dyDescent="0.2">
      <c r="A337" s="1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" customHeight="1" x14ac:dyDescent="0.2">
      <c r="A338" s="1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" customHeight="1" x14ac:dyDescent="0.2">
      <c r="A339" s="1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" customHeight="1" x14ac:dyDescent="0.2">
      <c r="A340" s="1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" customHeight="1" x14ac:dyDescent="0.2">
      <c r="A341" s="1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" customHeight="1" x14ac:dyDescent="0.2">
      <c r="A342" s="1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" customHeight="1" x14ac:dyDescent="0.2">
      <c r="A343" s="1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" customHeight="1" x14ac:dyDescent="0.2">
      <c r="A344" s="1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" customHeight="1" x14ac:dyDescent="0.2">
      <c r="A345" s="1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" customHeight="1" x14ac:dyDescent="0.2">
      <c r="A346" s="1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" customHeight="1" x14ac:dyDescent="0.2">
      <c r="A347" s="1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" customHeight="1" x14ac:dyDescent="0.2">
      <c r="A348" s="1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" customHeight="1" x14ac:dyDescent="0.2">
      <c r="A349" s="1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" customHeight="1" x14ac:dyDescent="0.2">
      <c r="A350" s="1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" customHeight="1" x14ac:dyDescent="0.2">
      <c r="A351" s="1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" customHeight="1" x14ac:dyDescent="0.2">
      <c r="A352" s="1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" customHeight="1" x14ac:dyDescent="0.2">
      <c r="A353" s="1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" customHeight="1" x14ac:dyDescent="0.2">
      <c r="A354" s="1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" customHeight="1" x14ac:dyDescent="0.2">
      <c r="A355" s="1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" customHeight="1" x14ac:dyDescent="0.2">
      <c r="A356" s="1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" customHeight="1" x14ac:dyDescent="0.2">
      <c r="A357" s="1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" customHeight="1" x14ac:dyDescent="0.2">
      <c r="A358" s="1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" customHeight="1" x14ac:dyDescent="0.2">
      <c r="A359" s="1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" customHeight="1" x14ac:dyDescent="0.2">
      <c r="A360" s="1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" customHeight="1" x14ac:dyDescent="0.2">
      <c r="A361" s="1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" customHeight="1" x14ac:dyDescent="0.2">
      <c r="A362" s="1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" customHeight="1" x14ac:dyDescent="0.2">
      <c r="A363" s="1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" customHeight="1" x14ac:dyDescent="0.2">
      <c r="A364" s="1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" customHeight="1" x14ac:dyDescent="0.2">
      <c r="A365" s="1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" customHeight="1" x14ac:dyDescent="0.2">
      <c r="A366" s="1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" customHeight="1" x14ac:dyDescent="0.2">
      <c r="A367" s="1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" customHeight="1" x14ac:dyDescent="0.2">
      <c r="A368" s="1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" customHeight="1" x14ac:dyDescent="0.2">
      <c r="A369" s="1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" customHeight="1" x14ac:dyDescent="0.2">
      <c r="A370" s="1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" customHeight="1" x14ac:dyDescent="0.2">
      <c r="A371" s="1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" customHeight="1" x14ac:dyDescent="0.2">
      <c r="A372" s="1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" customHeight="1" x14ac:dyDescent="0.2">
      <c r="A373" s="1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" customHeight="1" x14ac:dyDescent="0.2">
      <c r="A374" s="1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" customHeight="1" x14ac:dyDescent="0.2">
      <c r="A375" s="1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" customHeight="1" x14ac:dyDescent="0.2">
      <c r="A376" s="1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" customHeight="1" x14ac:dyDescent="0.2">
      <c r="A377" s="1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" customHeight="1" x14ac:dyDescent="0.2">
      <c r="A378" s="1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" customHeight="1" x14ac:dyDescent="0.2">
      <c r="A379" s="1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" customHeight="1" x14ac:dyDescent="0.2">
      <c r="A380" s="1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" customHeight="1" x14ac:dyDescent="0.2">
      <c r="A381" s="1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" customHeight="1" x14ac:dyDescent="0.2">
      <c r="A382" s="1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" customHeight="1" x14ac:dyDescent="0.2">
      <c r="A383" s="1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" customHeight="1" x14ac:dyDescent="0.2">
      <c r="A384" s="1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" customHeight="1" x14ac:dyDescent="0.2">
      <c r="A385" s="1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" customHeight="1" x14ac:dyDescent="0.2">
      <c r="A386" s="1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" customHeight="1" x14ac:dyDescent="0.2">
      <c r="A387" s="1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" customHeight="1" x14ac:dyDescent="0.2">
      <c r="A388" s="1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" customHeight="1" x14ac:dyDescent="0.2">
      <c r="A389" s="1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" customHeight="1" x14ac:dyDescent="0.2">
      <c r="A390" s="1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" customHeight="1" x14ac:dyDescent="0.2">
      <c r="A391" s="1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" customHeight="1" x14ac:dyDescent="0.2">
      <c r="A392" s="1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" customHeight="1" x14ac:dyDescent="0.2">
      <c r="A393" s="1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" customHeight="1" x14ac:dyDescent="0.2">
      <c r="A394" s="1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" customHeight="1" x14ac:dyDescent="0.2">
      <c r="A395" s="1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" customHeight="1" x14ac:dyDescent="0.2">
      <c r="A396" s="1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" customHeight="1" x14ac:dyDescent="0.2">
      <c r="A397" s="1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" customHeight="1" x14ac:dyDescent="0.2">
      <c r="A398" s="1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" customHeight="1" x14ac:dyDescent="0.2">
      <c r="A399" s="1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" customHeight="1" x14ac:dyDescent="0.2">
      <c r="A400" s="1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" customHeight="1" x14ac:dyDescent="0.2">
      <c r="A401" s="1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" customHeight="1" x14ac:dyDescent="0.2">
      <c r="A402" s="1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" customHeight="1" x14ac:dyDescent="0.2">
      <c r="A403" s="1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" customHeight="1" x14ac:dyDescent="0.2">
      <c r="A404" s="1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" customHeight="1" x14ac:dyDescent="0.2">
      <c r="A405" s="1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" customHeight="1" x14ac:dyDescent="0.2">
      <c r="A406" s="1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" customHeight="1" x14ac:dyDescent="0.2">
      <c r="A407" s="1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" customHeight="1" x14ac:dyDescent="0.2">
      <c r="A408" s="1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" customHeight="1" x14ac:dyDescent="0.2">
      <c r="A409" s="1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" customHeight="1" x14ac:dyDescent="0.2">
      <c r="A410" s="1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" customHeight="1" x14ac:dyDescent="0.2">
      <c r="A411" s="1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" customHeight="1" x14ac:dyDescent="0.2">
      <c r="A412" s="1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" customHeight="1" x14ac:dyDescent="0.2">
      <c r="A413" s="1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" customHeight="1" x14ac:dyDescent="0.2">
      <c r="A414" s="1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" customHeight="1" x14ac:dyDescent="0.2">
      <c r="A415" s="1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" customHeight="1" x14ac:dyDescent="0.2">
      <c r="A416" s="1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" customHeight="1" x14ac:dyDescent="0.2">
      <c r="A417" s="1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" customHeight="1" x14ac:dyDescent="0.2">
      <c r="A418" s="1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" customHeight="1" x14ac:dyDescent="0.2">
      <c r="A419" s="1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" customHeight="1" x14ac:dyDescent="0.2">
      <c r="A420" s="1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" customHeight="1" x14ac:dyDescent="0.2">
      <c r="A421" s="1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" customHeight="1" x14ac:dyDescent="0.2">
      <c r="A422" s="1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" customHeight="1" x14ac:dyDescent="0.2">
      <c r="A423" s="1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" customHeight="1" x14ac:dyDescent="0.2">
      <c r="A424" s="1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" customHeight="1" x14ac:dyDescent="0.2">
      <c r="A425" s="1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" customHeight="1" x14ac:dyDescent="0.2">
      <c r="A426" s="1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" customHeight="1" x14ac:dyDescent="0.2">
      <c r="A427" s="1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" customHeight="1" x14ac:dyDescent="0.2">
      <c r="A428" s="1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" customHeight="1" x14ac:dyDescent="0.2">
      <c r="A429" s="1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" customHeight="1" x14ac:dyDescent="0.2">
      <c r="A430" s="1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" customHeight="1" x14ac:dyDescent="0.2">
      <c r="A431" s="1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" customHeight="1" x14ac:dyDescent="0.2">
      <c r="A432" s="1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" customHeight="1" x14ac:dyDescent="0.2">
      <c r="A433" s="1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" customHeight="1" x14ac:dyDescent="0.2">
      <c r="A434" s="1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" customHeight="1" x14ac:dyDescent="0.2">
      <c r="A435" s="1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" customHeight="1" x14ac:dyDescent="0.2">
      <c r="A436" s="1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" customHeight="1" x14ac:dyDescent="0.2">
      <c r="A437" s="1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" customHeight="1" x14ac:dyDescent="0.2">
      <c r="A438" s="1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" customHeight="1" x14ac:dyDescent="0.2">
      <c r="A439" s="1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" customHeight="1" x14ac:dyDescent="0.2">
      <c r="A440" s="1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" customHeight="1" x14ac:dyDescent="0.2">
      <c r="A441" s="1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" customHeight="1" x14ac:dyDescent="0.2">
      <c r="A442" s="1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" customHeight="1" x14ac:dyDescent="0.2">
      <c r="A443" s="1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" customHeight="1" x14ac:dyDescent="0.2">
      <c r="A444" s="1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" customHeight="1" x14ac:dyDescent="0.2">
      <c r="A445" s="1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" customHeight="1" x14ac:dyDescent="0.2">
      <c r="A446" s="1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" customHeight="1" x14ac:dyDescent="0.2">
      <c r="A447" s="1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" customHeight="1" x14ac:dyDescent="0.2">
      <c r="A448" s="1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" customHeight="1" x14ac:dyDescent="0.2">
      <c r="A449" s="1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" customHeight="1" x14ac:dyDescent="0.2">
      <c r="A450" s="1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" customHeight="1" x14ac:dyDescent="0.2">
      <c r="A451" s="1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" customHeight="1" x14ac:dyDescent="0.2">
      <c r="A452" s="1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" customHeight="1" x14ac:dyDescent="0.2">
      <c r="A453" s="1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" customHeight="1" x14ac:dyDescent="0.2">
      <c r="A454" s="1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" customHeight="1" x14ac:dyDescent="0.2">
      <c r="A455" s="1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" customHeight="1" x14ac:dyDescent="0.2">
      <c r="A456" s="1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" customHeight="1" x14ac:dyDescent="0.2">
      <c r="A457" s="1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" customHeight="1" x14ac:dyDescent="0.2">
      <c r="A458" s="1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" customHeight="1" x14ac:dyDescent="0.2">
      <c r="A459" s="1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" customHeight="1" x14ac:dyDescent="0.2">
      <c r="A460" s="1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" customHeight="1" x14ac:dyDescent="0.2">
      <c r="A461" s="1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" customHeight="1" x14ac:dyDescent="0.2">
      <c r="A462" s="1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" customHeight="1" x14ac:dyDescent="0.2">
      <c r="A463" s="1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" customHeight="1" x14ac:dyDescent="0.2">
      <c r="A464" s="1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" customHeight="1" x14ac:dyDescent="0.2">
      <c r="A465" s="1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" customHeight="1" x14ac:dyDescent="0.2">
      <c r="A466" s="1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" customHeight="1" x14ac:dyDescent="0.2">
      <c r="A467" s="1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" customHeight="1" x14ac:dyDescent="0.2">
      <c r="A468" s="1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" customHeight="1" x14ac:dyDescent="0.2">
      <c r="A469" s="1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" customHeight="1" x14ac:dyDescent="0.2">
      <c r="A470" s="1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" customHeight="1" x14ac:dyDescent="0.2">
      <c r="A471" s="1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" customHeight="1" x14ac:dyDescent="0.2">
      <c r="A472" s="1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" customHeight="1" x14ac:dyDescent="0.2">
      <c r="A473" s="1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" customHeight="1" x14ac:dyDescent="0.2">
      <c r="A474" s="1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" customHeight="1" x14ac:dyDescent="0.2">
      <c r="A475" s="1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" customHeight="1" x14ac:dyDescent="0.2">
      <c r="A476" s="1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" customHeight="1" x14ac:dyDescent="0.2">
      <c r="A477" s="1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" customHeight="1" x14ac:dyDescent="0.2">
      <c r="A478" s="1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" customHeight="1" x14ac:dyDescent="0.2">
      <c r="A479" s="1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" customHeight="1" x14ac:dyDescent="0.2">
      <c r="A480" s="1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" customHeight="1" x14ac:dyDescent="0.2">
      <c r="A481" s="1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" customHeight="1" x14ac:dyDescent="0.2">
      <c r="A482" s="1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" customHeight="1" x14ac:dyDescent="0.2">
      <c r="A483" s="1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" customHeight="1" x14ac:dyDescent="0.2">
      <c r="A484" s="1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" customHeight="1" x14ac:dyDescent="0.2">
      <c r="A485" s="1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" customHeight="1" x14ac:dyDescent="0.2">
      <c r="A486" s="1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" customHeight="1" x14ac:dyDescent="0.2">
      <c r="A487" s="1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" customHeight="1" x14ac:dyDescent="0.2">
      <c r="A488" s="1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" customHeight="1" x14ac:dyDescent="0.2">
      <c r="A489" s="1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" customHeight="1" x14ac:dyDescent="0.2">
      <c r="A490" s="1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" customHeight="1" x14ac:dyDescent="0.2">
      <c r="A491" s="1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" customHeight="1" x14ac:dyDescent="0.2">
      <c r="A492" s="1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" customHeight="1" x14ac:dyDescent="0.2">
      <c r="A493" s="1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" customHeight="1" x14ac:dyDescent="0.2">
      <c r="A494" s="1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" customHeight="1" x14ac:dyDescent="0.2">
      <c r="A495" s="1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" customHeight="1" x14ac:dyDescent="0.2">
      <c r="A496" s="1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" customHeight="1" x14ac:dyDescent="0.2">
      <c r="A497" s="1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" customHeight="1" x14ac:dyDescent="0.2">
      <c r="A498" s="1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" customHeight="1" x14ac:dyDescent="0.2">
      <c r="A499" s="1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" customHeight="1" x14ac:dyDescent="0.2">
      <c r="A500" s="1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" customHeight="1" x14ac:dyDescent="0.2">
      <c r="A501" s="1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" customHeight="1" x14ac:dyDescent="0.2">
      <c r="A502" s="1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" customHeight="1" x14ac:dyDescent="0.2">
      <c r="A503" s="1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" customHeight="1" x14ac:dyDescent="0.2">
      <c r="A504" s="1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" customHeight="1" x14ac:dyDescent="0.2">
      <c r="A505" s="1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" customHeight="1" x14ac:dyDescent="0.2">
      <c r="A506" s="1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" customHeight="1" x14ac:dyDescent="0.2">
      <c r="A507" s="1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" customHeight="1" x14ac:dyDescent="0.2">
      <c r="A508" s="1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" customHeight="1" x14ac:dyDescent="0.2">
      <c r="A509" s="1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" customHeight="1" x14ac:dyDescent="0.2">
      <c r="A510" s="1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" customHeight="1" x14ac:dyDescent="0.2">
      <c r="A511" s="1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" customHeight="1" x14ac:dyDescent="0.2">
      <c r="A512" s="1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" customHeight="1" x14ac:dyDescent="0.2">
      <c r="A513" s="1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" customHeight="1" x14ac:dyDescent="0.2">
      <c r="A514" s="1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" customHeight="1" x14ac:dyDescent="0.2">
      <c r="A515" s="1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" customHeight="1" x14ac:dyDescent="0.2">
      <c r="A516" s="1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" customHeight="1" x14ac:dyDescent="0.2">
      <c r="A517" s="1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" customHeight="1" x14ac:dyDescent="0.2">
      <c r="A518" s="1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" customHeight="1" x14ac:dyDescent="0.2">
      <c r="A519" s="1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" customHeight="1" x14ac:dyDescent="0.2">
      <c r="A520" s="1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" customHeight="1" x14ac:dyDescent="0.2">
      <c r="A521" s="1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" customHeight="1" x14ac:dyDescent="0.2">
      <c r="A522" s="1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" customHeight="1" x14ac:dyDescent="0.2">
      <c r="A523" s="1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" customHeight="1" x14ac:dyDescent="0.2">
      <c r="A524" s="1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" customHeight="1" x14ac:dyDescent="0.2">
      <c r="A525" s="1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" customHeight="1" x14ac:dyDescent="0.2">
      <c r="A526" s="1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" customHeight="1" x14ac:dyDescent="0.2">
      <c r="A527" s="1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" customHeight="1" x14ac:dyDescent="0.2">
      <c r="A528" s="1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" customHeight="1" x14ac:dyDescent="0.2">
      <c r="A529" s="1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" customHeight="1" x14ac:dyDescent="0.2">
      <c r="A530" s="1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" customHeight="1" x14ac:dyDescent="0.2">
      <c r="A531" s="1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" customHeight="1" x14ac:dyDescent="0.2">
      <c r="A532" s="1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" customHeight="1" x14ac:dyDescent="0.2">
      <c r="A533" s="1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" customHeight="1" x14ac:dyDescent="0.2">
      <c r="A534" s="1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" customHeight="1" x14ac:dyDescent="0.2">
      <c r="A535" s="1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" customHeight="1" x14ac:dyDescent="0.2">
      <c r="A536" s="1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" customHeight="1" x14ac:dyDescent="0.2">
      <c r="A537" s="1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" customHeight="1" x14ac:dyDescent="0.2">
      <c r="A538" s="1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" customHeight="1" x14ac:dyDescent="0.2">
      <c r="A539" s="1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" customHeight="1" x14ac:dyDescent="0.2">
      <c r="A540" s="1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" customHeight="1" x14ac:dyDescent="0.2">
      <c r="A541" s="1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" customHeight="1" x14ac:dyDescent="0.2">
      <c r="A542" s="1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" customHeight="1" x14ac:dyDescent="0.2">
      <c r="A543" s="1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" customHeight="1" x14ac:dyDescent="0.2">
      <c r="A544" s="1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" customHeight="1" x14ac:dyDescent="0.2">
      <c r="A545" s="1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" customHeight="1" x14ac:dyDescent="0.2">
      <c r="A546" s="1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" customHeight="1" x14ac:dyDescent="0.2">
      <c r="A547" s="1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" customHeight="1" x14ac:dyDescent="0.2">
      <c r="A548" s="1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" customHeight="1" x14ac:dyDescent="0.2">
      <c r="A549" s="1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" customHeight="1" x14ac:dyDescent="0.2">
      <c r="A550" s="1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" customHeight="1" x14ac:dyDescent="0.2">
      <c r="A551" s="1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" customHeight="1" x14ac:dyDescent="0.2">
      <c r="A552" s="1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" customHeight="1" x14ac:dyDescent="0.2">
      <c r="A553" s="1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" customHeight="1" x14ac:dyDescent="0.2">
      <c r="A554" s="1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" customHeight="1" x14ac:dyDescent="0.2">
      <c r="A555" s="1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" customHeight="1" x14ac:dyDescent="0.2">
      <c r="A556" s="1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" customHeight="1" x14ac:dyDescent="0.2">
      <c r="A557" s="1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" customHeight="1" x14ac:dyDescent="0.2">
      <c r="A558" s="1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" customHeight="1" x14ac:dyDescent="0.2">
      <c r="A559" s="1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" customHeight="1" x14ac:dyDescent="0.2">
      <c r="A560" s="1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" customHeight="1" x14ac:dyDescent="0.2">
      <c r="A561" s="1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" customHeight="1" x14ac:dyDescent="0.2">
      <c r="A562" s="1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" customHeight="1" x14ac:dyDescent="0.2">
      <c r="A563" s="1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" customHeight="1" x14ac:dyDescent="0.2">
      <c r="A564" s="1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" customHeight="1" x14ac:dyDescent="0.2">
      <c r="A565" s="1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" customHeight="1" x14ac:dyDescent="0.2">
      <c r="A566" s="1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" customHeight="1" x14ac:dyDescent="0.2">
      <c r="A567" s="1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" customHeight="1" x14ac:dyDescent="0.2">
      <c r="A568" s="1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" customHeight="1" x14ac:dyDescent="0.2">
      <c r="A569" s="1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" customHeight="1" x14ac:dyDescent="0.2">
      <c r="A570" s="1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" customHeight="1" x14ac:dyDescent="0.2">
      <c r="A571" s="1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" customHeight="1" x14ac:dyDescent="0.2">
      <c r="A572" s="1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" customHeight="1" x14ac:dyDescent="0.2">
      <c r="A573" s="1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" customHeight="1" x14ac:dyDescent="0.2">
      <c r="A574" s="1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" customHeight="1" x14ac:dyDescent="0.2">
      <c r="A575" s="1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" customHeight="1" x14ac:dyDescent="0.2">
      <c r="A576" s="1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" customHeight="1" x14ac:dyDescent="0.2">
      <c r="A577" s="1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" customHeight="1" x14ac:dyDescent="0.2">
      <c r="A578" s="1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" customHeight="1" x14ac:dyDescent="0.2">
      <c r="A579" s="1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" customHeight="1" x14ac:dyDescent="0.2">
      <c r="A580" s="1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" customHeight="1" x14ac:dyDescent="0.2">
      <c r="A581" s="1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" customHeight="1" x14ac:dyDescent="0.2">
      <c r="A582" s="1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" customHeight="1" x14ac:dyDescent="0.2">
      <c r="A583" s="1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" customHeight="1" x14ac:dyDescent="0.2">
      <c r="A584" s="1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" customHeight="1" x14ac:dyDescent="0.2">
      <c r="A585" s="1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" customHeight="1" x14ac:dyDescent="0.2">
      <c r="A586" s="1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" customHeight="1" x14ac:dyDescent="0.2">
      <c r="A587" s="1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" customHeight="1" x14ac:dyDescent="0.2">
      <c r="A588" s="1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" customHeight="1" x14ac:dyDescent="0.2">
      <c r="A589" s="1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" customHeight="1" x14ac:dyDescent="0.2">
      <c r="A590" s="1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" customHeight="1" x14ac:dyDescent="0.2">
      <c r="A591" s="1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" customHeight="1" x14ac:dyDescent="0.2">
      <c r="A592" s="1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" customHeight="1" x14ac:dyDescent="0.2">
      <c r="A593" s="1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" customHeight="1" x14ac:dyDescent="0.2">
      <c r="A594" s="1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" customHeight="1" x14ac:dyDescent="0.2">
      <c r="A595" s="1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" customHeight="1" x14ac:dyDescent="0.2">
      <c r="A596" s="1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" customHeight="1" x14ac:dyDescent="0.2">
      <c r="A597" s="1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" customHeight="1" x14ac:dyDescent="0.2">
      <c r="A598" s="1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" customHeight="1" x14ac:dyDescent="0.2">
      <c r="A599" s="1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" customHeight="1" x14ac:dyDescent="0.2">
      <c r="A600" s="1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" customHeight="1" x14ac:dyDescent="0.2">
      <c r="A601" s="1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" customHeight="1" x14ac:dyDescent="0.2">
      <c r="A602" s="1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" customHeight="1" x14ac:dyDescent="0.2">
      <c r="A603" s="1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" customHeight="1" x14ac:dyDescent="0.2">
      <c r="A604" s="1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" customHeight="1" x14ac:dyDescent="0.2">
      <c r="A605" s="1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" customHeight="1" x14ac:dyDescent="0.2">
      <c r="A606" s="1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" customHeight="1" x14ac:dyDescent="0.2">
      <c r="A607" s="1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" customHeight="1" x14ac:dyDescent="0.2">
      <c r="A608" s="1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" customHeight="1" x14ac:dyDescent="0.2">
      <c r="A609" s="1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" customHeight="1" x14ac:dyDescent="0.2">
      <c r="A610" s="1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" customHeight="1" x14ac:dyDescent="0.2">
      <c r="A611" s="1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" customHeight="1" x14ac:dyDescent="0.2">
      <c r="A612" s="1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" customHeight="1" x14ac:dyDescent="0.2">
      <c r="A613" s="1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" customHeight="1" x14ac:dyDescent="0.2">
      <c r="A614" s="1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" customHeight="1" x14ac:dyDescent="0.2">
      <c r="A615" s="1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" customHeight="1" x14ac:dyDescent="0.2">
      <c r="A616" s="1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" customHeight="1" x14ac:dyDescent="0.2">
      <c r="A617" s="1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" customHeight="1" x14ac:dyDescent="0.2">
      <c r="A618" s="1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" customHeight="1" x14ac:dyDescent="0.2">
      <c r="A619" s="1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" customHeight="1" x14ac:dyDescent="0.2">
      <c r="A620" s="1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" customHeight="1" x14ac:dyDescent="0.2">
      <c r="A621" s="1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" customHeight="1" x14ac:dyDescent="0.2">
      <c r="A622" s="1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" customHeight="1" x14ac:dyDescent="0.2">
      <c r="A623" s="1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" customHeight="1" x14ac:dyDescent="0.2">
      <c r="A624" s="1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" customHeight="1" x14ac:dyDescent="0.2">
      <c r="A625" s="1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" customHeight="1" x14ac:dyDescent="0.2">
      <c r="A626" s="1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" customHeight="1" x14ac:dyDescent="0.2">
      <c r="A627" s="1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" customHeight="1" x14ac:dyDescent="0.2">
      <c r="A628" s="1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" customHeight="1" x14ac:dyDescent="0.2">
      <c r="A629" s="1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" customHeight="1" x14ac:dyDescent="0.2">
      <c r="A630" s="1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" customHeight="1" x14ac:dyDescent="0.2">
      <c r="A631" s="1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" customHeight="1" x14ac:dyDescent="0.2">
      <c r="A632" s="1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" customHeight="1" x14ac:dyDescent="0.2">
      <c r="A633" s="1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" customHeight="1" x14ac:dyDescent="0.2">
      <c r="A634" s="1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" customHeight="1" x14ac:dyDescent="0.2">
      <c r="A635" s="1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" customHeight="1" x14ac:dyDescent="0.2">
      <c r="A636" s="1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" customHeight="1" x14ac:dyDescent="0.2">
      <c r="A637" s="1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" customHeight="1" x14ac:dyDescent="0.2">
      <c r="A638" s="1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" customHeight="1" x14ac:dyDescent="0.2">
      <c r="A639" s="1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" customHeight="1" x14ac:dyDescent="0.2">
      <c r="A640" s="1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" customHeight="1" x14ac:dyDescent="0.2">
      <c r="A641" s="1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" customHeight="1" x14ac:dyDescent="0.2">
      <c r="A642" s="1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" customHeight="1" x14ac:dyDescent="0.2">
      <c r="A643" s="1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" customHeight="1" x14ac:dyDescent="0.2">
      <c r="A644" s="1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" customHeight="1" x14ac:dyDescent="0.2">
      <c r="A645" s="1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" customHeight="1" x14ac:dyDescent="0.2">
      <c r="A646" s="1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" customHeight="1" x14ac:dyDescent="0.2">
      <c r="A647" s="1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" customHeight="1" x14ac:dyDescent="0.2">
      <c r="A648" s="1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" customHeight="1" x14ac:dyDescent="0.2">
      <c r="A649" s="1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" customHeight="1" x14ac:dyDescent="0.2">
      <c r="A650" s="1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" customHeight="1" x14ac:dyDescent="0.2">
      <c r="A651" s="1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" customHeight="1" x14ac:dyDescent="0.2">
      <c r="A652" s="1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" customHeight="1" x14ac:dyDescent="0.2">
      <c r="A653" s="1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" customHeight="1" x14ac:dyDescent="0.2">
      <c r="A654" s="1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" customHeight="1" x14ac:dyDescent="0.2">
      <c r="A655" s="1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" customHeight="1" x14ac:dyDescent="0.2">
      <c r="A656" s="1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" customHeight="1" x14ac:dyDescent="0.2">
      <c r="A657" s="1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" customHeight="1" x14ac:dyDescent="0.2">
      <c r="A658" s="1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" customHeight="1" x14ac:dyDescent="0.2">
      <c r="A659" s="1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" customHeight="1" x14ac:dyDescent="0.2">
      <c r="A660" s="1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" customHeight="1" x14ac:dyDescent="0.2">
      <c r="A661" s="1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" customHeight="1" x14ac:dyDescent="0.2">
      <c r="A662" s="1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" customHeight="1" x14ac:dyDescent="0.2">
      <c r="A663" s="1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" customHeight="1" x14ac:dyDescent="0.2">
      <c r="A664" s="1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" customHeight="1" x14ac:dyDescent="0.2">
      <c r="A665" s="1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" customHeight="1" x14ac:dyDescent="0.2">
      <c r="A666" s="1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" customHeight="1" x14ac:dyDescent="0.2">
      <c r="A667" s="1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" customHeight="1" x14ac:dyDescent="0.2">
      <c r="A668" s="1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" customHeight="1" x14ac:dyDescent="0.2">
      <c r="A669" s="1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" customHeight="1" x14ac:dyDescent="0.2">
      <c r="A670" s="1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" customHeight="1" x14ac:dyDescent="0.2">
      <c r="A671" s="1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" customHeight="1" x14ac:dyDescent="0.2">
      <c r="A672" s="1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" customHeight="1" x14ac:dyDescent="0.2">
      <c r="A673" s="1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" customHeight="1" x14ac:dyDescent="0.2">
      <c r="A674" s="1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" customHeight="1" x14ac:dyDescent="0.2">
      <c r="A675" s="1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" customHeight="1" x14ac:dyDescent="0.2">
      <c r="A676" s="1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" customHeight="1" x14ac:dyDescent="0.2">
      <c r="A677" s="1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" customHeight="1" x14ac:dyDescent="0.2">
      <c r="A678" s="1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" customHeight="1" x14ac:dyDescent="0.2">
      <c r="A679" s="1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" customHeight="1" x14ac:dyDescent="0.2">
      <c r="A680" s="1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" customHeight="1" x14ac:dyDescent="0.2">
      <c r="A681" s="1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" customHeight="1" x14ac:dyDescent="0.2">
      <c r="A682" s="1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" customHeight="1" x14ac:dyDescent="0.2">
      <c r="A683" s="1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" customHeight="1" x14ac:dyDescent="0.2">
      <c r="A684" s="1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" customHeight="1" x14ac:dyDescent="0.2">
      <c r="A685" s="1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" customHeight="1" x14ac:dyDescent="0.2">
      <c r="A686" s="1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" customHeight="1" x14ac:dyDescent="0.2">
      <c r="A687" s="1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" customHeight="1" x14ac:dyDescent="0.2">
      <c r="A688" s="1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" customHeight="1" x14ac:dyDescent="0.2">
      <c r="A689" s="1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" customHeight="1" x14ac:dyDescent="0.2">
      <c r="A690" s="1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" customHeight="1" x14ac:dyDescent="0.2">
      <c r="A691" s="1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" customHeight="1" x14ac:dyDescent="0.2">
      <c r="A692" s="1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" customHeight="1" x14ac:dyDescent="0.2">
      <c r="A693" s="1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" customHeight="1" x14ac:dyDescent="0.2">
      <c r="A694" s="1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" customHeight="1" x14ac:dyDescent="0.2">
      <c r="A695" s="1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" customHeight="1" x14ac:dyDescent="0.2">
      <c r="A696" s="1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" customHeight="1" x14ac:dyDescent="0.2">
      <c r="A697" s="1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" customHeight="1" x14ac:dyDescent="0.2">
      <c r="A698" s="1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" customHeight="1" x14ac:dyDescent="0.2">
      <c r="A699" s="1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" customHeight="1" x14ac:dyDescent="0.2">
      <c r="A700" s="1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" customHeight="1" x14ac:dyDescent="0.2">
      <c r="A701" s="1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" customHeight="1" x14ac:dyDescent="0.2">
      <c r="A702" s="1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" customHeight="1" x14ac:dyDescent="0.2">
      <c r="A703" s="1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" customHeight="1" x14ac:dyDescent="0.2">
      <c r="A704" s="1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" customHeight="1" x14ac:dyDescent="0.2">
      <c r="A705" s="1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" customHeight="1" x14ac:dyDescent="0.2">
      <c r="A706" s="1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" customHeight="1" x14ac:dyDescent="0.2">
      <c r="A707" s="1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" customHeight="1" x14ac:dyDescent="0.2">
      <c r="A708" s="1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" customHeight="1" x14ac:dyDescent="0.2">
      <c r="A709" s="1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" customHeight="1" x14ac:dyDescent="0.2">
      <c r="A710" s="1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" customHeight="1" x14ac:dyDescent="0.2">
      <c r="A711" s="1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" customHeight="1" x14ac:dyDescent="0.2">
      <c r="A712" s="1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" customHeight="1" x14ac:dyDescent="0.2">
      <c r="A713" s="1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" customHeight="1" x14ac:dyDescent="0.2">
      <c r="A714" s="1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" customHeight="1" x14ac:dyDescent="0.2">
      <c r="A715" s="1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" customHeight="1" x14ac:dyDescent="0.2">
      <c r="A716" s="1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" customHeight="1" x14ac:dyDescent="0.2">
      <c r="A717" s="1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" customHeight="1" x14ac:dyDescent="0.2">
      <c r="A718" s="1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" customHeight="1" x14ac:dyDescent="0.2">
      <c r="A719" s="1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" customHeight="1" x14ac:dyDescent="0.2">
      <c r="A720" s="1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" customHeight="1" x14ac:dyDescent="0.2">
      <c r="A721" s="1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" customHeight="1" x14ac:dyDescent="0.2">
      <c r="A722" s="1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" customHeight="1" x14ac:dyDescent="0.2">
      <c r="A723" s="1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" customHeight="1" x14ac:dyDescent="0.2">
      <c r="A724" s="1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" customHeight="1" x14ac:dyDescent="0.2">
      <c r="A725" s="1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" customHeight="1" x14ac:dyDescent="0.2">
      <c r="A726" s="1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" customHeight="1" x14ac:dyDescent="0.2">
      <c r="A727" s="1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" customHeight="1" x14ac:dyDescent="0.2">
      <c r="A728" s="1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" customHeight="1" x14ac:dyDescent="0.2">
      <c r="A729" s="1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" customHeight="1" x14ac:dyDescent="0.2">
      <c r="A730" s="1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" customHeight="1" x14ac:dyDescent="0.2">
      <c r="A731" s="1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" customHeight="1" x14ac:dyDescent="0.2">
      <c r="A732" s="1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" customHeight="1" x14ac:dyDescent="0.2">
      <c r="A733" s="1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" customHeight="1" x14ac:dyDescent="0.2">
      <c r="A734" s="1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" customHeight="1" x14ac:dyDescent="0.2">
      <c r="A735" s="1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" customHeight="1" x14ac:dyDescent="0.2">
      <c r="A736" s="1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" customHeight="1" x14ac:dyDescent="0.2">
      <c r="A737" s="1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" customHeight="1" x14ac:dyDescent="0.2">
      <c r="A738" s="1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" customHeight="1" x14ac:dyDescent="0.2">
      <c r="A739" s="1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" customHeight="1" x14ac:dyDescent="0.2">
      <c r="A740" s="1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" customHeight="1" x14ac:dyDescent="0.2">
      <c r="A741" s="1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" customHeight="1" x14ac:dyDescent="0.2">
      <c r="A742" s="1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" customHeight="1" x14ac:dyDescent="0.2">
      <c r="A743" s="1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" customHeight="1" x14ac:dyDescent="0.2">
      <c r="A744" s="1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" customHeight="1" x14ac:dyDescent="0.2">
      <c r="A745" s="1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" customHeight="1" x14ac:dyDescent="0.2">
      <c r="A746" s="1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" customHeight="1" x14ac:dyDescent="0.2">
      <c r="A747" s="1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" customHeight="1" x14ac:dyDescent="0.2">
      <c r="A748" s="1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" customHeight="1" x14ac:dyDescent="0.2">
      <c r="A749" s="1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" customHeight="1" x14ac:dyDescent="0.2">
      <c r="A750" s="1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" customHeight="1" x14ac:dyDescent="0.2">
      <c r="A751" s="1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" customHeight="1" x14ac:dyDescent="0.2">
      <c r="A752" s="1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" customHeight="1" x14ac:dyDescent="0.2">
      <c r="A753" s="1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" customHeight="1" x14ac:dyDescent="0.2">
      <c r="A754" s="1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" customHeight="1" x14ac:dyDescent="0.2">
      <c r="A755" s="1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" customHeight="1" x14ac:dyDescent="0.2">
      <c r="A756" s="1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" customHeight="1" x14ac:dyDescent="0.2">
      <c r="A757" s="1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" customHeight="1" x14ac:dyDescent="0.2">
      <c r="A758" s="1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" customHeight="1" x14ac:dyDescent="0.2">
      <c r="A759" s="1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" customHeight="1" x14ac:dyDescent="0.2">
      <c r="A760" s="1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" customHeight="1" x14ac:dyDescent="0.2">
      <c r="A761" s="1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" customHeight="1" x14ac:dyDescent="0.2">
      <c r="A762" s="1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" customHeight="1" x14ac:dyDescent="0.2">
      <c r="A763" s="1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" customHeight="1" x14ac:dyDescent="0.2">
      <c r="A764" s="1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" customHeight="1" x14ac:dyDescent="0.2">
      <c r="A765" s="1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" customHeight="1" x14ac:dyDescent="0.2">
      <c r="A766" s="1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" customHeight="1" x14ac:dyDescent="0.2">
      <c r="A767" s="1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" customHeight="1" x14ac:dyDescent="0.2">
      <c r="A768" s="1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" customHeight="1" x14ac:dyDescent="0.2">
      <c r="A769" s="1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" customHeight="1" x14ac:dyDescent="0.2">
      <c r="A770" s="1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" customHeight="1" x14ac:dyDescent="0.2">
      <c r="A771" s="1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" customHeight="1" x14ac:dyDescent="0.2">
      <c r="A772" s="1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2"/>
    <row r="774" spans="1:29" ht="14.25" customHeight="1" x14ac:dyDescent="0.2"/>
    <row r="775" spans="1:29" ht="14.25" customHeight="1" x14ac:dyDescent="0.2"/>
    <row r="776" spans="1:29" ht="14.25" customHeight="1" x14ac:dyDescent="0.2"/>
    <row r="777" spans="1:29" ht="14.25" customHeight="1" x14ac:dyDescent="0.2"/>
    <row r="778" spans="1:29" ht="14.25" customHeight="1" x14ac:dyDescent="0.2"/>
    <row r="779" spans="1:29" ht="14.25" customHeight="1" x14ac:dyDescent="0.2"/>
    <row r="780" spans="1:29" ht="14.25" customHeight="1" x14ac:dyDescent="0.2"/>
    <row r="781" spans="1:29" ht="14.25" customHeight="1" x14ac:dyDescent="0.2"/>
    <row r="782" spans="1:29" ht="14.25" customHeight="1" x14ac:dyDescent="0.2"/>
    <row r="783" spans="1:29" ht="14.25" customHeight="1" x14ac:dyDescent="0.2"/>
    <row r="784" spans="1:29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</sheetData>
  <mergeCells count="221">
    <mergeCell ref="B152:G152"/>
    <mergeCell ref="B153:G153"/>
    <mergeCell ref="C160:I160"/>
    <mergeCell ref="C161:I161"/>
    <mergeCell ref="B169:H169"/>
    <mergeCell ref="B170:H170"/>
    <mergeCell ref="B171:H171"/>
    <mergeCell ref="B172:H172"/>
    <mergeCell ref="A173:H173"/>
    <mergeCell ref="A143:G143"/>
    <mergeCell ref="B144:G144"/>
    <mergeCell ref="A145:G145"/>
    <mergeCell ref="B146:G146"/>
    <mergeCell ref="A147:G147"/>
    <mergeCell ref="B148:G148"/>
    <mergeCell ref="B149:G149"/>
    <mergeCell ref="B150:G150"/>
    <mergeCell ref="B151:G151"/>
    <mergeCell ref="B133:H133"/>
    <mergeCell ref="B134:H134"/>
    <mergeCell ref="B135:H135"/>
    <mergeCell ref="B136:H136"/>
    <mergeCell ref="A137:H137"/>
    <mergeCell ref="A138:I138"/>
    <mergeCell ref="A139:I139"/>
    <mergeCell ref="A141:I141"/>
    <mergeCell ref="B142:G142"/>
    <mergeCell ref="A187:F187"/>
    <mergeCell ref="A188:F188"/>
    <mergeCell ref="A197:F197"/>
    <mergeCell ref="A198:F198"/>
    <mergeCell ref="A199:F199"/>
    <mergeCell ref="A200:F200"/>
    <mergeCell ref="A201:F201"/>
    <mergeCell ref="A202:F202"/>
    <mergeCell ref="A189:F189"/>
    <mergeCell ref="A190:F190"/>
    <mergeCell ref="A191:F191"/>
    <mergeCell ref="A192:F192"/>
    <mergeCell ref="A193:F193"/>
    <mergeCell ref="A194:F194"/>
    <mergeCell ref="A196:F196"/>
    <mergeCell ref="A179:F179"/>
    <mergeCell ref="G179:I179"/>
    <mergeCell ref="A180:F180"/>
    <mergeCell ref="A181:F181"/>
    <mergeCell ref="A182:F182"/>
    <mergeCell ref="A183:F183"/>
    <mergeCell ref="A184:F184"/>
    <mergeCell ref="A185:F185"/>
    <mergeCell ref="A186:F186"/>
    <mergeCell ref="A163:I163"/>
    <mergeCell ref="A164:I164"/>
    <mergeCell ref="A165:I165"/>
    <mergeCell ref="A166:I166"/>
    <mergeCell ref="A167:H167"/>
    <mergeCell ref="B168:H168"/>
    <mergeCell ref="A176:I176"/>
    <mergeCell ref="A177:I177"/>
    <mergeCell ref="A178:I178"/>
    <mergeCell ref="B174:H174"/>
    <mergeCell ref="A175:H175"/>
    <mergeCell ref="B117:H117"/>
    <mergeCell ref="B154:G154"/>
    <mergeCell ref="B155:G155"/>
    <mergeCell ref="B156:G156"/>
    <mergeCell ref="A157:H157"/>
    <mergeCell ref="A158:I158"/>
    <mergeCell ref="A159:G159"/>
    <mergeCell ref="A160:B162"/>
    <mergeCell ref="C162:I162"/>
    <mergeCell ref="A118:H118"/>
    <mergeCell ref="A119:I119"/>
    <mergeCell ref="A120:I120"/>
    <mergeCell ref="B121:H121"/>
    <mergeCell ref="B122:H122"/>
    <mergeCell ref="A123:H123"/>
    <mergeCell ref="A124:I124"/>
    <mergeCell ref="A125:I125"/>
    <mergeCell ref="B126:H126"/>
    <mergeCell ref="B127:H127"/>
    <mergeCell ref="B128:H128"/>
    <mergeCell ref="A129:H129"/>
    <mergeCell ref="A130:I130"/>
    <mergeCell ref="A131:I131"/>
    <mergeCell ref="B132:H132"/>
    <mergeCell ref="A65:I65"/>
    <mergeCell ref="A66:I66"/>
    <mergeCell ref="A67:I67"/>
    <mergeCell ref="B111:H111"/>
    <mergeCell ref="B112:F112"/>
    <mergeCell ref="B113:H113"/>
    <mergeCell ref="B114:H114"/>
    <mergeCell ref="B115:H115"/>
    <mergeCell ref="B116:H116"/>
    <mergeCell ref="A110:I110"/>
    <mergeCell ref="B28:G28"/>
    <mergeCell ref="H28:I28"/>
    <mergeCell ref="B29:G29"/>
    <mergeCell ref="H29:I29"/>
    <mergeCell ref="A30:I30"/>
    <mergeCell ref="A31:I31"/>
    <mergeCell ref="A32:I32"/>
    <mergeCell ref="A33:I33"/>
    <mergeCell ref="B34:G34"/>
    <mergeCell ref="B35:H35"/>
    <mergeCell ref="B36:G36"/>
    <mergeCell ref="B37:H37"/>
    <mergeCell ref="B38:H38"/>
    <mergeCell ref="B39:H39"/>
    <mergeCell ref="A40:H40"/>
    <mergeCell ref="A41:I41"/>
    <mergeCell ref="A42:I42"/>
    <mergeCell ref="A43:I43"/>
    <mergeCell ref="A44:I44"/>
    <mergeCell ref="A45:I45"/>
    <mergeCell ref="B46:H46"/>
    <mergeCell ref="B47:G47"/>
    <mergeCell ref="B48:G48"/>
    <mergeCell ref="A100:H100"/>
    <mergeCell ref="A101:I101"/>
    <mergeCell ref="A102:I102"/>
    <mergeCell ref="A103:I103"/>
    <mergeCell ref="A104:I104"/>
    <mergeCell ref="A105:I105"/>
    <mergeCell ref="A106:I106"/>
    <mergeCell ref="A107:I107"/>
    <mergeCell ref="A109:I109"/>
    <mergeCell ref="A91:H91"/>
    <mergeCell ref="A92:I92"/>
    <mergeCell ref="A93:I93"/>
    <mergeCell ref="B94:H94"/>
    <mergeCell ref="B95:H95"/>
    <mergeCell ref="B96:H96"/>
    <mergeCell ref="B97:H97"/>
    <mergeCell ref="B98:H98"/>
    <mergeCell ref="B99:G99"/>
    <mergeCell ref="B82:H82"/>
    <mergeCell ref="A83:I83"/>
    <mergeCell ref="A84:I84"/>
    <mergeCell ref="A85:I85"/>
    <mergeCell ref="A86:I86"/>
    <mergeCell ref="B87:H87"/>
    <mergeCell ref="B88:H88"/>
    <mergeCell ref="B89:H89"/>
    <mergeCell ref="B90:H90"/>
    <mergeCell ref="B73:G73"/>
    <mergeCell ref="B74:H74"/>
    <mergeCell ref="B75:G75"/>
    <mergeCell ref="B76:G76"/>
    <mergeCell ref="B77:G77"/>
    <mergeCell ref="B78:H78"/>
    <mergeCell ref="B79:H79"/>
    <mergeCell ref="B80:H80"/>
    <mergeCell ref="B81:H81"/>
    <mergeCell ref="B26:G26"/>
    <mergeCell ref="H26:I26"/>
    <mergeCell ref="B27:G27"/>
    <mergeCell ref="H27:I27"/>
    <mergeCell ref="B68:H68"/>
    <mergeCell ref="B69:H69"/>
    <mergeCell ref="B70:G70"/>
    <mergeCell ref="B71:G71"/>
    <mergeCell ref="B72:G72"/>
    <mergeCell ref="A49:H49"/>
    <mergeCell ref="A50:I50"/>
    <mergeCell ref="A51:I51"/>
    <mergeCell ref="A52:I52"/>
    <mergeCell ref="A53:I53"/>
    <mergeCell ref="B54:G54"/>
    <mergeCell ref="B55:G55"/>
    <mergeCell ref="B56:G56"/>
    <mergeCell ref="B57:C57"/>
    <mergeCell ref="B58:G58"/>
    <mergeCell ref="B59:G59"/>
    <mergeCell ref="B60:G60"/>
    <mergeCell ref="B61:G61"/>
    <mergeCell ref="B62:G62"/>
    <mergeCell ref="A63:G63"/>
    <mergeCell ref="B21:G21"/>
    <mergeCell ref="H21:I21"/>
    <mergeCell ref="B22:G22"/>
    <mergeCell ref="H22:I22"/>
    <mergeCell ref="B23:G23"/>
    <mergeCell ref="H23:I23"/>
    <mergeCell ref="H24:I24"/>
    <mergeCell ref="B24:G24"/>
    <mergeCell ref="B25:G25"/>
    <mergeCell ref="H25:I25"/>
    <mergeCell ref="A14:E14"/>
    <mergeCell ref="F14:G14"/>
    <mergeCell ref="H14:I14"/>
    <mergeCell ref="A20:I20"/>
    <mergeCell ref="J20:P20"/>
    <mergeCell ref="Q20:X20"/>
    <mergeCell ref="Y20:AC20"/>
    <mergeCell ref="A15:E15"/>
    <mergeCell ref="F15:G15"/>
    <mergeCell ref="H15:I15"/>
    <mergeCell ref="A16:I16"/>
    <mergeCell ref="A17:I17"/>
    <mergeCell ref="A18:I18"/>
    <mergeCell ref="A19:I19"/>
    <mergeCell ref="B9:G9"/>
    <mergeCell ref="H9:I9"/>
    <mergeCell ref="B10:G10"/>
    <mergeCell ref="H10:I10"/>
    <mergeCell ref="H11:I11"/>
    <mergeCell ref="B11:G11"/>
    <mergeCell ref="B12:G12"/>
    <mergeCell ref="H12:I12"/>
    <mergeCell ref="A13:I13"/>
    <mergeCell ref="A2:I2"/>
    <mergeCell ref="A3:I3"/>
    <mergeCell ref="A4:E4"/>
    <mergeCell ref="F4:I4"/>
    <mergeCell ref="A5:E5"/>
    <mergeCell ref="F5:I5"/>
    <mergeCell ref="A6:I6"/>
    <mergeCell ref="A7:I7"/>
    <mergeCell ref="A8:I8"/>
  </mergeCells>
  <pageMargins left="0.25" right="0.25" top="0.75" bottom="0.75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4"/>
  <sheetViews>
    <sheetView tabSelected="1" workbookViewId="0">
      <selection activeCell="I16" sqref="I16"/>
    </sheetView>
  </sheetViews>
  <sheetFormatPr defaultColWidth="12.5703125" defaultRowHeight="15" customHeight="1" x14ac:dyDescent="0.2"/>
  <cols>
    <col min="9" max="9" width="16.5703125" customWidth="1"/>
    <col min="10" max="10" width="17.42578125" customWidth="1"/>
  </cols>
  <sheetData>
    <row r="1" spans="1:26" ht="15" customHeight="1" x14ac:dyDescent="0.25">
      <c r="A1" s="199" t="s">
        <v>102</v>
      </c>
      <c r="B1" s="122"/>
      <c r="C1" s="122"/>
      <c r="D1" s="122"/>
      <c r="E1" s="122"/>
      <c r="F1" s="122"/>
      <c r="G1" s="122"/>
      <c r="H1" s="122"/>
      <c r="I1" s="123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5" customHeight="1" x14ac:dyDescent="0.25">
      <c r="A2" s="221" t="s">
        <v>103</v>
      </c>
      <c r="B2" s="122"/>
      <c r="C2" s="122"/>
      <c r="D2" s="122"/>
      <c r="E2" s="122"/>
      <c r="F2" s="122"/>
      <c r="G2" s="122"/>
      <c r="H2" s="122"/>
      <c r="I2" s="123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x14ac:dyDescent="0.2">
      <c r="A3" s="205" t="s">
        <v>104</v>
      </c>
      <c r="B3" s="122"/>
      <c r="C3" s="122"/>
      <c r="D3" s="122"/>
      <c r="E3" s="122"/>
      <c r="F3" s="122"/>
      <c r="G3" s="122"/>
      <c r="H3" s="123"/>
      <c r="I3" s="87" t="s">
        <v>105</v>
      </c>
      <c r="J3" s="81" t="s">
        <v>304</v>
      </c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x14ac:dyDescent="0.2">
      <c r="A4" s="222" t="s">
        <v>305</v>
      </c>
      <c r="B4" s="122"/>
      <c r="C4" s="122"/>
      <c r="D4" s="122"/>
      <c r="E4" s="122"/>
      <c r="F4" s="122"/>
      <c r="G4" s="122"/>
      <c r="H4" s="123"/>
      <c r="I4" s="112">
        <v>12</v>
      </c>
      <c r="J4" s="89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x14ac:dyDescent="0.2">
      <c r="A5" s="222" t="s">
        <v>306</v>
      </c>
      <c r="B5" s="122"/>
      <c r="C5" s="122"/>
      <c r="D5" s="122"/>
      <c r="E5" s="122"/>
      <c r="F5" s="122"/>
      <c r="G5" s="122"/>
      <c r="H5" s="122"/>
      <c r="I5" s="113">
        <v>10454.48</v>
      </c>
      <c r="J5" s="114">
        <f t="shared" ref="J5:J8" si="0">I5*12</f>
        <v>125453.75999999999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x14ac:dyDescent="0.2">
      <c r="A6" s="222" t="s">
        <v>307</v>
      </c>
      <c r="B6" s="122"/>
      <c r="C6" s="122"/>
      <c r="D6" s="122"/>
      <c r="E6" s="122"/>
      <c r="F6" s="122"/>
      <c r="G6" s="122"/>
      <c r="H6" s="122"/>
      <c r="I6" s="113">
        <v>12063.29</v>
      </c>
      <c r="J6" s="114">
        <f t="shared" si="0"/>
        <v>144759.48000000001</v>
      </c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x14ac:dyDescent="0.2">
      <c r="A7" s="222" t="s">
        <v>308</v>
      </c>
      <c r="B7" s="122"/>
      <c r="C7" s="122"/>
      <c r="D7" s="122"/>
      <c r="E7" s="122"/>
      <c r="F7" s="122"/>
      <c r="G7" s="122"/>
      <c r="H7" s="123"/>
      <c r="I7" s="115">
        <v>3074.35</v>
      </c>
      <c r="J7" s="114">
        <f t="shared" si="0"/>
        <v>36892.199999999997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x14ac:dyDescent="0.2">
      <c r="A8" s="219" t="s">
        <v>309</v>
      </c>
      <c r="B8" s="122"/>
      <c r="C8" s="122"/>
      <c r="D8" s="122"/>
      <c r="E8" s="122"/>
      <c r="F8" s="122"/>
      <c r="G8" s="122"/>
      <c r="H8" s="123"/>
      <c r="I8" s="116">
        <f>SUM(I5:I7)</f>
        <v>25592.12</v>
      </c>
      <c r="J8" s="117">
        <f t="shared" si="0"/>
        <v>307105.44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" customHeight="1" x14ac:dyDescent="0.25">
      <c r="A9" s="220" t="s">
        <v>310</v>
      </c>
      <c r="B9" s="122"/>
      <c r="C9" s="122"/>
      <c r="D9" s="122"/>
      <c r="E9" s="122"/>
      <c r="F9" s="122"/>
      <c r="G9" s="122"/>
      <c r="H9" s="123"/>
      <c r="I9" s="118">
        <f>SUM(I8*12)</f>
        <v>307105.44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4" spans="1:26" x14ac:dyDescent="0.2">
      <c r="J14" s="119"/>
    </row>
  </sheetData>
  <mergeCells count="9">
    <mergeCell ref="A1:I1"/>
    <mergeCell ref="A8:H8"/>
    <mergeCell ref="A9:H9"/>
    <mergeCell ref="A2:I2"/>
    <mergeCell ref="A3:H3"/>
    <mergeCell ref="A4:H4"/>
    <mergeCell ref="A5:H5"/>
    <mergeCell ref="A6:H6"/>
    <mergeCell ref="A7:H7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12x36 diurno</vt:lpstr>
      <vt:lpstr>12x36 noturno</vt:lpstr>
      <vt:lpstr>22 horas</vt:lpstr>
      <vt:lpstr>Quadro Valor 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Werle de Camargo</dc:creator>
  <cp:lastModifiedBy>Pessoal</cp:lastModifiedBy>
  <dcterms:created xsi:type="dcterms:W3CDTF">2022-09-29T20:32:04Z</dcterms:created>
  <dcterms:modified xsi:type="dcterms:W3CDTF">2025-06-11T17:18:45Z</dcterms:modified>
</cp:coreProperties>
</file>