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41" activeTab="9"/>
  </bookViews>
  <sheets>
    <sheet name="Preenchimento" sheetId="1" r:id="rId1"/>
    <sheet name="Insumos" sheetId="2" r:id="rId2"/>
    <sheet name="Áreas Totais" sheetId="3" r:id="rId3"/>
    <sheet name="Áreas Ajustadas" sheetId="4" r:id="rId4"/>
    <sheet name="Cálculo Quantidade" sheetId="5" r:id="rId5"/>
    <sheet name="Qtd Serventes 20%" sheetId="6" r:id="rId6"/>
    <sheet name="Qtd Serventes 40%" sheetId="7" r:id="rId7"/>
    <sheet name="Planilha 20%" sheetId="8" r:id="rId8"/>
    <sheet name="Planilha 40%" sheetId="9" r:id="rId9"/>
    <sheet name="Resumo" sheetId="10" r:id="rId10"/>
  </sheets>
  <definedNames/>
  <calcPr fullCalcOnLoad="1"/>
</workbook>
</file>

<file path=xl/sharedStrings.xml><?xml version="1.0" encoding="utf-8"?>
<sst xmlns="http://schemas.openxmlformats.org/spreadsheetml/2006/main" count="1846" uniqueCount="699">
  <si>
    <t>-</t>
  </si>
  <si>
    <t>Sala</t>
  </si>
  <si>
    <t>Descrição – Tipo de Área: Interna, Piso Frio</t>
  </si>
  <si>
    <t>m2</t>
  </si>
  <si>
    <t>Frequência Semanal</t>
  </si>
  <si>
    <t>Área Ajustada a Frequência Semanal</t>
  </si>
  <si>
    <t>Auditório</t>
  </si>
  <si>
    <t>Cozinha</t>
  </si>
  <si>
    <t>Convivência</t>
  </si>
  <si>
    <t>Biblioteca</t>
  </si>
  <si>
    <t>SN</t>
  </si>
  <si>
    <t>TOTAL</t>
  </si>
  <si>
    <t>Descrição – Tipo de Área: Interna, Almoxarifados/Galpões</t>
  </si>
  <si>
    <t>Almoxarifado</t>
  </si>
  <si>
    <t>Descrição – Tipo de Área: Interna, Laboratórios</t>
  </si>
  <si>
    <t>Descrição – Tipo de Área: Interna, Banheiros</t>
  </si>
  <si>
    <t>Descrição – Tipo de Área: Interna, Áreas com  Espaços Livres</t>
  </si>
  <si>
    <t>Descrição – Tipo de Área: Externa, Pisos Pavimentados Adjacentes</t>
  </si>
  <si>
    <t>Descrição – Tipo de Área: Externa, Coleta de Detritos em Pátios e Áreas Verdes com Frequência diária</t>
  </si>
  <si>
    <t>Frequência Diária</t>
  </si>
  <si>
    <t>Área Ajustada a Frequência Diária</t>
  </si>
  <si>
    <t>Quadra</t>
  </si>
  <si>
    <t>Descrição – Tipo de Área: Externa, Pátios e Áreas Verdes Média Frequência</t>
  </si>
  <si>
    <t>Descrição – Tipo de Área: Esquadrias Externas – Face Externa</t>
  </si>
  <si>
    <t>Frequência Quinzenal</t>
  </si>
  <si>
    <t>Área Ajustada a Frequência Quinzenal</t>
  </si>
  <si>
    <t>Descrição – Tipo de Área: Esquadrias Externas – Face Interna</t>
  </si>
  <si>
    <t xml:space="preserve">Descrição </t>
  </si>
  <si>
    <t>Total</t>
  </si>
  <si>
    <t>TIPO DE ÁREA</t>
  </si>
  <si>
    <t>tipo de piso</t>
  </si>
  <si>
    <t>Produtividade   (m² /serv x mês) de 44h semanais (8h diárias)</t>
  </si>
  <si>
    <t>(1) número de empregados necessários para a execução da tarefa</t>
  </si>
  <si>
    <t xml:space="preserve">(2) exclusão dos empregados que cumprem integralmente a jornada diária  </t>
  </si>
  <si>
    <t>(3) empregado que cumprirá jornada diária menor</t>
  </si>
  <si>
    <t>(4) jornada diária em minutos do empregado que completará a execução da tarefa</t>
  </si>
  <si>
    <t>Número de empregados que a contratada deverá alocar para a prestacão dos serviços</t>
  </si>
  <si>
    <t>ÁREAS INTERNAS</t>
  </si>
  <si>
    <t>pisos acarpetados</t>
  </si>
  <si>
    <t>empregados com jornada diária de</t>
  </si>
  <si>
    <t xml:space="preserve">horas e mais </t>
  </si>
  <si>
    <t>empregado com jornada diária de</t>
  </si>
  <si>
    <t>minutos.</t>
  </si>
  <si>
    <t>pisos frios</t>
  </si>
  <si>
    <t>laboratórios</t>
  </si>
  <si>
    <t>almoxarifados/galpões</t>
  </si>
  <si>
    <t>oficinas</t>
  </si>
  <si>
    <t>áreas com espaços livres - saguão, hall e salão</t>
  </si>
  <si>
    <t>banheiros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</si>
  <si>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</si>
  <si>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</si>
  <si>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</si>
  <si>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</si>
  <si>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</si>
  <si>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</si>
  <si>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</si>
  <si>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ESQUADRIAS EXTERNAS</t>
  </si>
  <si>
    <r>
      <rPr>
        <sz val="10"/>
        <rFont val="Arial"/>
        <family val="2"/>
      </rPr>
      <t xml:space="preserve">face externa </t>
    </r>
    <r>
      <rPr>
        <b/>
        <sz val="10"/>
        <rFont val="Arial"/>
        <family val="2"/>
      </rPr>
      <t>com</t>
    </r>
    <r>
      <rPr>
        <sz val="10"/>
        <rFont val="Arial"/>
        <family val="2"/>
      </rPr>
      <t xml:space="preserve"> exposição a situação de risco</t>
    </r>
  </si>
  <si>
    <r>
      <rPr>
        <sz val="10"/>
        <rFont val="Arial"/>
        <family val="2"/>
      </rPr>
      <t xml:space="preserve">face externa </t>
    </r>
    <r>
      <rPr>
        <b/>
        <sz val="10"/>
        <rFont val="Arial"/>
        <family val="2"/>
      </rPr>
      <t xml:space="preserve">sem </t>
    </r>
    <r>
      <rPr>
        <sz val="10"/>
        <rFont val="Arial"/>
        <family val="2"/>
      </rPr>
      <t>exposição a situação de risco</t>
    </r>
  </si>
  <si>
    <t>face interna</t>
  </si>
  <si>
    <t>FACHADAS ENVIDRAÇADAS</t>
  </si>
  <si>
    <t>fachadas envidraçadas</t>
  </si>
  <si>
    <t>ÁREAS HOSPITALARES E ASSEMELHADAS</t>
  </si>
  <si>
    <t>áreas hospitalares e assemelhadas</t>
  </si>
  <si>
    <t>TOTAL (TODAS AS ÁREAS NO MESMO PRÉDIO)</t>
  </si>
  <si>
    <t>JORNADA DIÁRIA (HORAS)</t>
  </si>
  <si>
    <t>horas</t>
  </si>
  <si>
    <t>44 h/sem</t>
  </si>
  <si>
    <t>Cálculo total do nº de serventes = (preço mensal dos serviços / valor do homem-mês) = R$ ----------- / ---------- = ----- = -------</t>
  </si>
  <si>
    <t>Notas Explicativas:</t>
  </si>
  <si>
    <t>1) coluna (5) - número de empregados necessários para a execução da tarefa: cada número inteiro significa um empregado. Quando há fração significa que além dos empregados que cumprem integralmente a jornada diária contratada, é necessário empregado com jornada diária menor.</t>
  </si>
  <si>
    <r>
      <rPr>
        <sz val="14"/>
        <rFont val="Arial"/>
        <family val="2"/>
      </rPr>
      <t xml:space="preserve">3) A produtividade da </t>
    </r>
    <r>
      <rPr>
        <b/>
        <sz val="14"/>
        <rFont val="Arial"/>
        <family val="2"/>
      </rPr>
      <t>esquadria externa</t>
    </r>
    <r>
      <rPr>
        <sz val="14"/>
        <rFont val="Arial"/>
        <family val="2"/>
      </rPr>
      <t xml:space="preserve"> deve ser calculada considerando a metodologia de trabalho que, no Anexo VII-D da IN 5/17 que prevê incidência </t>
    </r>
    <r>
      <rPr>
        <b/>
        <sz val="14"/>
        <rFont val="Arial"/>
        <family val="2"/>
      </rPr>
      <t>quinzenal</t>
    </r>
    <r>
      <rPr>
        <sz val="14"/>
        <rFont val="Arial"/>
        <family val="2"/>
      </rPr>
      <t xml:space="preserve"> para a limpeza desse tipo de área. </t>
    </r>
  </si>
  <si>
    <r>
      <rPr>
        <sz val="14"/>
        <rFont val="Arial"/>
        <family val="2"/>
      </rPr>
      <t xml:space="preserve">4) A produtividade da </t>
    </r>
    <r>
      <rPr>
        <b/>
        <sz val="14"/>
        <rFont val="Arial"/>
        <family val="2"/>
      </rPr>
      <t>fachada envidraçada</t>
    </r>
    <r>
      <rPr>
        <sz val="14"/>
        <rFont val="Arial"/>
        <family val="2"/>
      </rPr>
      <t xml:space="preserve"> deve ser calculada considerando a metodologia de trabalho que, no Anexo VII-D da IN 5/17 que prevê incidência </t>
    </r>
    <r>
      <rPr>
        <b/>
        <sz val="14"/>
        <rFont val="Arial"/>
        <family val="2"/>
      </rPr>
      <t>semestral</t>
    </r>
    <r>
      <rPr>
        <sz val="14"/>
        <rFont val="Arial"/>
        <family val="2"/>
      </rPr>
      <t xml:space="preserve"> para a limpeza desse tipo de área. </t>
    </r>
  </si>
  <si>
    <t>Observações:</t>
  </si>
  <si>
    <t>Deve ser preenchida uma planilha para cada local de prestação de serviços (ISSQN, VT, VA, Insalubridade/periculosidade e horários poderão ser diferenciados, além da quantidade de serventes)</t>
  </si>
  <si>
    <t xml:space="preserve">Se as áreas se localizarem em prédios/locais diferentes, cada linha trará o seu próprio totalizador. </t>
  </si>
  <si>
    <t xml:space="preserve"> Em destaque  o número de empregados que a contratada deve disponibilizar para a prestação dos serviços tarefa a tarefa, em cada tipo de área, com suas respectivas jornadas diárias.</t>
  </si>
  <si>
    <t xml:space="preserve">Área Interna 1ª linha - Metodologia - Coluna 5 = (2.000 / 800) = 2,5 empregados                                               Coluna 8 = 0,5 x 8 horas x 60 minutos = 240 minutos </t>
  </si>
  <si>
    <t>Esquadrias Externas 1ª linha - Metodologia - Coluna 5 = (100/130)*(16/188,76) = 0,06520286 empregados             Coluna 8 = 0,06520286 x 8 horas x 60 minutos = 31,2973739547 minutos (deveria ser semestral e não quinzenal)</t>
  </si>
  <si>
    <t xml:space="preserve">Fachadas Envidraçadas - Metodologia - Coluna 5 = (70/130)*(8/1132,6) =  0,003803366      Coluna 8 = 0,003803366  x 8 horas x 60 minutos = 1,8256156699 minutos </t>
  </si>
  <si>
    <t>Cálculo total do nº de serventes = (preço mensal dos serviços / valor do homem-mês)</t>
  </si>
  <si>
    <t xml:space="preserve">Planilha desenvolvida por Diógenes Felipe Fuques Carvalho (DRF-Santa Maria/RS) e José Hélio Justo (Superintendência da RFB da 10ª RF / Porto Alegre) </t>
  </si>
  <si>
    <r>
      <rPr>
        <b/>
        <sz val="18"/>
        <color indexed="20"/>
        <rFont val="Arial"/>
        <family val="2"/>
      </rPr>
      <t xml:space="preserve">LIMPEZA - Regime de Tributação: </t>
    </r>
    <r>
      <rPr>
        <b/>
        <sz val="18"/>
        <color indexed="12"/>
        <rFont val="Arial"/>
        <family val="2"/>
      </rPr>
      <t xml:space="preserve">Lucro Real </t>
    </r>
  </si>
  <si>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</si>
  <si>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</si>
  <si>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</si>
  <si>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</si>
  <si>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</si>
  <si>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</si>
  <si>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</si>
  <si>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</si>
  <si>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</si>
  <si>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</si>
  <si>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</si>
  <si>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</si>
  <si>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</si>
  <si>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</si>
  <si>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>a) Áreas internas - Pisos acarpetados</t>
  </si>
  <si>
    <t>b) Áreas internas - Pisos frios</t>
  </si>
  <si>
    <t>c) Áreas internas - Laboratórios</t>
  </si>
  <si>
    <t>d) Áreas internas - Almoxarifados/galpões</t>
  </si>
  <si>
    <t>e) Áreas internas - Oficinas</t>
  </si>
  <si>
    <t>f) Áreas internas - Áreas com espaços livres - saguão, hall e salão</t>
  </si>
  <si>
    <t>m-2</t>
  </si>
  <si>
    <t>m-1</t>
  </si>
  <si>
    <t>m0</t>
  </si>
  <si>
    <t>m1</t>
  </si>
  <si>
    <r>
      <rPr>
        <b/>
        <sz val="10"/>
        <color indexed="12"/>
        <rFont val="Arial"/>
        <family val="2"/>
      </rPr>
      <t>g) Banheiros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0"/>
        <rFont val="Arial"/>
        <family val="2"/>
      </rPr>
      <t>(de 20% só para fixação – se for banheiro de 40% exige planilha separada)</t>
    </r>
  </si>
  <si>
    <t>TOTAL DA ÁREA INTERNA</t>
  </si>
  <si>
    <t>a) Áreas externas - Pisos pavimentados adjacentes/contíguos às edificações</t>
  </si>
  <si>
    <t>b) Áreas externas -  Varrição de passeios e arruamentos</t>
  </si>
  <si>
    <t>c) Áreas externas -  Pátios com áreas verdes com alta frequência</t>
  </si>
  <si>
    <t>d) Áreas externas -  Pátios com áreas verdes com média frequência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</si>
  <si>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</si>
  <si>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</si>
  <si>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</si>
  <si>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</si>
  <si>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</si>
  <si>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</si>
  <si>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TOTAL DA ÁREA DA ESQUADRIA EXTERNA - FACE INTERNA/EXTERNA</t>
  </si>
  <si>
    <t>a) Fachada envidraçada</t>
  </si>
  <si>
    <t>TOTAL DA ÁREA DA FACHADA ENVIDRAÇADA</t>
  </si>
  <si>
    <t>a) Áreas hospitalares e assemelhadas</t>
  </si>
  <si>
    <r>
      <rPr>
        <b/>
        <sz val="10"/>
        <rFont val="Arial"/>
        <family val="2"/>
      </rPr>
      <t xml:space="preserve">                                                                                                     </t>
    </r>
    <r>
      <rPr>
        <b/>
        <sz val="10"/>
        <color indexed="10"/>
        <rFont val="Arial"/>
        <family val="2"/>
      </rPr>
      <t>TOTAL DAS ÁREAS HOSPITALARES</t>
    </r>
  </si>
  <si>
    <t>a) Outras áreas (especificar)</t>
  </si>
  <si>
    <t>TOTAL DAS OUTRAS ÁREAS (ESPECIFICAR)</t>
  </si>
  <si>
    <t xml:space="preserve">TOTAL GERAL 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</si>
  <si>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</si>
  <si>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t>Dados para composição dos custos referente à mão de obra</t>
  </si>
  <si>
    <t>Tipo de Serviço (mesmo serviço com características distintas)</t>
  </si>
  <si>
    <t xml:space="preserve"> limpeza e conservação</t>
  </si>
  <si>
    <t>Classificação Brasileira de Ocupações (CBO)</t>
  </si>
  <si>
    <r>
      <rPr>
        <b/>
        <sz val="10"/>
        <rFont val="Arial"/>
        <family val="2"/>
      </rP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h/sem</t>
    </r>
  </si>
  <si>
    <t>Categoria Profissional (vinculada à execução contratual)</t>
  </si>
  <si>
    <t xml:space="preserve">      servente de limpeza</t>
  </si>
  <si>
    <t>Data-Base da Categoria (dia/mês/ano)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</si>
  <si>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</si>
  <si>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</si>
  <si>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</si>
  <si>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</si>
  <si>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</si>
  <si>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b/>
        <sz val="10"/>
        <rFont val="Arial"/>
        <family val="2"/>
      </rPr>
      <t xml:space="preserve">Salário-Base    </t>
    </r>
    <r>
      <rPr>
        <b/>
        <sz val="10"/>
        <color indexed="10"/>
        <rFont val="Arial"/>
        <family val="2"/>
      </rPr>
      <t xml:space="preserve">(valor para somente 1 servente de limpeza) 
            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horas semanais </t>
    </r>
    <r>
      <rPr>
        <b/>
        <sz val="10"/>
        <color indexed="10"/>
        <rFont val="Arial"/>
        <family val="2"/>
      </rPr>
      <t>Cálculo do valor: (44/6)x30xR$(SB/220)</t>
    </r>
  </si>
  <si>
    <r>
      <rPr>
        <b/>
        <sz val="10"/>
        <rFont val="Arial"/>
        <family val="2"/>
      </rPr>
      <t xml:space="preserve">Adicional de Periculosidade </t>
    </r>
    <r>
      <rPr>
        <b/>
        <sz val="10"/>
        <color indexed="12"/>
        <rFont val="Arial"/>
        <family val="2"/>
      </rPr>
      <t>(excluir esta linha, como regra)</t>
    </r>
  </si>
  <si>
    <r>
      <rPr>
        <b/>
        <sz val="10"/>
        <rFont val="Arial"/>
        <family val="2"/>
      </rPr>
      <t xml:space="preserve">Adicional Noturno  </t>
    </r>
    <r>
      <rPr>
        <b/>
        <sz val="10"/>
        <color indexed="12"/>
        <rFont val="Arial"/>
        <family val="2"/>
      </rPr>
      <t xml:space="preserve"> (excluir esta linha, se for limpeza diurna)</t>
    </r>
  </si>
  <si>
    <t>E</t>
  </si>
  <si>
    <r>
      <rPr>
        <b/>
        <sz val="10"/>
        <rFont val="Arial"/>
        <family val="2"/>
      </rPr>
      <t xml:space="preserve">Adicional de Hora Noturna Reduzida </t>
    </r>
    <r>
      <rPr>
        <b/>
        <sz val="10"/>
        <color indexed="62"/>
        <rFont val="Arial"/>
        <family val="2"/>
      </rPr>
      <t xml:space="preserve"> (excluir esta linha, se for limpeza diurna)</t>
    </r>
  </si>
  <si>
    <t>F</t>
  </si>
  <si>
    <t xml:space="preserve">Outros (especificar)                                          </t>
  </si>
  <si>
    <r>
      <rPr>
        <b/>
        <sz val="10"/>
        <color indexed="10"/>
        <rFont val="Arial"/>
        <family val="2"/>
      </rPr>
      <t>OBSERVAÇÃO: DEVERÁ SER ZERADA NO MÊS EM QUE O TITULAR GOZAR FÉRIAS</t>
    </r>
    <r>
      <rPr>
        <b/>
        <sz val="10"/>
        <rFont val="Arial"/>
        <family val="2"/>
      </rPr>
      <t xml:space="preserve">                              Total </t>
    </r>
  </si>
  <si>
    <t>Nota1:  O Módulo 1 refere-se ao valor mensal devido ao empregado pela prestação do serviço no período de 12 meses.</t>
  </si>
  <si>
    <t>Módulo 2 – Encargos e Benefícios Anuais, Mensais e Diários</t>
  </si>
  <si>
    <t>2.1</t>
  </si>
  <si>
    <t>Valor (R$)</t>
  </si>
  <si>
    <r>
      <rPr>
        <b/>
        <sz val="10"/>
        <rFont val="Arial"/>
        <family val="2"/>
      </rPr>
      <t xml:space="preserve">13º (décimo terceiro) Salário                 </t>
    </r>
    <r>
      <rPr>
        <b/>
        <sz val="10"/>
        <color indexed="10"/>
        <rFont val="Arial"/>
        <family val="2"/>
      </rPr>
      <t>Cálculo do valor = Rem/12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</si>
  <si>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r>
      <rPr>
        <b/>
        <sz val="11"/>
        <rFont val="Arial"/>
        <family val="2"/>
      </rPr>
      <t>Submódulo 2.2 - Encargos Previdenciários (GPS), Fundo de Garantia por Tempo de Serviço (FGTS) e outras contribuições</t>
    </r>
    <r>
      <rPr>
        <b/>
        <sz val="11"/>
        <color indexed="12"/>
        <rFont val="Arial"/>
        <family val="2"/>
      </rPr>
      <t xml:space="preserve"> 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</si>
  <si>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</si>
  <si>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</si>
  <si>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</si>
  <si>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</si>
  <si>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</si>
  <si>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</si>
  <si>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b/>
        <sz val="10"/>
        <rFont val="Arial"/>
        <family val="2"/>
      </rPr>
      <t xml:space="preserve">RAT x FAP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</si>
  <si>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</si>
  <si>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</si>
  <si>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</si>
  <si>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</si>
  <si>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</si>
  <si>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G</t>
  </si>
  <si>
    <t>INCRA</t>
  </si>
  <si>
    <t>H</t>
  </si>
  <si>
    <t>FGTS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</si>
  <si>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</si>
  <si>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</si>
  <si>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</si>
  <si>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</si>
  <si>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r>
      <rPr>
        <b/>
        <sz val="10"/>
        <rFont val="Arial"/>
        <family val="2"/>
      </rPr>
      <t xml:space="preserve">Transporte                                               </t>
    </r>
    <r>
      <rPr>
        <b/>
        <sz val="10"/>
        <color indexed="10"/>
        <rFont val="Arial"/>
        <family val="2"/>
      </rPr>
      <t>Cálculo do valor: [(2xVTx22) – (6%xSB)]</t>
    </r>
  </si>
  <si>
    <r>
      <rPr>
        <b/>
        <sz val="9"/>
        <rFont val="Arial"/>
        <family val="2"/>
      </rPr>
      <t xml:space="preserve">      </t>
    </r>
    <r>
      <rPr>
        <b/>
        <sz val="9"/>
        <color indexed="10"/>
        <rFont val="Arial"/>
        <family val="2"/>
      </rPr>
      <t xml:space="preserve">A.1) Valor da passagem do transporte coletivo no município de prestação dos serviços: </t>
    </r>
  </si>
  <si>
    <r>
      <rPr>
        <b/>
        <sz val="9"/>
        <rFont val="Arial"/>
        <family val="2"/>
      </rPr>
      <t xml:space="preserve">     </t>
    </r>
    <r>
      <rPr>
        <b/>
        <sz val="9"/>
        <color indexed="10"/>
        <rFont val="Arial"/>
        <family val="2"/>
      </rPr>
      <t xml:space="preserve"> A.2) Quantidade de passagens por dia por empregado:</t>
    </r>
  </si>
  <si>
    <r>
      <rPr>
        <b/>
        <sz val="9"/>
        <rFont val="Arial"/>
        <family val="2"/>
      </rPr>
      <t xml:space="preserve">      </t>
    </r>
    <r>
      <rPr>
        <b/>
        <sz val="9"/>
        <color indexed="10"/>
        <rFont val="Arial"/>
        <family val="2"/>
      </rPr>
      <t>A.3) Quantidade de dias do mês de recebimento de passagens</t>
    </r>
  </si>
  <si>
    <r>
      <rPr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A.4) Participação do empregado em percentual do salário-base (cláus. 21)</t>
    </r>
  </si>
  <si>
    <r>
      <rPr>
        <b/>
        <sz val="10"/>
        <rFont val="Arial"/>
        <family val="2"/>
      </rPr>
      <t xml:space="preserve">Auxílio-Refeição/Alimentação </t>
    </r>
    <r>
      <rPr>
        <b/>
        <sz val="8"/>
        <color indexed="10"/>
        <rFont val="Arial"/>
        <family val="2"/>
      </rPr>
      <t>Cálculo do valor = [(22xVA)x(1-</t>
    </r>
    <r>
      <rPr>
        <b/>
        <sz val="10"/>
        <color indexed="12"/>
        <rFont val="Arial"/>
        <family val="2"/>
      </rPr>
      <t>0,19%</t>
    </r>
    <r>
      <rPr>
        <b/>
        <sz val="8"/>
        <color indexed="10"/>
        <rFont val="Arial"/>
        <family val="2"/>
      </rPr>
      <t>)]</t>
    </r>
  </si>
  <si>
    <r>
      <rPr>
        <b/>
        <sz val="9"/>
        <rFont val="Arial"/>
        <family val="2"/>
      </rPr>
      <t xml:space="preserve">    </t>
    </r>
    <r>
      <rPr>
        <b/>
        <sz val="9"/>
        <color indexed="10"/>
        <rFont val="Arial"/>
        <family val="2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</si>
  <si>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</si>
  <si>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</si>
  <si>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t>Auxílio-creche</t>
  </si>
  <si>
    <t>sumiu</t>
  </si>
  <si>
    <t xml:space="preserve">Outros (especificar)                                            </t>
  </si>
  <si>
    <t xml:space="preserve">Total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</si>
  <si>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</si>
  <si>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</si>
  <si>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</si>
  <si>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b/>
        <sz val="10"/>
        <rFont val="Arial"/>
        <family val="2"/>
      </rPr>
      <t xml:space="preserve">13º (décimo terceiro) Salário, </t>
    </r>
    <r>
      <rPr>
        <b/>
        <sz val="10"/>
        <rFont val="Arial"/>
        <family val="2"/>
      </rPr>
      <t>Férias e Adicional de Férias</t>
    </r>
  </si>
  <si>
    <t>Módulo 3 - Provisão para Rescisão</t>
  </si>
  <si>
    <t>Provisão para Rescisão (do titular)</t>
  </si>
  <si>
    <t>Valor  (R$)</t>
  </si>
  <si>
    <r>
      <rPr>
        <b/>
        <sz val="10"/>
        <rFont val="Arial"/>
        <family val="2"/>
      </rPr>
      <t xml:space="preserve">Aviso Prévio Indenizado     </t>
    </r>
    <r>
      <rPr>
        <b/>
        <sz val="8"/>
        <color indexed="10"/>
        <rFont val="Arial"/>
        <family val="2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</si>
  <si>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</si>
  <si>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t xml:space="preserve">Incidência de GPS, FGTS e outras contribuições sobre o Aviso Prévio Trabalhado         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</si>
  <si>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</si>
  <si>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</si>
  <si>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/>
        <sz val="11"/>
        <rFont val="Arial"/>
        <family val="2"/>
      </rPr>
      <t>Base de cálculo para o Custo de Reposição do Profissional Ausente (substituto):</t>
    </r>
    <r>
      <rPr>
        <b/>
        <sz val="11"/>
        <color indexed="12"/>
        <rFont val="Arial"/>
        <family val="2"/>
      </rPr>
      <t xml:space="preserve"> BCCPA = MÓDULO 1 + MÓDULO 2 + MÓDULO 3 </t>
    </r>
    <r>
      <rPr>
        <b/>
        <sz val="11"/>
        <color indexed="10"/>
        <rFont val="Arial"/>
        <family val="2"/>
      </rPr>
      <t>- exceto o Afastamento Maternidade, pois que a Rem e o 13º são compensados pelo INSS</t>
    </r>
  </si>
  <si>
    <t>MÓD 1 =</t>
  </si>
  <si>
    <t>MÓD 3 =</t>
  </si>
  <si>
    <t xml:space="preserve">Submódulo 4.1 – Substituto nas Ausências Legais </t>
  </si>
  <si>
    <t>Custo diário = BCCPA/30=</t>
  </si>
  <si>
    <t>4.1</t>
  </si>
  <si>
    <t>Substituto nas Ausências Legais</t>
  </si>
  <si>
    <r>
      <rPr>
        <b/>
        <sz val="10"/>
        <rFont val="Arial"/>
        <family val="2"/>
      </rPr>
      <t xml:space="preserve">Substituto na cobertura de Férias          </t>
    </r>
    <r>
      <rPr>
        <b/>
        <sz val="10"/>
        <color indexed="10"/>
        <rFont val="Arial"/>
        <family val="2"/>
      </rPr>
      <t xml:space="preserve">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</si>
  <si>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t>0.00</t>
  </si>
  <si>
    <r>
      <rPr>
        <b/>
        <sz val="10"/>
        <rFont val="Arial"/>
        <family val="2"/>
      </rP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</si>
  <si>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rPr>
        <b/>
        <sz val="10"/>
        <rFont val="Arial"/>
        <family val="2"/>
      </rPr>
      <t xml:space="preserve">Substituto na cobertura de Licença-Paternidade
</t>
    </r>
    <r>
      <rPr>
        <b/>
        <sz val="10"/>
        <color indexed="10"/>
        <rFont val="Arial"/>
        <family val="2"/>
      </rPr>
      <t>Cálculo do valor = 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</si>
  <si>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rPr>
        <b/>
        <sz val="10"/>
        <rFont val="Arial"/>
        <family val="2"/>
      </rP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</si>
  <si>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rPr>
        <b/>
        <sz val="10"/>
        <rFont val="Arial"/>
        <family val="2"/>
      </rPr>
      <t>Substituto na cobertura de Ausência por doença</t>
    </r>
    <r>
      <rPr>
        <b/>
        <sz val="10"/>
        <color indexed="10"/>
        <rFont val="Arial"/>
        <family val="2"/>
      </rPr>
      <t xml:space="preserve"> 
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)/30)x5dias]/12 </t>
    </r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</si>
  <si>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</si>
  <si>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</si>
  <si>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</si>
  <si>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</si>
  <si>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</si>
  <si>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</si>
  <si>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</si>
  <si>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</si>
  <si>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</si>
  <si>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r>
      <rPr>
        <b/>
        <sz val="10"/>
        <rFont val="Arial"/>
        <family val="2"/>
      </rPr>
      <t>Uniformes</t>
    </r>
    <r>
      <rPr>
        <b/>
        <sz val="10"/>
        <color indexed="12"/>
        <rFont val="Arial"/>
        <family val="2"/>
      </rPr>
      <t xml:space="preserve"> </t>
    </r>
  </si>
  <si>
    <r>
      <rPr>
        <b/>
        <sz val="10"/>
        <rFont val="Arial"/>
        <family val="2"/>
      </rPr>
      <t>Materiais</t>
    </r>
    <r>
      <rPr>
        <b/>
        <sz val="10"/>
        <color indexed="12"/>
        <rFont val="Arial"/>
        <family val="2"/>
      </rPr>
      <t xml:space="preserve"> </t>
    </r>
  </si>
  <si>
    <r>
      <rPr>
        <b/>
        <sz val="10"/>
        <rFont val="Arial"/>
        <family val="2"/>
      </rPr>
      <t>Equipamentos</t>
    </r>
    <r>
      <rPr>
        <b/>
        <sz val="10"/>
        <color indexed="12"/>
        <rFont val="Arial"/>
        <family val="2"/>
      </rPr>
      <t xml:space="preserve"> </t>
    </r>
  </si>
  <si>
    <t xml:space="preserve">Outros (especificar) 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</si>
  <si>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</si>
  <si>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</si>
  <si>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</si>
  <si>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</si>
  <si>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</si>
  <si>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</si>
  <si>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</si>
  <si>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</si>
  <si>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</si>
  <si>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</si>
  <si>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</si>
  <si>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</si>
  <si>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- utilizada a hipótese do lucro real)</t>
    </r>
  </si>
  <si>
    <r>
      <rPr>
        <b/>
        <sz val="12"/>
        <rFont val="Arial"/>
        <family val="2"/>
      </rPr>
      <t xml:space="preserve"> c) IRPJ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-</t>
    </r>
    <r>
      <rPr>
        <b/>
        <sz val="9"/>
        <color indexed="12"/>
        <rFont val="Arial"/>
        <family val="2"/>
      </rPr>
      <t xml:space="preserve">  Em face dos Acórdãos TCU nºs 950/2007-P e 205/2018-P, o licitante não pode cotar expressamente este tributo.</t>
    </r>
  </si>
  <si>
    <r>
      <rPr>
        <b/>
        <sz val="12"/>
        <rFont val="Arial"/>
        <family val="2"/>
      </rPr>
      <t xml:space="preserve"> d) CSLL </t>
    </r>
    <r>
      <rPr>
        <b/>
        <sz val="10"/>
        <color indexed="12"/>
        <rFont val="Arial"/>
        <family val="2"/>
      </rPr>
      <t xml:space="preserve">- </t>
    </r>
    <r>
      <rPr>
        <b/>
        <sz val="9"/>
        <color indexed="12"/>
        <rFont val="Arial"/>
        <family val="2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</si>
  <si>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</si>
  <si>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</si>
  <si>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</si>
  <si>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</si>
  <si>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</si>
  <si>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</si>
  <si>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</si>
  <si>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</si>
  <si>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</si>
  <si>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</si>
  <si>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</si>
  <si>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</si>
  <si>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</si>
  <si>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</si>
  <si>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</si>
  <si>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</si>
  <si>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</si>
  <si>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3.  COMPLEMENTO DOS SERVIÇOS DE LIMPEZA E CONSERVAÇÃO</t>
  </si>
  <si>
    <t>PREÇO MENSAL UNITÁRIO POR M² (metro quadrado)</t>
  </si>
  <si>
    <t>(1 X 2)
SUBTOTAL
(R$/M²)</t>
  </si>
  <si>
    <t>ENC. / Pisos acarpetados</t>
  </si>
  <si>
    <t xml:space="preserve"> 1/(30 x 1200)</t>
  </si>
  <si>
    <t>SERV. / Pisos acarpetados</t>
  </si>
  <si>
    <t>1/1200</t>
  </si>
  <si>
    <t>ENC. / Pisos frios</t>
  </si>
  <si>
    <t>SERV. / Pisos frios</t>
  </si>
  <si>
    <t>ENC. / Laboratórios</t>
  </si>
  <si>
    <t xml:space="preserve"> 1/(30 x 450)</t>
  </si>
  <si>
    <t>SERV. / Laboratórios</t>
  </si>
  <si>
    <t>1/450</t>
  </si>
  <si>
    <t xml:space="preserve">ENC. / Almoxaridados/galpões </t>
  </si>
  <si>
    <t xml:space="preserve"> 1/(30 x 2500)</t>
  </si>
  <si>
    <t>SERV./Almoxaridados/galpões</t>
  </si>
  <si>
    <t>1/2500</t>
  </si>
  <si>
    <t>ENC. / Oficinas</t>
  </si>
  <si>
    <t xml:space="preserve"> 1/(30 x 1800)</t>
  </si>
  <si>
    <t>SERV. / Oficinas</t>
  </si>
  <si>
    <t>1/1800</t>
  </si>
  <si>
    <t>ENC. / Áreas com espaços livres - saguão, hall e salão</t>
  </si>
  <si>
    <t xml:space="preserve"> 1/(30 x 1500)</t>
  </si>
  <si>
    <t>SERV. / Áreas com espaços livres - saguão, hall e salão</t>
  </si>
  <si>
    <t>1/1500</t>
  </si>
  <si>
    <t>ENC. / Banheiros</t>
  </si>
  <si>
    <t>1(30 x 300)</t>
  </si>
  <si>
    <t>SERV. / Banheiros</t>
  </si>
  <si>
    <t>1/300</t>
  </si>
  <si>
    <t>P = produtividade de referência do trabalhador prevista no subitem 3.1.</t>
  </si>
  <si>
    <t>ENC. / Pisos pavimentados adjacentes/contíguos às edificações</t>
  </si>
  <si>
    <t>1/(30 x 2700)</t>
  </si>
  <si>
    <t>SERV. / Pisos pavimentados adjacentes/contíguos às edificações</t>
  </si>
  <si>
    <t>1/2700</t>
  </si>
  <si>
    <t>ENC. / Varrição de passeios e arruamentos</t>
  </si>
  <si>
    <t>1/(30 x 9000)</t>
  </si>
  <si>
    <t>SERV. / Varrição de passeios e arruamentos</t>
  </si>
  <si>
    <t>1/9000</t>
  </si>
  <si>
    <t>ENC. / pátios e áreas verdes com alta frequência</t>
  </si>
  <si>
    <t>SERV. / Pátios e áreas verdes com alta frequência</t>
  </si>
  <si>
    <t>Enc. / Pátios e áreas verdes com média frequência</t>
  </si>
  <si>
    <t>SERV. / Pátios e áreas verdes com média frequência</t>
  </si>
  <si>
    <t>ENC. / Pátios e áreas verdes com baixa frequência</t>
  </si>
  <si>
    <t>SERV. / Pátios e áreas verdes com baixa frequência</t>
  </si>
  <si>
    <t>ENC. / Coleta de detritos em pátio e áreas verdes com frequência diária</t>
  </si>
  <si>
    <t>1/(30 x 100000)</t>
  </si>
  <si>
    <t>SERV. / Coleta de detritos em pátios e áreas verdes com frequência diária</t>
  </si>
  <si>
    <t>1/100000</t>
  </si>
  <si>
    <t>P = produtividade de referência do trabalhador prevista no subitem 3.2.</t>
  </si>
  <si>
    <r>
      <rPr>
        <b/>
        <sz val="9"/>
        <rFont val="Arial"/>
        <family val="2"/>
      </rPr>
      <t xml:space="preserve">MÃO DE OBRA 
       </t>
    </r>
    <r>
      <rPr>
        <b/>
        <sz val="8"/>
        <color indexed="8"/>
        <rFont val="Arial"/>
        <family val="2"/>
      </rPr>
      <t>ENCARREGADO / SERVENTE</t>
    </r>
  </si>
  <si>
    <t xml:space="preserve">(1)
PRODUTIVIDADE 
(1/M²)
</t>
  </si>
  <si>
    <r>
      <rPr>
        <b/>
        <sz val="10"/>
        <rFont val="Arial"/>
        <family val="2"/>
      </rPr>
      <t xml:space="preserve">(2) FREQUÊNCIA NO </t>
    </r>
    <r>
      <rPr>
        <b/>
        <sz val="10"/>
        <color indexed="10"/>
        <rFont val="Arial"/>
        <family val="2"/>
      </rPr>
      <t xml:space="preserve">MÊS </t>
    </r>
    <r>
      <rPr>
        <b/>
        <sz val="10"/>
        <rFont val="Arial"/>
        <family val="2"/>
      </rPr>
      <t xml:space="preserve">(HORAS)
</t>
    </r>
  </si>
  <si>
    <r>
      <rPr>
        <b/>
        <sz val="10"/>
        <rFont val="Arial"/>
        <family val="2"/>
      </rPr>
      <t xml:space="preserve">(3)
 JORNADA DE TRABALHO NO </t>
    </r>
    <r>
      <rPr>
        <b/>
        <sz val="10"/>
        <color indexed="10"/>
        <rFont val="Arial"/>
        <family val="2"/>
      </rPr>
      <t xml:space="preserve">MÊS
</t>
    </r>
    <r>
      <rPr>
        <b/>
        <sz val="10"/>
        <rFont val="Arial"/>
        <family val="2"/>
      </rPr>
      <t xml:space="preserve"> (HORAS)</t>
    </r>
  </si>
  <si>
    <t>(4) 
= (1 X 2 X 3)
Ki****</t>
  </si>
  <si>
    <t>(5)
PREÇO HOMEM-MÊS 
(R$)</t>
  </si>
  <si>
    <t>(6) = (4 X 5)
 SUBTOTAL
 (R$/M²)</t>
  </si>
  <si>
    <t>ENC. / Face externa com exposição a situação de risco</t>
  </si>
  <si>
    <t>1/(30x160)</t>
  </si>
  <si>
    <t>1/188,76</t>
  </si>
  <si>
    <t>SERV. / Face externa com exposição a situação de risco</t>
  </si>
  <si>
    <t>1/160</t>
  </si>
  <si>
    <t>ENC. / Face externa sem exposição a situação de risco</t>
  </si>
  <si>
    <t>1/(30x380)</t>
  </si>
  <si>
    <t>SERV. / Face externa sem exposição a situação de risco</t>
  </si>
  <si>
    <t>1/380</t>
  </si>
  <si>
    <t>ENC. / Face interna</t>
  </si>
  <si>
    <t>SERV. / Face interna</t>
  </si>
  <si>
    <t>P = produtividade de referência do trabalhador prevista no subitem 3.3.</t>
  </si>
  <si>
    <t>FACHADA ENVIDRAÇADA – FACE EXTERNA</t>
  </si>
  <si>
    <t>(1)
PRODUTIVIDADE (1/M²)</t>
  </si>
  <si>
    <r>
      <rPr>
        <sz val="10"/>
        <rFont val="Arial"/>
        <family val="2"/>
      </rPr>
      <t xml:space="preserve">(2) FREQUÊNCIA NO </t>
    </r>
    <r>
      <rPr>
        <b/>
        <sz val="10"/>
        <rFont val="Arial"/>
        <family val="2"/>
      </rPr>
      <t xml:space="preserve">MÊS </t>
    </r>
    <r>
      <rPr>
        <b/>
        <strike/>
        <sz val="10"/>
        <color indexed="10"/>
        <rFont val="Arial"/>
        <family val="2"/>
      </rPr>
      <t>(???) SEMESTRE</t>
    </r>
    <r>
      <rPr>
        <strike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(HORAS)</t>
    </r>
  </si>
  <si>
    <r>
      <rPr>
        <sz val="10"/>
        <rFont val="Arial"/>
        <family val="2"/>
      </rPr>
      <t xml:space="preserve">(3)
JORNADA DE TRABALHO NO </t>
    </r>
    <r>
      <rPr>
        <b/>
        <sz val="10"/>
        <rFont val="Arial"/>
        <family val="2"/>
      </rPr>
      <t xml:space="preserve">SEMESTRE </t>
    </r>
    <r>
      <rPr>
        <sz val="10"/>
        <rFont val="Arial"/>
        <family val="2"/>
      </rPr>
      <t>(HORAS)</t>
    </r>
  </si>
  <si>
    <r>
      <rPr>
        <sz val="10"/>
        <rFont val="Arial"/>
        <family val="2"/>
      </rPr>
      <t xml:space="preserve">(4) 
= (1 X 2 X 3)                               </t>
    </r>
    <r>
      <rPr>
        <b/>
        <sz val="10"/>
        <rFont val="Arial"/>
        <family val="2"/>
      </rPr>
      <t>Ke</t>
    </r>
    <r>
      <rPr>
        <sz val="10"/>
        <rFont val="Arial"/>
        <family val="2"/>
      </rPr>
      <t>****</t>
    </r>
  </si>
  <si>
    <t>(5) PREÇO HOMEM-MÊS (R$)</t>
  </si>
  <si>
    <t>(4 X 5)
                  SUBTOTAL                      (R$/M²)</t>
  </si>
  <si>
    <t>Encarregado</t>
  </si>
  <si>
    <t>1/(4x160)</t>
  </si>
  <si>
    <t>1/1.132,60</t>
  </si>
  <si>
    <t>Servente</t>
  </si>
  <si>
    <t>P = produtividade de referência do trabalhador prevista no subitem 3.4.</t>
  </si>
  <si>
    <t>ÁREA MÉDICO- HOSPITALAR E ASSEMELHADOS</t>
  </si>
  <si>
    <t>1(30 x 450)</t>
  </si>
  <si>
    <t>P = produtividade de referência do trabalhador prevista no subitem 3.5.</t>
  </si>
  <si>
    <t>4. VALOR MENSAL DOS SERVIÇOS</t>
  </si>
  <si>
    <t>PREÇO MENSAL UNITÁRIO (R$/M²)</t>
  </si>
  <si>
    <t>ÁREA
(M²)</t>
  </si>
  <si>
    <t>SUBTOTAL
(R$)</t>
  </si>
  <si>
    <t xml:space="preserve">g) Áreas internas -  Banheiros </t>
  </si>
  <si>
    <t>b) Áreas externas - Varrição de passeios e arruamentos</t>
  </si>
  <si>
    <t>c) Área externa - Pátios e áreas verdes com alta frequência</t>
  </si>
  <si>
    <t>d) Áreas externas - Pátios e áreas verdes com média frequência</t>
  </si>
  <si>
    <t>e) Áreas externas - Pátios e áreas verdes com baixa frequência</t>
  </si>
  <si>
    <t>f) Áreas externas - Coleta de detritos em pátios e áreas verdes com frequência diária</t>
  </si>
  <si>
    <t>b) Áreas externas - Face externa sem exposição a situação de risco</t>
  </si>
  <si>
    <t>c) Áreas externas - Face interna</t>
  </si>
  <si>
    <t>TOTAL DA ESQUADRIA EXTERNA</t>
  </si>
  <si>
    <t>a) Fachadas envidraçadas</t>
  </si>
  <si>
    <t>TOTAL DA FACHADA ENVIDRAÇADA</t>
  </si>
  <si>
    <t>TOTAL DAS ÁREAS HOSPITALES E ASSEMELHADAS</t>
  </si>
  <si>
    <t>Valor mensal do serviço</t>
  </si>
  <si>
    <t>Número de meses do contrato</t>
  </si>
  <si>
    <r>
      <rPr>
        <b/>
        <sz val="14"/>
        <rFont val="Arial"/>
        <family val="2"/>
      </rP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</si>
  <si>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r>
      <rPr>
        <b/>
        <sz val="10"/>
        <rFont val="Arial"/>
        <family val="2"/>
      </rPr>
      <t xml:space="preserve">QUANTIDADE DE PESSOAL ALOCADO NA EXECUÇÃO CONTRATUAL (item 6.2.e do Anexo VII da IN nº 5/2017  e </t>
    </r>
    <r>
      <rPr>
        <b/>
        <sz val="10"/>
        <color indexed="10"/>
        <rFont val="Arial"/>
        <family val="2"/>
      </rPr>
      <t>item 6.5.4."e" do edital)</t>
    </r>
  </si>
  <si>
    <t>Tipo de Mão de Obra</t>
  </si>
  <si>
    <t>Quantidade de Pessoal</t>
  </si>
  <si>
    <t>Especificação dos Materiais/Máquinas/Equipamentos</t>
  </si>
  <si>
    <t xml:space="preserve">Quantidade </t>
  </si>
  <si>
    <r>
      <rPr>
        <b/>
        <sz val="18"/>
        <color indexed="20"/>
        <rFont val="Arial"/>
        <family val="2"/>
      </rPr>
      <t xml:space="preserve">LIMPEZA - Regime de Tributação: </t>
    </r>
    <r>
      <rPr>
        <b/>
        <sz val="18"/>
        <color indexed="12"/>
        <rFont val="Arial"/>
        <family val="2"/>
      </rPr>
      <t>LUCRO REAL</t>
    </r>
  </si>
  <si>
    <t>g) Banheiros</t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</si>
  <si>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</si>
  <si>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- utilizada a hipótese de Lucro Real)</t>
    </r>
  </si>
  <si>
    <t>INSUMOS DIVERSOS</t>
  </si>
  <si>
    <t>INFORMAR O TOTAL NECESSÁRIO. ÁREAS COM E SEM BANHEIRO</t>
  </si>
  <si>
    <t>MATERIAIS DE LIMPEZA - SANEANTES DOMISSANITÁRIOS
Disponibilidade mensal</t>
  </si>
  <si>
    <t>Unidade</t>
  </si>
  <si>
    <t>Quantidade Mensal</t>
  </si>
  <si>
    <t>Quantidade Anual</t>
  </si>
  <si>
    <t>Valor Unitário</t>
  </si>
  <si>
    <t>Custo Anual</t>
  </si>
  <si>
    <t>Álcool líquido 46º. Embalagem de 1 litro.</t>
  </si>
  <si>
    <t>litro</t>
  </si>
  <si>
    <t>Álcool Gel</t>
  </si>
  <si>
    <t>Alvejante sanitário. Bombona de 5 litros.</t>
  </si>
  <si>
    <t>galão</t>
  </si>
  <si>
    <t>500 ml</t>
  </si>
  <si>
    <t>Limpador multiúso (Veja)</t>
  </si>
  <si>
    <t>Desinfetante líquido aromatizado. Bombona de 5 litros.</t>
  </si>
  <si>
    <t>Detergente líquido neutro. Embalagem 500 ml.</t>
  </si>
  <si>
    <t>Detergente multiúso a ser usado em pisos. Bombona de 5 litros.</t>
  </si>
  <si>
    <t>Saponáceo líquido. Embalagem de 500 ml.</t>
  </si>
  <si>
    <t>Esponja dupla face para limpeza. Cores diversas.</t>
  </si>
  <si>
    <t>unidade</t>
  </si>
  <si>
    <t>Flanela para limpeza de algodão. Cores diversas.</t>
  </si>
  <si>
    <t xml:space="preserve">Pano de limpeza multiuso com agente bactericida. Bobina de 300 m. Cores diversas. </t>
  </si>
  <si>
    <t>Saco alvejado para limpeza – tamanho 50cmx70cm liso.</t>
  </si>
  <si>
    <t>Refil MOP úmido algodão compatível com o cabo.</t>
  </si>
  <si>
    <t>Refil MOP seco algodão compatível com o cabo.</t>
  </si>
  <si>
    <t>Limpa vidros. Frasco de 500 ml.</t>
  </si>
  <si>
    <t>Odorizador de ambiente. Frasco de 360 ml.</t>
  </si>
  <si>
    <t>360 ml</t>
  </si>
  <si>
    <t>Sabão líquido, padrão de qualidade OMO.</t>
  </si>
  <si>
    <t>Luva para procedimento não cirúrgico, material látex, natural, integro e uniforme. Características adicionais: lubrificada com pó bioabsorvível, descartável, apresentação atóxica, tipo ambidestra. Tamanhos diversos.
Caixa 100 unidades.</t>
  </si>
  <si>
    <t>caixa</t>
  </si>
  <si>
    <t>Saco para lixo - 100 litros - Azul - pacote com 100 unidades</t>
  </si>
  <si>
    <t>pacote</t>
  </si>
  <si>
    <t>Saco para lixo -100 litros - Preto - pacote com 100 unidades</t>
  </si>
  <si>
    <t>Saco para lixo – 40 litros - Azul - pacote com 100 unidades</t>
  </si>
  <si>
    <t>Saco para lixo – 40 litros – Preto - pacote com 100 unidades</t>
  </si>
  <si>
    <t>Saco para lixo - 20 litros – Azul - pacote com 100 unidades</t>
  </si>
  <si>
    <t>Saco para lixo - 20 litros - Preto - pacote com 100 unidades</t>
  </si>
  <si>
    <t>CUSTO ANUAL DOS SANEANTES DOMISSANITÁRIOS</t>
  </si>
  <si>
    <t>CUSTO MENSAL DOS SANEANTES DOMISSANITÁRIOS</t>
  </si>
  <si>
    <r>
      <rPr>
        <b/>
        <sz val="10"/>
        <color indexed="18"/>
        <rFont val="Arial"/>
        <family val="2"/>
      </rPr>
      <t xml:space="preserve">Materiais de Limpeza/higiene – </t>
    </r>
    <r>
      <rPr>
        <b/>
        <sz val="15"/>
        <color indexed="18"/>
        <rFont val="Arial"/>
        <family val="2"/>
      </rPr>
      <t>COMPLEMENTARES COM REPOSIÇÃO</t>
    </r>
  </si>
  <si>
    <t>Papel higiênico Folha Simples, 100% Celulose Virgem, rolão com 300m x 10cm. Compatível com dispenser.</t>
  </si>
  <si>
    <t>Fardo 8 rolos</t>
  </si>
  <si>
    <t>Papel Toalha Folha Simples, 100% Celulose Virgem,  Branco, Rolo, 200 M X 20 CM Compatível com dispenser.</t>
  </si>
  <si>
    <t>Fardo 6 rolos</t>
  </si>
  <si>
    <t>CUSTO ANUAL DOS MATERIAIS DE LIMPEZA – COMPLEMENTARES</t>
  </si>
  <si>
    <t>CUSTO MENSAL DOS  MATERIAIS DE LIMPEZA – COMPLEMENTARES</t>
  </si>
  <si>
    <r>
      <rPr>
        <b/>
        <sz val="15"/>
        <color indexed="18"/>
        <rFont val="Arial"/>
        <family val="2"/>
      </rPr>
      <t xml:space="preserve">MATERIAIS COMPLEMENTARES – UTENSÍLIOS
</t>
    </r>
    <r>
      <rPr>
        <b/>
        <sz val="10"/>
        <color indexed="18"/>
        <rFont val="Arial"/>
        <family val="2"/>
      </rPr>
      <t>Disponibilidade no início do contrato com reposição quando precisar</t>
    </r>
  </si>
  <si>
    <t>Quantidade a disponibilizar</t>
  </si>
  <si>
    <t>Vida Útil   (em meses)</t>
  </si>
  <si>
    <t>Escova para sanitário</t>
  </si>
  <si>
    <t xml:space="preserve">unidade </t>
  </si>
  <si>
    <t>Balde plástico 15 litros</t>
  </si>
  <si>
    <t>Mangueira plástica ¾ com 50m e adaptadores</t>
  </si>
  <si>
    <t>Pá de recolhimento de lixo com cabo longo</t>
  </si>
  <si>
    <t>Desentupidor de pia</t>
  </si>
  <si>
    <t>Vassoura de nylon c/ cabo longo – 120 cm - unidade padrão de qualidade BETANIN</t>
  </si>
  <si>
    <t>Vasculhador para teto / vassoura limpa teto tipo girafa com cabo </t>
  </si>
  <si>
    <t>Rodo de madeira com espuma 30 cm com cabo de madeira 120 cm</t>
  </si>
  <si>
    <t>Rodo profissional 48 cm</t>
  </si>
  <si>
    <t>Extensão elétrica com cabo pp 3x2,5mm com 50 m de comprimento (com suporte)</t>
  </si>
  <si>
    <t>Desentupidor tufão de 15 m</t>
  </si>
  <si>
    <t xml:space="preserve">Desentupidor grande para sanitário </t>
  </si>
  <si>
    <t>Dispenser para papel toalha em bobina autocortante</t>
  </si>
  <si>
    <t>Dispenser para sabonete líquido de parede</t>
  </si>
  <si>
    <t>Dispenser para álcool gel de parede</t>
  </si>
  <si>
    <t>Filtro do bebedouro (diversos modelos)</t>
  </si>
  <si>
    <t xml:space="preserve">CUSTO ANUAL DOS UTENSÍLIOS </t>
  </si>
  <si>
    <t xml:space="preserve">CUSTO MENSAL DOS UTENSÍLIOS </t>
  </si>
  <si>
    <t>EQUIPAMENTOS</t>
  </si>
  <si>
    <t>Depreciação (em meses)</t>
  </si>
  <si>
    <t>Escada em Alumínio com 8 degraus</t>
  </si>
  <si>
    <t>Escada em Alumínio com 3 degraus</t>
  </si>
  <si>
    <t>Kit limpeza de vidro</t>
  </si>
  <si>
    <t>Lavador de alta pressão profissional 2000Psi</t>
  </si>
  <si>
    <t>Máquina de lavar – tanquinho</t>
  </si>
  <si>
    <t>Carrinho de limpeza, com MOP completo (modelo referência NYKT03 – Bralimpia)</t>
  </si>
  <si>
    <t>Relógio ponto eletrônico biométrico com software para tratamento de dados</t>
  </si>
  <si>
    <t>Container de lixo com tampa e com rodas, capacidade de 1000 litros</t>
  </si>
  <si>
    <t xml:space="preserve">CUSTO ANUAL DOS EQUIPAMENTOS </t>
  </si>
  <si>
    <t xml:space="preserve">CUSTO MENSAL DOS EQUIPAMENTOS </t>
  </si>
  <si>
    <t>UNIFORMES E EPI'S</t>
  </si>
  <si>
    <t>Calça brim operacional</t>
  </si>
  <si>
    <t>peça</t>
  </si>
  <si>
    <t>Camiseta de algodão</t>
  </si>
  <si>
    <t>Calçado fechado de segurança, impermeável e antiderrapante</t>
  </si>
  <si>
    <t>par</t>
  </si>
  <si>
    <t>Blusa de frio</t>
  </si>
  <si>
    <t>Bota de borracha cano médio</t>
  </si>
  <si>
    <t xml:space="preserve">par </t>
  </si>
  <si>
    <t>Luva de látex cano longo</t>
  </si>
  <si>
    <t>Máscara Descartável para pó</t>
  </si>
  <si>
    <t>Óculos de Proteção</t>
  </si>
  <si>
    <t>Protetor auricular</t>
  </si>
  <si>
    <t>CUSTO ANUAL DOS UNIFORMES PARA 1 SERVENTE</t>
  </si>
  <si>
    <t>CUSTO MENSAL DOS UNIFORMES PARA 1 SERVENTE</t>
  </si>
  <si>
    <t>QUADRO RESUMO</t>
  </si>
  <si>
    <t>CUSTO ANUAL</t>
  </si>
  <si>
    <t>CUSTO MENSAL</t>
  </si>
  <si>
    <t>Custo Mensal por SERVENTE</t>
  </si>
  <si>
    <t xml:space="preserve">Materiais de Limpeza – SANEANTES DOMISSANITÁRIOS </t>
  </si>
  <si>
    <t>Materiais de Limpeza – COMPLEMENTARES</t>
  </si>
  <si>
    <t>Materiais de Limpeza – UTENSÍLIOS</t>
  </si>
  <si>
    <t>MATERIAIS</t>
  </si>
  <si>
    <t>UNIFORMES</t>
  </si>
  <si>
    <t>TOTAIS</t>
  </si>
  <si>
    <r>
      <rPr>
        <b/>
        <sz val="10"/>
        <color indexed="18"/>
        <rFont val="Arial"/>
        <family val="2"/>
      </rPr>
      <t xml:space="preserve">Quantidade da mão de obra alocada na prestação dos serviços (informação oriunda da aba 'Qtd de postos').                                               </t>
    </r>
    <r>
      <rPr>
        <b/>
        <sz val="10"/>
        <color indexed="10"/>
        <rFont val="Arial"/>
        <family val="2"/>
      </rPr>
      <t>TOTAL DE TODOS OS POSTOS (20% + 40%)</t>
    </r>
  </si>
  <si>
    <t>OBS (1): os custos totais com materiais e equipamentos são fixos, qualquer que seja a produtividade adotada pois são fixados em função da área a ser limpa e conservada e não dependem do quantitativo de mão de obra utilizada.</t>
  </si>
  <si>
    <t xml:space="preserve">OBS (2): os custos totais com uniformes dependem do número de serventes, o qual varia de acordo com a produtividade adotada. </t>
  </si>
  <si>
    <t>OBS (3): a vida útil, os quantitativos e os preços dos insumos são apenas uma simulação feita para fins didáticos, sem o caráter de estudo técnico ou qualquer métrica, portanto não devem ser copiados, mas sim ajustados à realidade de cada contrato.</t>
  </si>
  <si>
    <t>Ministério da Educação</t>
  </si>
  <si>
    <t>Secretaria de Educação Tecnológica</t>
  </si>
  <si>
    <t>TIPO DE SERVIÇO</t>
  </si>
  <si>
    <t>Quantidade de Postos/Mão de Obra a ser alocados</t>
  </si>
  <si>
    <t>VALOR TOTAL POR MÊS (R$)</t>
  </si>
  <si>
    <t>Declaro para devidos fins que:</t>
  </si>
  <si>
    <t>1. Estou CIENTE e de ACORDO com as condições previstas Projeto Básico.</t>
  </si>
  <si>
    <t>2. Que não emprego menor de 18 anos em trabalho noturno, perigoso ou insalubre e não emprega menor de 16 anos, salvo menor, a partir de 14 anos, na condição de aprendiz, nos termos do artigo 7°, XXXIII, da Constituição.</t>
  </si>
  <si>
    <t>3. Que a proposta foi elaborada de forma independente, nos termos da Instrução Normativa SLTI/MP nº 2, de 16 de setembro de 2009.</t>
  </si>
  <si>
    <t>4. Que não possuo, em sua cadeia produtiva, empregados executando trabalho degradante ou forçado, observando o disposto nos incisos III e IV do art. 1º e no inciso III do art. 5º da Constituição Federal.</t>
  </si>
  <si>
    <t>5. Que para elaboração da presenta proposta foram considereados todos os custos diretos, indiretos, impostos, despesas de pessoa e insumos.</t>
  </si>
  <si>
    <t>6. Que a validade da presente proposta é de 60 dias.</t>
  </si>
  <si>
    <t>Razão Social:</t>
  </si>
  <si>
    <t>CNPJ:</t>
  </si>
  <si>
    <t xml:space="preserve">          Carimbo</t>
  </si>
  <si>
    <t>Instituto Federal de Educação, Ciência e Tecnologia do Rio Grande do Sul - IFRS</t>
  </si>
  <si>
    <t>Campus Farroupilha</t>
  </si>
  <si>
    <t>Serviços de Limpeza e Conservação, SEM banheiros. Postos com jornada de 44h semanais e 8:48h diárias de seg a sexta.</t>
  </si>
  <si>
    <t>VALOR TOTAL 12 MESES (R$)</t>
  </si>
  <si>
    <t>Serviços de Limpeza e Conservação, COM banheiros. Postos com jornada de 44h semanais e 8:48h diárias de seg a sexta.</t>
  </si>
  <si>
    <t xml:space="preserve"> </t>
  </si>
  <si>
    <t>DADOS DA LICITAÇÃO</t>
  </si>
  <si>
    <t>Descrição do serviço:</t>
  </si>
  <si>
    <t>Processo:</t>
  </si>
  <si>
    <t>Licitação:</t>
  </si>
  <si>
    <t>Município/UF da prestação do serviço:</t>
  </si>
  <si>
    <t>Dia/Hora:</t>
  </si>
  <si>
    <t>Responsável pela Empresa:</t>
  </si>
  <si>
    <t>CPF do Responsável:</t>
  </si>
  <si>
    <t>Cargo ou Função:</t>
  </si>
  <si>
    <t>PRODUTIVIDADES</t>
  </si>
  <si>
    <t>POSTOS SEM BANHEIRO. INSALUBRIDADE 20%</t>
  </si>
  <si>
    <t>TIPO DE PISO</t>
  </si>
  <si>
    <r>
      <rPr>
        <b/>
        <sz val="10"/>
        <rFont val="Arial"/>
        <family val="2"/>
      </rPr>
      <t>PRODUTIVIDADE</t>
    </r>
    <r>
      <rPr>
        <sz val="10"/>
        <rFont val="Arial"/>
        <family val="2"/>
      </rPr>
      <t xml:space="preserve">                        (m² / serv x mês)     Cfe jornada de trab</t>
    </r>
  </si>
  <si>
    <r>
      <rPr>
        <b/>
        <sz val="10"/>
        <rFont val="Arial"/>
        <family val="2"/>
      </rPr>
      <t>ÁREA</t>
    </r>
    <r>
      <rPr>
        <sz val="10"/>
        <rFont val="Arial"/>
        <family val="2"/>
      </rPr>
      <t xml:space="preserve"> (m²)                         a ser contratada</t>
    </r>
  </si>
  <si>
    <t>*</t>
  </si>
  <si>
    <r>
      <rPr>
        <sz val="10"/>
        <rFont val="Arial"/>
        <family val="2"/>
      </rPr>
      <t xml:space="preserve">face externa </t>
    </r>
    <r>
      <rPr>
        <b/>
        <sz val="10"/>
        <color indexed="10"/>
        <rFont val="Arial"/>
        <family val="2"/>
      </rPr>
      <t>com</t>
    </r>
    <r>
      <rPr>
        <sz val="10"/>
        <color indexed="8"/>
        <rFont val="Arial"/>
        <family val="2"/>
      </rPr>
      <t xml:space="preserve"> exposição a situação de risco</t>
    </r>
  </si>
  <si>
    <r>
      <rPr>
        <sz val="10"/>
        <rFont val="Arial"/>
        <family val="2"/>
      </rPr>
      <t xml:space="preserve">face externa </t>
    </r>
    <r>
      <rPr>
        <b/>
        <sz val="10"/>
        <color indexed="10"/>
        <rFont val="Arial"/>
        <family val="2"/>
      </rPr>
      <t>sem</t>
    </r>
    <r>
      <rPr>
        <b/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exposição a situação de risco</t>
    </r>
  </si>
  <si>
    <t>POSTOS COM BANHEIRO. INSALUBRIDADE 40%</t>
  </si>
  <si>
    <t>almoxarifados/ galpões</t>
  </si>
  <si>
    <t>REGIME DE TRIBUTAÇÃO DA EMPRESA</t>
  </si>
  <si>
    <t>INFORMAÇÕES DA CCT</t>
  </si>
  <si>
    <t>Dados/registro CCT</t>
  </si>
  <si>
    <t>Data base</t>
  </si>
  <si>
    <t>Salário base da categoria (220 h)</t>
  </si>
  <si>
    <t>* CBO 5143. Serv de limpeza</t>
  </si>
  <si>
    <t>Módulo 1: REMUNERAÇÃO</t>
  </si>
  <si>
    <t>Jornada MENSAL contratada (h)</t>
  </si>
  <si>
    <t>Jornada SEMANAL contratada (h)</t>
  </si>
  <si>
    <t>Jornada DIÁRIA contratada (h)</t>
  </si>
  <si>
    <t>MÓDULO 2: ENCARGOS E BENEFÍCIOS</t>
  </si>
  <si>
    <t>RAT</t>
  </si>
  <si>
    <t>(Comprovação será efetivada na aceitação da proposta)</t>
  </si>
  <si>
    <t>FAP</t>
  </si>
  <si>
    <t>Auxílio alimentação/dia</t>
  </si>
  <si>
    <t>Desconto do empregado</t>
  </si>
  <si>
    <t>Qtd dias/mês recebimento aux. alim</t>
  </si>
  <si>
    <t>Valor unit. da passagem</t>
  </si>
  <si>
    <t>Quantid. passagens/dia</t>
  </si>
  <si>
    <t>Qtd dias/mês receb. aux. transp</t>
  </si>
  <si>
    <t>PBF (Plano Benef. Social Fam)</t>
  </si>
  <si>
    <t>MÓDULO 6: CUSTOS INDIRETOS, LUCRO E TRIBUTOS</t>
  </si>
  <si>
    <t>Empregado</t>
  </si>
  <si>
    <t>Insalub. 20%</t>
  </si>
  <si>
    <t>Insalub. 40%</t>
  </si>
  <si>
    <t>Custos indiretos</t>
  </si>
  <si>
    <t>ISSQN</t>
  </si>
  <si>
    <t>Serviços de Limpeza e Conservação, 44h/semanal, de segunda a sexta</t>
  </si>
  <si>
    <t>Tipo de Regime:</t>
  </si>
  <si>
    <t>8:48 com compensação</t>
  </si>
  <si>
    <t>Áreas Totais</t>
  </si>
  <si>
    <t>Resumo da Proposta</t>
  </si>
  <si>
    <r>
      <rPr>
        <sz val="10"/>
        <rFont val="Arial"/>
        <family val="2"/>
      </rPr>
      <t xml:space="preserve">produtividade (m² /             serv x mês)    de 40h semanais    (8h diárias) </t>
    </r>
    <r>
      <rPr>
        <b/>
        <sz val="10"/>
        <color indexed="10"/>
        <rFont val="Arial"/>
        <family val="2"/>
      </rPr>
      <t>PREENCHER</t>
    </r>
  </si>
  <si>
    <r>
      <rPr>
        <sz val="10"/>
        <rFont val="Arial"/>
        <family val="2"/>
      </rPr>
      <t xml:space="preserve">área (m²) a ser contratada </t>
    </r>
    <r>
      <rPr>
        <b/>
        <sz val="10"/>
        <color indexed="12"/>
        <rFont val="Arial"/>
        <family val="2"/>
      </rPr>
      <t>PREENCHER</t>
    </r>
  </si>
  <si>
    <t>(1)                  número de empregados necessários para a execução da tarefa</t>
  </si>
  <si>
    <t xml:space="preserve">(2)                             exclusão dos empregados que cumprem integralmente a jornada diária  </t>
  </si>
  <si>
    <t>(4)                   jornada diária em minutos do empregado que completará a execução da tarefa</t>
  </si>
  <si>
    <t>(5) Número de empregados que a contratada deverá alocar para a prestação dos serviços</t>
  </si>
  <si>
    <t>NÚMERO TOTAL DE SERVENTES EM JORNADA DE 8 HORAS</t>
  </si>
  <si>
    <t>Cálculo total do nº de serventes = (preço mensal dos serviços / valor do homem-mês) = R$ ----------- / ---------- = 10,36 = -------</t>
  </si>
  <si>
    <t>Preencher somente as células das seguintes colunas: C (produtividade) e D (área)</t>
  </si>
  <si>
    <t>PIS</t>
  </si>
  <si>
    <t>COFINS</t>
  </si>
  <si>
    <t>(x) Lucro Real</t>
  </si>
  <si>
    <r>
      <t xml:space="preserve">área (m²) a ser contratada </t>
    </r>
    <r>
      <rPr>
        <b/>
        <sz val="9"/>
        <rFont val="Arial"/>
        <family val="2"/>
      </rPr>
      <t>PREENCHER</t>
    </r>
  </si>
  <si>
    <t>Preencher somente as células das seguintes colunas: 3 (produtividade) e 4 (área)</t>
  </si>
  <si>
    <t xml:space="preserve">Tipo de Serviço: Limpeza e Conservação Predial                                                                                                   </t>
  </si>
  <si>
    <t>Unidade de Medida</t>
  </si>
  <si>
    <r>
      <t>OBSERVAÇÃO: DEVERÁ SER ZERADA NO MÊS EM QUE O TITULAR GOZAR FÉRIAS</t>
    </r>
    <r>
      <rPr>
        <b/>
        <sz val="10"/>
        <rFont val="Arial"/>
        <family val="2"/>
      </rPr>
      <t xml:space="preserve">          Total </t>
    </r>
  </si>
  <si>
    <r>
      <t xml:space="preserve">Auxílio-Refeição/Alimentação </t>
    </r>
    <r>
      <rPr>
        <b/>
        <sz val="8"/>
        <color indexed="10"/>
        <rFont val="Arial"/>
        <family val="2"/>
      </rPr>
      <t>Cálculo do valor = [(22xVA)x(1-0,19%)]</t>
    </r>
  </si>
  <si>
    <t>ÁREA INTERNA (Fórmulas exemplificativas de cálculo para área interna - alíneas "a" e "b" do subitem 3.1 do Anexo VI-B; para as demais alíneas, deverão ser incluídos novos campos na planilha com a metragem adequada).</t>
  </si>
  <si>
    <r>
      <t xml:space="preserve">MÃO DE OBRA  </t>
    </r>
    <r>
      <rPr>
        <b/>
        <sz val="8"/>
        <rFont val="Arial"/>
        <family val="2"/>
      </rPr>
      <t>ENCARREGADO / SERVENTE</t>
    </r>
  </si>
  <si>
    <t xml:space="preserve">(1) PRODUTIVIDADE
(1/M²)
</t>
  </si>
  <si>
    <t xml:space="preserve">(1) PRODUTIVIDADE (1/M²)
</t>
  </si>
  <si>
    <t>(2)  PREÇO HOMEM-MÊS (R$)</t>
  </si>
  <si>
    <t>ÁREA EXTERNA (Fórmulas exemplificativas de cálculo para área externa - alíneas "a", "c" , "d" e "e" do subitem 3.2 do Anexo VI-B; para as demais alíneas, deverão ser incluídos novos campos na planilha com a metragem adequada).</t>
  </si>
  <si>
    <t>(2) PREÇO HOMEM-MÊS (R$)</t>
  </si>
  <si>
    <r>
      <t xml:space="preserve">MÃO DE OBRA </t>
    </r>
    <r>
      <rPr>
        <b/>
        <sz val="8"/>
        <color indexed="8"/>
        <rFont val="Arial"/>
        <family val="2"/>
      </rPr>
      <t>ENCARREGADO / SERVENTE</t>
    </r>
  </si>
  <si>
    <r>
      <t xml:space="preserve">MÃO DE OBRA  </t>
    </r>
    <r>
      <rPr>
        <b/>
        <sz val="8"/>
        <color indexed="8"/>
        <rFont val="Arial"/>
        <family val="2"/>
      </rPr>
      <t>ENCARREGADO / SERVENTE</t>
    </r>
  </si>
  <si>
    <t>ESQUADRIA EXTERNA (Fórmulas exemplificativas de cálculo para esquadria externa - alíneas "b" e "c" do subitem 3.3 do Anexo VI-B; para as demais alíneas, deverão ser incluídos novos campos na planilha com a metragem adequada).</t>
  </si>
  <si>
    <r>
      <t xml:space="preserve">* Caso as produtividades mínimas adotadas sejam diferentes, estes valores das planilhas, bem como os coeficientes deles decorrentes (Ki e </t>
    </r>
    <r>
      <rPr>
        <b/>
        <sz val="10"/>
        <rFont val="Arial"/>
        <family val="2"/>
      </rPr>
      <t>Ke</t>
    </r>
    <r>
      <rPr>
        <sz val="10"/>
        <rFont val="Arial"/>
        <family val="2"/>
      </rPr>
      <t xml:space="preserve">) deverão ser adequados à nova situação. </t>
    </r>
    <r>
      <rPr>
        <b/>
        <sz val="10"/>
        <rFont val="Arial"/>
        <family val="2"/>
      </rPr>
      <t xml:space="preserve">(OBS: refere-se às produtividades)
</t>
    </r>
    <r>
      <rPr>
        <sz val="10"/>
        <rFont val="Arial"/>
        <family val="2"/>
      </rPr>
      <t xml:space="preserve">** Caso a relação entre serventes e encarregado seja diferente, os valores das planilhas, bem como os coeficientes deles decorrentes (Ki e </t>
    </r>
    <r>
      <rPr>
        <b/>
        <sz val="10"/>
        <rFont val="Arial"/>
        <family val="2"/>
      </rPr>
      <t>Ke</t>
    </r>
    <r>
      <rPr>
        <sz val="10"/>
        <rFont val="Arial"/>
        <family val="2"/>
      </rPr>
      <t xml:space="preserve">) deverão ser adequados à nova situação. </t>
    </r>
    <r>
      <rPr>
        <b/>
        <sz val="10"/>
        <rFont val="Arial"/>
        <family val="2"/>
      </rPr>
      <t xml:space="preserve">(OBS: refere-se ao 30 ou 4 do encarregado)
</t>
    </r>
    <r>
      <rPr>
        <sz val="10"/>
        <rFont val="Arial"/>
        <family val="2"/>
      </rPr>
      <t xml:space="preserve">*** Frequência sugerida em horas por mês. Caso a frequência adotada em horas, por mês ou semestre, seja diferente, os valores, bem como os coeficientes deles decorrentes (Ki e Ke) deverão ser adequados à nova situação. (OBS: refere-se ao 16 da esquadria ou 8 da fachada)     </t>
    </r>
  </si>
  <si>
    <t>(1) PRODUTIVIDADE
(1/M²)</t>
  </si>
  <si>
    <t>(2) PREÇO HOMEM-MÊS        (R$)</t>
  </si>
  <si>
    <r>
      <t xml:space="preserve">MATERIAIS, MÁQUINAS E EQUIPAMENTOS ALOCADOS NA EXECUÇÃO CONTRATUAL  (item 6.2.f do Anexo VII da IN nº 5/2017  e </t>
    </r>
    <r>
      <rPr>
        <b/>
        <sz val="10"/>
        <color indexed="10"/>
        <rFont val="Arial"/>
        <family val="2"/>
      </rPr>
      <t>item 6.5.4.f do edital</t>
    </r>
    <r>
      <rPr>
        <b/>
        <sz val="10"/>
        <rFont val="Arial"/>
        <family val="2"/>
      </rPr>
      <t>)</t>
    </r>
  </si>
  <si>
    <r>
      <t xml:space="preserve">1. MÓDULOS  </t>
    </r>
    <r>
      <rPr>
        <b/>
        <sz val="12"/>
        <rFont val="Arial"/>
        <family val="2"/>
      </rPr>
      <t xml:space="preserve">Mão de obra -  </t>
    </r>
    <r>
      <rPr>
        <b/>
        <sz val="11"/>
        <rFont val="Arial"/>
        <family val="2"/>
      </rPr>
      <t>Mão de obra vinculada à execução contratual</t>
    </r>
  </si>
  <si>
    <r>
      <t xml:space="preserve">1. MÓDULOS  </t>
    </r>
    <r>
      <rPr>
        <b/>
        <sz val="12"/>
        <rFont val="Arial"/>
        <family val="2"/>
      </rPr>
      <t xml:space="preserve">Mão de obra - </t>
    </r>
    <r>
      <rPr>
        <b/>
        <sz val="11"/>
        <rFont val="Arial"/>
        <family val="2"/>
      </rPr>
      <t>Mão de obra vinculada à execução contratual</t>
    </r>
  </si>
  <si>
    <r>
      <t xml:space="preserve">Salário Normativo da Categoria Profissional - para a jornada de </t>
    </r>
    <r>
      <rPr>
        <b/>
        <sz val="12"/>
        <rFont val="Arial"/>
        <family val="2"/>
      </rPr>
      <t>44</t>
    </r>
    <r>
      <rPr>
        <b/>
        <sz val="10"/>
        <rFont val="Arial"/>
        <family val="2"/>
      </rPr>
      <t xml:space="preserve"> h/sem</t>
    </r>
  </si>
  <si>
    <t>(2)     PREÇO HOMEM-MÊS     (R$)</t>
  </si>
  <si>
    <t>(2) PREÇO HOMEM-MÊS
(R$)</t>
  </si>
  <si>
    <t xml:space="preserve">(1) PRODUTIVIDADE 
(1/M²)
</t>
  </si>
  <si>
    <r>
      <t xml:space="preserve">(2) FREQUÊNCIA NO </t>
    </r>
    <r>
      <rPr>
        <b/>
        <sz val="10"/>
        <color indexed="10"/>
        <rFont val="Arial"/>
        <family val="2"/>
      </rPr>
      <t xml:space="preserve">MÊS </t>
    </r>
    <r>
      <rPr>
        <b/>
        <sz val="10"/>
        <rFont val="Arial"/>
        <family val="2"/>
      </rPr>
      <t xml:space="preserve">(HORAS)
</t>
    </r>
  </si>
  <si>
    <r>
      <t xml:space="preserve">(3)  JORNADA DE TRABALHO NO </t>
    </r>
    <r>
      <rPr>
        <b/>
        <sz val="10"/>
        <color indexed="10"/>
        <rFont val="Arial"/>
        <family val="2"/>
      </rPr>
      <t xml:space="preserve">MÊS
</t>
    </r>
    <r>
      <rPr>
        <b/>
        <sz val="10"/>
        <rFont val="Arial"/>
        <family val="2"/>
      </rPr>
      <t xml:space="preserve"> (HORAS)</t>
    </r>
  </si>
  <si>
    <t>(5) PREÇO HOMEM-MÊS 
(R$)</t>
  </si>
  <si>
    <t>(1) PRODUTIVIDADE (1/M²)</t>
  </si>
  <si>
    <r>
      <t xml:space="preserve">(3) JORNADA DE TRABALHO NO </t>
    </r>
    <r>
      <rPr>
        <b/>
        <sz val="10"/>
        <rFont val="Arial"/>
        <family val="2"/>
      </rPr>
      <t xml:space="preserve">SEMESTRE </t>
    </r>
    <r>
      <rPr>
        <sz val="10"/>
        <rFont val="Arial"/>
        <family val="2"/>
      </rPr>
      <t>(HORAS)</t>
    </r>
  </si>
  <si>
    <t>(4 X 5) SUBTOTAL                      (R$/M²)</t>
  </si>
  <si>
    <t>ÁREA MÉDICO-HOSPITALAR E ASSEMELHADOS</t>
  </si>
  <si>
    <t>(1 X 2) SUBTOTAL
(R$/M²)</t>
  </si>
  <si>
    <r>
      <t xml:space="preserve">* Caso as produtividades mínimas adotadas sejam diferentes, estes valores das planilhas, bem como os coeficientes deles decorrentes (Ki e </t>
    </r>
    <r>
      <rPr>
        <b/>
        <sz val="10"/>
        <rFont val="Arial"/>
        <family val="2"/>
      </rPr>
      <t>Ke</t>
    </r>
    <r>
      <rPr>
        <sz val="10"/>
        <rFont val="Arial"/>
        <family val="2"/>
      </rPr>
      <t xml:space="preserve">) deverão ser adequados à nova situação. </t>
    </r>
    <r>
      <rPr>
        <b/>
        <sz val="10"/>
        <rFont val="Arial"/>
        <family val="2"/>
      </rPr>
      <t xml:space="preserve">(OBS: refere-se às produtividades)
</t>
    </r>
    <r>
      <rPr>
        <sz val="10"/>
        <rFont val="Arial"/>
        <family val="2"/>
      </rPr>
      <t xml:space="preserve">** Caso a relação entre serventes e encarregado seja diferente, os valores das planilhas, bem como os coeficientes deles decorrentes (Ki e </t>
    </r>
    <r>
      <rPr>
        <b/>
        <sz val="10"/>
        <rFont val="Arial"/>
        <family val="2"/>
      </rPr>
      <t>Ke</t>
    </r>
    <r>
      <rPr>
        <sz val="10"/>
        <rFont val="Arial"/>
        <family val="2"/>
      </rPr>
      <t xml:space="preserve">) deverão ser adequados à nova situação. </t>
    </r>
    <r>
      <rPr>
        <b/>
        <sz val="10"/>
        <rFont val="Arial"/>
        <family val="2"/>
      </rPr>
      <t xml:space="preserve">(OBS: refere-se ao 30 ou 4 do encarregado)
</t>
    </r>
    <r>
      <rPr>
        <sz val="10"/>
        <rFont val="Arial"/>
        <family val="2"/>
      </rPr>
      <t>*** Frequência sugerida em horas por mês. Caso a frequência adotada em horas, por mês ou semestre, seja diferente, os valores, bem como os coeficientes deles decorrentes (Ki e Ke) deverão ser adequados à nova situação. (OBS: refere-se ao 16 da esquadria ou 8 da fachada)</t>
    </r>
  </si>
  <si>
    <t>Áreas Ajustadas</t>
  </si>
  <si>
    <r>
      <rPr>
        <b/>
        <u val="single"/>
        <sz val="10"/>
        <rFont val="Arial"/>
        <family val="2"/>
      </rPr>
      <t>NOTA</t>
    </r>
    <r>
      <rPr>
        <sz val="10"/>
        <rFont val="Arial"/>
        <family val="2"/>
      </rPr>
      <t>: As Produtividades acima são fixas e máximas divulgadas no caderno de encargos do MPOG. Caso o licitante apresente produtividade superior, deverá comprovar, de forma inequívoca e documental, a sua produtividade e a sua capacidade de execução do serviço.</t>
    </r>
  </si>
  <si>
    <t>Sabonete Líquido. Bombona 5 litros.</t>
  </si>
  <si>
    <r>
      <t xml:space="preserve">Dia: </t>
    </r>
    <r>
      <rPr>
        <b/>
        <sz val="10"/>
        <color indexed="10"/>
        <rFont val="Arial"/>
        <family val="2"/>
      </rPr>
      <t xml:space="preserve">06/05/2020 às </t>
    </r>
    <r>
      <rPr>
        <b/>
        <sz val="10"/>
        <color indexed="10"/>
        <rFont val="Arial"/>
        <family val="2"/>
      </rPr>
      <t>09h00min</t>
    </r>
  </si>
  <si>
    <r>
      <t xml:space="preserve">Dia: </t>
    </r>
    <r>
      <rPr>
        <b/>
        <sz val="10"/>
        <color indexed="10"/>
        <rFont val="Arial"/>
        <family val="2"/>
      </rPr>
      <t>06/05/2020</t>
    </r>
    <r>
      <rPr>
        <b/>
        <sz val="10"/>
        <color indexed="10"/>
        <rFont val="Arial"/>
        <family val="2"/>
      </rPr>
      <t xml:space="preserve"> às 09h00min</t>
    </r>
  </si>
  <si>
    <t>Aproximadamente 4,10 horas</t>
  </si>
  <si>
    <t>Aproximadamente 0,53 horas</t>
  </si>
  <si>
    <t>RS000078/2021</t>
  </si>
  <si>
    <r>
      <t xml:space="preserve">Plano de Benefício Social Familiar </t>
    </r>
    <r>
      <rPr>
        <b/>
        <sz val="10"/>
        <color indexed="10"/>
        <rFont val="Arial"/>
        <family val="2"/>
      </rPr>
      <t xml:space="preserve">(cláusula 29 da CCT 2021)  Cálculo do valor = R$ 15,62  </t>
    </r>
    <r>
      <rPr>
        <b/>
        <sz val="10"/>
        <color indexed="12"/>
        <rFont val="Arial"/>
        <family val="2"/>
      </rPr>
      <t>Sem participação do empregado</t>
    </r>
  </si>
  <si>
    <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(20% do SB proporcionalizado conf cláus 17 da CCT 2019)</t>
    </r>
  </si>
  <si>
    <t>CCT 000078/2021</t>
  </si>
  <si>
    <t>RS 000078/2021</t>
  </si>
  <si>
    <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(40% do SB proporcionalizado conf cláus 17 da CCT 2021)</t>
    </r>
  </si>
  <si>
    <r>
      <t xml:space="preserve">      </t>
    </r>
    <r>
      <rPr>
        <b/>
        <sz val="9"/>
        <color indexed="10"/>
        <rFont val="Arial"/>
        <family val="2"/>
      </rPr>
      <t xml:space="preserve">B.1) Valor do auxílio-alimentação (clausula 28 da CCT 2021): </t>
    </r>
  </si>
  <si>
    <r>
      <t xml:space="preserve">      </t>
    </r>
    <r>
      <rPr>
        <b/>
        <sz val="9"/>
        <color indexed="10"/>
        <rFont val="Arial"/>
        <family val="2"/>
      </rPr>
      <t xml:space="preserve">B.1) Valor do auxílio-alimentação (cláusula 28 da CCT 2021): </t>
    </r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</si>
  <si>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         </t>
    </r>
    <r>
      <rPr>
        <sz val="10"/>
        <color indexed="10"/>
        <rFont val="Arial"/>
        <family val="2"/>
      </rPr>
      <t>(Decreto Municipal Farroupilha nº 6.701/2019- art. 5º)</t>
    </r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</si>
  <si>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         </t>
    </r>
    <r>
      <rPr>
        <sz val="10"/>
        <color indexed="10"/>
        <rFont val="Arial"/>
        <family val="2"/>
      </rPr>
      <t>(Decreto Municipal Farroupilha nº 6701/2019 - art. 5º)</t>
    </r>
  </si>
  <si>
    <t>Vacaria/RS</t>
  </si>
  <si>
    <t>1º de janeiro de 2021</t>
  </si>
  <si>
    <t>Sala de aula bloco novo 1</t>
  </si>
  <si>
    <t>Sala de aula bloco novo 2</t>
  </si>
  <si>
    <t>Sala de aula bloco novo 3</t>
  </si>
  <si>
    <t>Sala de aula bloco novo 4</t>
  </si>
  <si>
    <t>Sala de aula bloco novo 5</t>
  </si>
  <si>
    <t>Atendimento Bloco Laboratórios</t>
  </si>
  <si>
    <t>Sala Direção de Ensino</t>
  </si>
  <si>
    <t>Sala de Aula</t>
  </si>
  <si>
    <t>DAP</t>
  </si>
  <si>
    <t>205/206</t>
  </si>
  <si>
    <t>Sala dos Professores/Registros Escolares/Coordenações</t>
  </si>
  <si>
    <t>Direção Geral/Gabinete</t>
  </si>
  <si>
    <t>Sala de Aula Superior</t>
  </si>
  <si>
    <t>CGP</t>
  </si>
  <si>
    <t>Sala TI</t>
  </si>
  <si>
    <t>109B</t>
  </si>
  <si>
    <t>Sala Servidor Informática</t>
  </si>
  <si>
    <t>Assistência</t>
  </si>
  <si>
    <t>NEAD</t>
  </si>
  <si>
    <t xml:space="preserve">Depósito Bloco Banheiros </t>
  </si>
  <si>
    <t>Depósito Direção-Geral</t>
  </si>
  <si>
    <t>Depósito Limpeza</t>
  </si>
  <si>
    <t>206C</t>
  </si>
  <si>
    <t>Depósito Agropecuária</t>
  </si>
  <si>
    <t>Laboratório Bloco 1</t>
  </si>
  <si>
    <t>Laboratório Bloco 2</t>
  </si>
  <si>
    <t>Laboratório Bloco 3</t>
  </si>
  <si>
    <t>Laboratório Bloco 4</t>
  </si>
  <si>
    <t>Laboratório Informática 1</t>
  </si>
  <si>
    <t>Laboratório Informática 2</t>
  </si>
  <si>
    <t>Laboratório Química</t>
  </si>
  <si>
    <t>Banheiro Feminino Superior</t>
  </si>
  <si>
    <t>Banheiro PNE Feminino Superior</t>
  </si>
  <si>
    <t>Banheiro Masculino Superior</t>
  </si>
  <si>
    <t>Banheiro PNE Masculino Superior</t>
  </si>
  <si>
    <t>Banheiro Masculino Bloco Novo</t>
  </si>
  <si>
    <t>Banheiro Feminino Bloco Novo</t>
  </si>
  <si>
    <t>Banheiro Masculino Bloco Novo PNE</t>
  </si>
  <si>
    <t>Banheiro Feminino Bloco Novo PNE</t>
  </si>
  <si>
    <t>Banheiro Direção-Geral</t>
  </si>
  <si>
    <t>Circulação Bloco Banheiros</t>
  </si>
  <si>
    <t>Circulação Bloco Salas de Aula</t>
  </si>
  <si>
    <t>Circulação Bloco Laboratórios</t>
  </si>
  <si>
    <t>Circulação Bloco Principal Superior</t>
  </si>
  <si>
    <t>Circulação Bloco Principal Térreo</t>
  </si>
  <si>
    <t>Saguão Bloco Principal Térreo</t>
  </si>
  <si>
    <t>Escadarias Bloco Principal</t>
  </si>
  <si>
    <t>Calçadas Bloco Salas de Aula</t>
  </si>
  <si>
    <t>Calçadas Bloco Laboratórios</t>
  </si>
  <si>
    <t>Janelas Bloco Salas de Aula parte interna</t>
  </si>
  <si>
    <t>Janelas Bloco Salas de Aula parte externa</t>
  </si>
  <si>
    <t>Portas Bloco Salas de Aula - acessos laterais</t>
  </si>
  <si>
    <t>Portas Bloco Salas de Aula - acesso principal</t>
  </si>
  <si>
    <t>Janelas Bloco Laboratórios parte interna</t>
  </si>
  <si>
    <t>Janelas Bloco Laboratórios parte externa</t>
  </si>
  <si>
    <t>Janelas Bloco Principal</t>
  </si>
  <si>
    <t>Portas Bloco Principal</t>
  </si>
  <si>
    <t>Bata de Limpeza com bolso</t>
  </si>
  <si>
    <t>Limpador Multiuso com Peróxido (Peroxi 10)</t>
  </si>
  <si>
    <t>23364.000079/2021-88</t>
  </si>
  <si>
    <t>PE 19/2021</t>
  </si>
  <si>
    <r>
      <t xml:space="preserve">ANEXO III -  </t>
    </r>
    <r>
      <rPr>
        <b/>
        <sz val="18"/>
        <color indexed="10"/>
        <rFont val="Arial"/>
        <family val="2"/>
      </rPr>
      <t xml:space="preserve">do Pregão nº 19/2021
</t>
    </r>
    <r>
      <rPr>
        <b/>
        <sz val="16"/>
        <color indexed="12"/>
        <rFont val="Arial"/>
        <family val="2"/>
      </rPr>
      <t xml:space="preserve">CONTA VINCULADA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</si>
  <si>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Pregão  nº 19/2021</t>
  </si>
  <si>
    <r>
      <t xml:space="preserve">ANEXO III -  </t>
    </r>
    <r>
      <rPr>
        <b/>
        <sz val="18"/>
        <color indexed="10"/>
        <rFont val="Arial"/>
        <family val="2"/>
      </rPr>
      <t xml:space="preserve">do Pregão  nº 19/2021
</t>
    </r>
    <r>
      <rPr>
        <b/>
        <sz val="16"/>
        <color indexed="12"/>
        <rFont val="Arial"/>
        <family val="2"/>
      </rPr>
      <t xml:space="preserve">Conta Vinculada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</si>
  <si>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 xml:space="preserve">Submódulo 2.1 – 13º (décimo terceiro) Salário, </t>
    </r>
    <r>
      <rPr>
        <b/>
        <strike/>
        <sz val="11"/>
        <rFont val="Arial"/>
        <family val="2"/>
      </rPr>
      <t>Féria</t>
    </r>
    <r>
      <rPr>
        <b/>
        <sz val="11"/>
        <rFont val="Arial"/>
        <family val="2"/>
      </rPr>
      <t>s e Adicional de Férias</t>
    </r>
  </si>
  <si>
    <r>
      <t xml:space="preserve">13º (décimo terceiro) Salário, </t>
    </r>
    <r>
      <rPr>
        <b/>
        <strike/>
        <sz val="11"/>
        <rFont val="Arial"/>
        <family val="2"/>
      </rPr>
      <t>Férias</t>
    </r>
    <r>
      <rPr>
        <b/>
        <strike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 e Adicional de Férias</t>
    </r>
  </si>
  <si>
    <r>
      <t xml:space="preserve">Adicional de Férias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[(Rem/3) / 12]</t>
    </r>
  </si>
  <si>
    <r>
      <t xml:space="preserve">Multa do FGTS sobre o Aviso Prévio Indenizado                                    </t>
    </r>
    <r>
      <rPr>
        <b/>
        <sz val="10"/>
        <color indexed="10"/>
        <rFont val="Arial"/>
        <family val="2"/>
      </rPr>
      <t>Cálculo do valor = [40%x8%x(Rem+13º+Férias+1/3xFérias)]x5% de rotatividade</t>
    </r>
  </si>
  <si>
    <r>
      <t xml:space="preserve">Multa do FGTS sobre o Aviso Prévio Trabalhado                                         </t>
    </r>
    <r>
      <rPr>
        <b/>
        <sz val="10"/>
        <color indexed="10"/>
        <rFont val="Arial"/>
        <family val="2"/>
      </rPr>
      <t>Cálculo do valor = [40%x8%x(Rem+13º+Férias+1/3xFérias)]x</t>
    </r>
    <r>
      <rPr>
        <b/>
        <sz val="10"/>
        <color indexed="12"/>
        <rFont val="Arial"/>
        <family val="2"/>
      </rPr>
      <t>100%</t>
    </r>
    <r>
      <rPr>
        <b/>
        <sz val="10"/>
        <color indexed="10"/>
        <rFont val="Arial"/>
        <family val="2"/>
      </rPr>
      <t xml:space="preserve"> dos empregados</t>
    </r>
  </si>
  <si>
    <r>
      <t xml:space="preserve">MÓD 2 =  </t>
    </r>
    <r>
      <rPr>
        <sz val="10"/>
        <color indexed="10"/>
        <rFont val="Arial"/>
        <family val="2"/>
      </rPr>
      <t>(sem VA e VT)</t>
    </r>
  </si>
  <si>
    <r>
      <t>Aviso Previo Trabalhado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Cálculo do valor= [(Rem/30)x7]/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</t>
    </r>
    <r>
      <rPr>
        <b/>
        <sz val="9"/>
        <color indexed="12"/>
        <rFont val="Arial"/>
        <family val="2"/>
      </rPr>
      <t>100%</t>
    </r>
    <r>
      <rPr>
        <b/>
        <sz val="9"/>
        <color indexed="10"/>
        <rFont val="Arial"/>
        <family val="2"/>
      </rPr>
      <t xml:space="preserve"> dos empregados </t>
    </r>
    <r>
      <rPr>
        <b/>
        <sz val="8"/>
        <color indexed="10"/>
        <rFont val="Arial"/>
        <family val="2"/>
      </rPr>
      <t xml:space="preserve">- ao final do contrato -  </t>
    </r>
    <r>
      <rPr>
        <b/>
        <sz val="10"/>
        <color indexed="10"/>
        <rFont val="Arial"/>
        <family val="2"/>
      </rPr>
      <t>acórdão do TCU nº 1.186/2017 - P.</t>
    </r>
  </si>
  <si>
    <r>
      <t xml:space="preserve">Submódulo 2.1 – 13º (décimo terceiro) Salário, </t>
    </r>
    <r>
      <rPr>
        <b/>
        <strike/>
        <sz val="11"/>
        <rFont val="Arial"/>
        <family val="2"/>
      </rPr>
      <t>Férias</t>
    </r>
    <r>
      <rPr>
        <b/>
        <sz val="11"/>
        <rFont val="Arial"/>
        <family val="2"/>
      </rPr>
      <t xml:space="preserve"> e Adicional de Férias</t>
    </r>
  </si>
  <si>
    <r>
      <t xml:space="preserve">13º (décimo terceiro) Salário, </t>
    </r>
    <r>
      <rPr>
        <b/>
        <strike/>
        <sz val="11"/>
        <rFont val="Arial"/>
        <family val="2"/>
      </rPr>
      <t>Férias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 e Adicional de Férias</t>
    </r>
  </si>
  <si>
    <r>
      <t xml:space="preserve"> Adicional de Férias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 (Rem/3) / 12]</t>
    </r>
  </si>
  <si>
    <r>
      <t xml:space="preserve">Nota 1:  Como a planilha de custos e formação de preços é calculada mensalmente, provisiona-se proporcionalmente 1/12 (um doze avos) dos valores referentes à gratificação natalina, </t>
    </r>
    <r>
      <rPr>
        <b/>
        <strike/>
        <sz val="9"/>
        <color indexed="10"/>
        <rFont val="Arial"/>
        <family val="2"/>
      </rPr>
      <t>férias</t>
    </r>
    <r>
      <rPr>
        <sz val="9"/>
        <rFont val="Arial"/>
        <family val="2"/>
      </rPr>
      <t xml:space="preserve"> e adicional de férias.
Nota 2:  O adicional de férias contido no Submódulo 2.1 corresponde a 1/3 (um terço) da remuneração que por sua vez é dividido por 12 (doze) conforme Nota 1 acima.
</t>
    </r>
    <r>
      <rPr>
        <b/>
        <strike/>
        <sz val="9"/>
        <color indexed="10"/>
        <rFont val="Arial"/>
        <family val="2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</si>
  <si>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r>
      <t>Nota 1:  Como a planilha de custos e formação de preços é calculada mensalmente, provisiona-se proporcionalmente 1/12 (um doze avos) dos valores referentes à gratificação natalina,</t>
    </r>
    <r>
      <rPr>
        <strike/>
        <sz val="9"/>
        <rFont val="Arial"/>
        <family val="2"/>
      </rPr>
      <t xml:space="preserve"> </t>
    </r>
    <r>
      <rPr>
        <b/>
        <strike/>
        <sz val="9"/>
        <color indexed="10"/>
        <rFont val="Arial"/>
        <family val="2"/>
      </rPr>
      <t>férias</t>
    </r>
    <r>
      <rPr>
        <sz val="9"/>
        <rFont val="Arial"/>
        <family val="2"/>
      </rPr>
      <t xml:space="preserve"> e adicional de férias.
Nota 2:  O adicional de férias contido no Submódulo 2.1 corresponde a 1/3 (um terço) da remuneração que por sua vez é dividido por 12 (doze) conforme Nota 1 acima.
</t>
    </r>
    <r>
      <rPr>
        <b/>
        <strike/>
        <sz val="9"/>
        <color indexed="10"/>
        <rFont val="Arial"/>
        <family val="2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</si>
  <si>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r>
      <t xml:space="preserve">MÓD 2 = </t>
    </r>
    <r>
      <rPr>
        <sz val="10"/>
        <color indexed="10"/>
        <rFont val="Arial"/>
        <family val="2"/>
      </rPr>
      <t>(sem VA e VT)</t>
    </r>
  </si>
  <si>
    <r>
      <t xml:space="preserve">Substituto na cobertura de Afastamento Maternidade 
</t>
    </r>
    <r>
      <rPr>
        <b/>
        <sz val="8.5"/>
        <color indexed="10"/>
        <rFont val="Arial"/>
        <family val="2"/>
      </rPr>
      <t>Cálculo do valor = {[(MÓD1 + MÓD1 / 3)/12 + [(SUB2.2 + SUB2.3 -VA - VT+ MÓD3)]  x (4/12)} x 2%</t>
    </r>
  </si>
  <si>
    <r>
      <t xml:space="preserve">Substituto na cobertura de Afastamento Maternidade 
</t>
    </r>
    <r>
      <rPr>
        <b/>
        <sz val="8.5"/>
        <color indexed="10"/>
        <rFont val="Arial"/>
        <family val="2"/>
      </rPr>
      <t>Cálculo do valor = {[(MÓD1 + MÓD1 / 3)/12 + [(SUB2.2 + SUB2.3 - VA - VT + MÓD3)]  x (4/12)} x 2%</t>
    </r>
  </si>
  <si>
    <r>
      <t xml:space="preserve">Multa do FGTS  sobre o Aviso Prévio Trabalhado                                         </t>
    </r>
    <r>
      <rPr>
        <b/>
        <sz val="10"/>
        <color indexed="10"/>
        <rFont val="Arial"/>
        <family val="2"/>
      </rPr>
      <t>Cálculo do valor = [40%x8%x(Rem+13º+Férias+1/3xFérias)]x</t>
    </r>
    <r>
      <rPr>
        <b/>
        <sz val="10"/>
        <color indexed="12"/>
        <rFont val="Arial"/>
        <family val="2"/>
      </rPr>
      <t>100%</t>
    </r>
    <r>
      <rPr>
        <b/>
        <sz val="10"/>
        <color indexed="10"/>
        <rFont val="Arial"/>
        <family val="2"/>
      </rPr>
      <t xml:space="preserve"> dos empregados</t>
    </r>
  </si>
  <si>
    <r>
      <t>Aviso Previo Trabalhado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Cálculo do valor= [(Rem/30)x7]/12 meses do contratox</t>
    </r>
    <r>
      <rPr>
        <b/>
        <sz val="9"/>
        <color indexed="12"/>
        <rFont val="Arial"/>
        <family val="2"/>
      </rPr>
      <t>100%</t>
    </r>
    <r>
      <rPr>
        <b/>
        <sz val="9"/>
        <color indexed="10"/>
        <rFont val="Arial"/>
        <family val="2"/>
      </rPr>
      <t xml:space="preserve"> dos empregados </t>
    </r>
    <r>
      <rPr>
        <b/>
        <sz val="8"/>
        <color indexed="10"/>
        <rFont val="Arial"/>
        <family val="2"/>
      </rPr>
      <t xml:space="preserve">- ao final do contrato -  </t>
    </r>
    <r>
      <rPr>
        <b/>
        <sz val="10"/>
        <color indexed="10"/>
        <rFont val="Arial"/>
        <family val="2"/>
      </rPr>
      <t>acórdão do TCU nº 1.186/2017 - P.</t>
    </r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</si>
</sst>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* #,##0.00\ ;* \(#,##0.00\);* \-#\ ;@\ "/>
    <numFmt numFmtId="171" formatCode="&quot;R$ &quot;#,##0.00"/>
    <numFmt numFmtId="172" formatCode="#,##0.0"/>
    <numFmt numFmtId="173" formatCode="0.0"/>
    <numFmt numFmtId="174" formatCode="#,##0.0000"/>
    <numFmt numFmtId="175" formatCode="_(* #,##0.00_);_(* \(#,##0.00\);_(* \-??_);_(@_)"/>
    <numFmt numFmtId="176" formatCode="0;[Red]\-0"/>
    <numFmt numFmtId="177" formatCode="0.0000"/>
    <numFmt numFmtId="178" formatCode="0.0000%"/>
    <numFmt numFmtId="179" formatCode="#,##0.0000000"/>
    <numFmt numFmtId="180" formatCode="#,##0.00;[Red]#,##0.00"/>
    <numFmt numFmtId="181" formatCode="_(&quot;R$ &quot;* #,##0.00_);_(&quot;R$ &quot;* \(#,##0.00\);_(&quot;R$ &quot;* \-??_);_(@_)"/>
    <numFmt numFmtId="182" formatCode="&quot;R$&quot;\ #,##0.00"/>
    <numFmt numFmtId="183" formatCode="dd/mm/yy;@"/>
    <numFmt numFmtId="184" formatCode="[$R$]#,##0.00"/>
    <numFmt numFmtId="185" formatCode="0.0%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[$-416]dddd\,\ d&quot; de &quot;mmmm&quot; de &quot;yyyy"/>
    <numFmt numFmtId="191" formatCode="0.00000"/>
    <numFmt numFmtId="192" formatCode="0.000"/>
  </numFmts>
  <fonts count="104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1"/>
      <name val="Arial"/>
      <family val="2"/>
    </font>
    <font>
      <sz val="10"/>
      <color indexed="17"/>
      <name val="Arial"/>
      <family val="2"/>
    </font>
    <font>
      <b/>
      <sz val="12"/>
      <color indexed="21"/>
      <name val="Arial"/>
      <family val="2"/>
    </font>
    <font>
      <b/>
      <sz val="9"/>
      <color indexed="10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trike/>
      <sz val="10"/>
      <color indexed="17"/>
      <name val="Arial"/>
      <family val="2"/>
    </font>
    <font>
      <b/>
      <sz val="9"/>
      <color indexed="12"/>
      <name val="Arial"/>
      <family val="2"/>
    </font>
    <font>
      <b/>
      <sz val="8.5"/>
      <color indexed="10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5"/>
      <color indexed="18"/>
      <name val="Arial"/>
      <family val="2"/>
    </font>
    <font>
      <sz val="9"/>
      <color indexed="8"/>
      <name val="Arial"/>
      <family val="2"/>
    </font>
    <font>
      <sz val="15"/>
      <name val="Arial"/>
      <family val="2"/>
    </font>
    <font>
      <b/>
      <u val="single"/>
      <sz val="10"/>
      <name val="Arial"/>
      <family val="2"/>
    </font>
    <font>
      <b/>
      <sz val="15"/>
      <color indexed="10"/>
      <name val="Arial"/>
      <family val="2"/>
    </font>
    <font>
      <b/>
      <strike/>
      <sz val="11"/>
      <name val="Arial"/>
      <family val="2"/>
    </font>
    <font>
      <b/>
      <strike/>
      <sz val="11"/>
      <color indexed="10"/>
      <name val="Arial"/>
      <family val="2"/>
    </font>
    <font>
      <b/>
      <strike/>
      <sz val="9"/>
      <color indexed="10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/>
      <right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3" fillId="29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1" fontId="0" fillId="0" borderId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87" fillId="32" borderId="0" applyNumberFormat="0" applyBorder="0" applyAlignment="0" applyProtection="0"/>
    <xf numFmtId="0" fontId="88" fillId="21" borderId="5" applyNumberFormat="0" applyAlignment="0" applyProtection="0"/>
    <xf numFmtId="41" fontId="0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175" fontId="0" fillId="0" borderId="0" applyFill="0" applyBorder="0" applyAlignment="0" applyProtection="0"/>
    <xf numFmtId="170" fontId="0" fillId="0" borderId="0" applyBorder="0" applyProtection="0">
      <alignment/>
    </xf>
  </cellStyleXfs>
  <cellXfs count="73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vertical="center"/>
    </xf>
    <xf numFmtId="4" fontId="19" fillId="35" borderId="13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9" fontId="8" fillId="0" borderId="10" xfId="0" applyNumberFormat="1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left" vertical="center" wrapText="1"/>
    </xf>
    <xf numFmtId="178" fontId="8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right" vertical="center"/>
    </xf>
    <xf numFmtId="0" fontId="0" fillId="35" borderId="13" xfId="0" applyFill="1" applyBorder="1" applyAlignment="1">
      <alignment horizontal="right" vertical="center"/>
    </xf>
    <xf numFmtId="10" fontId="8" fillId="35" borderId="13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171" fontId="31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4" fontId="31" fillId="0" borderId="10" xfId="0" applyNumberFormat="1" applyFont="1" applyBorder="1" applyAlignment="1" applyProtection="1">
      <alignment vertical="center"/>
      <protection/>
    </xf>
    <xf numFmtId="3" fontId="31" fillId="0" borderId="10" xfId="0" applyNumberFormat="1" applyFont="1" applyBorder="1" applyAlignment="1" applyProtection="1">
      <alignment vertical="center"/>
      <protection/>
    </xf>
    <xf numFmtId="10" fontId="31" fillId="0" borderId="10" xfId="0" applyNumberFormat="1" applyFont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10" fontId="31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32" fillId="0" borderId="16" xfId="0" applyFont="1" applyFill="1" applyBorder="1" applyAlignment="1">
      <alignment horizontal="right" vertical="center" wrapText="1"/>
    </xf>
    <xf numFmtId="4" fontId="32" fillId="0" borderId="16" xfId="0" applyNumberFormat="1" applyFont="1" applyFill="1" applyBorder="1" applyAlignment="1">
      <alignment horizontal="left" vertical="center" wrapText="1"/>
    </xf>
    <xf numFmtId="0" fontId="32" fillId="35" borderId="16" xfId="0" applyFont="1" applyFill="1" applyBorder="1" applyAlignment="1">
      <alignment horizontal="right" vertical="center" wrapText="1"/>
    </xf>
    <xf numFmtId="0" fontId="32" fillId="35" borderId="16" xfId="0" applyFont="1" applyFill="1" applyBorder="1" applyAlignment="1">
      <alignment horizontal="justify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23" fillId="0" borderId="15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5" fontId="9" fillId="0" borderId="0" xfId="0" applyNumberFormat="1" applyFont="1" applyBorder="1" applyAlignment="1">
      <alignment horizontal="left"/>
    </xf>
    <xf numFmtId="175" fontId="9" fillId="34" borderId="0" xfId="0" applyNumberFormat="1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wrapText="1"/>
    </xf>
    <xf numFmtId="49" fontId="3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79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34" borderId="0" xfId="0" applyFont="1" applyFill="1" applyAlignment="1">
      <alignment horizontal="right" vertical="center" wrapText="1"/>
    </xf>
    <xf numFmtId="0" fontId="8" fillId="34" borderId="0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39" fontId="8" fillId="0" borderId="10" xfId="0" applyNumberFormat="1" applyFont="1" applyBorder="1" applyAlignment="1">
      <alignment horizontal="right"/>
    </xf>
    <xf numFmtId="39" fontId="8" fillId="0" borderId="10" xfId="0" applyNumberFormat="1" applyFont="1" applyBorder="1" applyAlignment="1">
      <alignment horizontal="right" vertical="center"/>
    </xf>
    <xf numFmtId="39" fontId="9" fillId="33" borderId="10" xfId="0" applyNumberFormat="1" applyFont="1" applyFill="1" applyBorder="1" applyAlignment="1">
      <alignment horizontal="right"/>
    </xf>
    <xf numFmtId="4" fontId="8" fillId="0" borderId="15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39" fontId="9" fillId="33" borderId="10" xfId="0" applyNumberFormat="1" applyFont="1" applyFill="1" applyBorder="1" applyAlignment="1">
      <alignment horizontal="right" vertical="center"/>
    </xf>
    <xf numFmtId="39" fontId="8" fillId="0" borderId="15" xfId="0" applyNumberFormat="1" applyFont="1" applyBorder="1" applyAlignment="1">
      <alignment horizontal="right"/>
    </xf>
    <xf numFmtId="39" fontId="9" fillId="0" borderId="15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39" fontId="9" fillId="0" borderId="13" xfId="0" applyNumberFormat="1" applyFont="1" applyBorder="1" applyAlignment="1">
      <alignment horizontal="right"/>
    </xf>
    <xf numFmtId="0" fontId="0" fillId="0" borderId="0" xfId="50" applyFont="1" applyAlignment="1" applyProtection="1">
      <alignment vertical="center"/>
      <protection/>
    </xf>
    <xf numFmtId="0" fontId="0" fillId="0" borderId="0" xfId="50" applyFont="1" applyAlignment="1" applyProtection="1">
      <alignment horizontal="center" vertical="center"/>
      <protection/>
    </xf>
    <xf numFmtId="170" fontId="42" fillId="0" borderId="0" xfId="65" applyFont="1" applyBorder="1" applyAlignment="1" applyProtection="1">
      <alignment horizontal="right" vertical="center"/>
      <protection/>
    </xf>
    <xf numFmtId="0" fontId="0" fillId="0" borderId="0" xfId="50" applyFont="1" applyProtection="1">
      <alignment/>
      <protection/>
    </xf>
    <xf numFmtId="0" fontId="0" fillId="0" borderId="0" xfId="50" applyFont="1" applyFill="1" applyBorder="1" applyAlignment="1" applyProtection="1">
      <alignment horizontal="center" vertical="center" wrapText="1"/>
      <protection/>
    </xf>
    <xf numFmtId="0" fontId="0" fillId="0" borderId="0" xfId="50" applyFont="1" applyFill="1" applyBorder="1" applyAlignment="1" applyProtection="1">
      <alignment horizontal="center" vertical="center"/>
      <protection/>
    </xf>
    <xf numFmtId="0" fontId="21" fillId="0" borderId="0" xfId="50" applyFont="1" applyBorder="1" applyAlignment="1" applyProtection="1">
      <alignment horizontal="center" vertical="center" wrapText="1"/>
      <protection/>
    </xf>
    <xf numFmtId="0" fontId="44" fillId="0" borderId="0" xfId="50" applyFont="1" applyBorder="1" applyAlignment="1" applyProtection="1">
      <alignment horizontal="center" vertical="center" wrapText="1"/>
      <protection/>
    </xf>
    <xf numFmtId="170" fontId="44" fillId="0" borderId="0" xfId="65" applyFont="1" applyBorder="1" applyAlignment="1" applyProtection="1">
      <alignment horizontal="right" vertical="center"/>
      <protection/>
    </xf>
    <xf numFmtId="0" fontId="0" fillId="0" borderId="0" xfId="50" applyFont="1" applyBorder="1" applyAlignment="1" applyProtection="1">
      <alignment vertical="center"/>
      <protection/>
    </xf>
    <xf numFmtId="0" fontId="20" fillId="0" borderId="0" xfId="0" applyFont="1" applyFill="1" applyBorder="1" applyAlignment="1">
      <alignment horizontal="center" vertical="center" wrapText="1"/>
    </xf>
    <xf numFmtId="170" fontId="20" fillId="0" borderId="0" xfId="65" applyFont="1" applyBorder="1" applyAlignment="1" applyProtection="1">
      <alignment horizontal="right" vertical="center"/>
      <protection/>
    </xf>
    <xf numFmtId="4" fontId="8" fillId="0" borderId="0" xfId="50" applyNumberFormat="1" applyFont="1" applyBorder="1" applyAlignment="1" applyProtection="1">
      <alignment vertical="center"/>
      <protection/>
    </xf>
    <xf numFmtId="4" fontId="44" fillId="0" borderId="0" xfId="50" applyNumberFormat="1" applyFont="1" applyBorder="1" applyAlignment="1" applyProtection="1">
      <alignment horizontal="right" vertical="center"/>
      <protection/>
    </xf>
    <xf numFmtId="0" fontId="0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96" fillId="0" borderId="0" xfId="50" applyFont="1" applyAlignment="1" applyProtection="1">
      <alignment vertical="center"/>
      <protection/>
    </xf>
    <xf numFmtId="0" fontId="97" fillId="0" borderId="0" xfId="50" applyFont="1" applyAlignment="1">
      <alignment/>
      <protection/>
    </xf>
    <xf numFmtId="0" fontId="98" fillId="0" borderId="0" xfId="50" applyFont="1" applyAlignment="1">
      <alignment/>
      <protection/>
    </xf>
    <xf numFmtId="0" fontId="99" fillId="0" borderId="0" xfId="50" applyFont="1" applyAlignment="1">
      <alignment/>
      <protection/>
    </xf>
    <xf numFmtId="49" fontId="96" fillId="0" borderId="0" xfId="50" applyNumberFormat="1" applyFont="1" applyAlignment="1" applyProtection="1">
      <alignment vertical="center"/>
      <protection/>
    </xf>
    <xf numFmtId="0" fontId="100" fillId="0" borderId="0" xfId="50" applyFont="1" applyBorder="1" applyAlignment="1">
      <alignment vertical="center"/>
      <protection/>
    </xf>
    <xf numFmtId="0" fontId="46" fillId="0" borderId="0" xfId="50" applyFont="1">
      <alignment/>
      <protection/>
    </xf>
    <xf numFmtId="0" fontId="5" fillId="10" borderId="18" xfId="50" applyFont="1" applyFill="1" applyBorder="1" applyAlignment="1">
      <alignment horizontal="center" vertical="center"/>
      <protection/>
    </xf>
    <xf numFmtId="0" fontId="5" fillId="10" borderId="19" xfId="50" applyFont="1" applyFill="1" applyBorder="1" applyAlignment="1">
      <alignment horizontal="center" vertical="center" wrapText="1"/>
      <protection/>
    </xf>
    <xf numFmtId="0" fontId="5" fillId="10" borderId="20" xfId="50" applyFont="1" applyFill="1" applyBorder="1" applyAlignment="1">
      <alignment horizontal="center" vertical="center" wrapText="1"/>
      <protection/>
    </xf>
    <xf numFmtId="0" fontId="2" fillId="0" borderId="21" xfId="50" applyFont="1" applyFill="1" applyBorder="1" applyAlignment="1">
      <alignment horizontal="justify" vertical="center" wrapText="1"/>
      <protection/>
    </xf>
    <xf numFmtId="4" fontId="10" fillId="0" borderId="22" xfId="48" applyNumberFormat="1" applyFont="1" applyFill="1" applyBorder="1" applyAlignment="1">
      <alignment vertical="center"/>
    </xf>
    <xf numFmtId="4" fontId="10" fillId="0" borderId="23" xfId="48" applyNumberFormat="1" applyFont="1" applyFill="1" applyBorder="1" applyAlignment="1">
      <alignment vertical="center"/>
    </xf>
    <xf numFmtId="4" fontId="10" fillId="0" borderId="24" xfId="48" applyNumberFormat="1" applyFont="1" applyFill="1" applyBorder="1" applyAlignment="1">
      <alignment vertical="center"/>
    </xf>
    <xf numFmtId="4" fontId="10" fillId="0" borderId="25" xfId="48" applyNumberFormat="1" applyFont="1" applyFill="1" applyBorder="1" applyAlignment="1">
      <alignment vertical="center"/>
    </xf>
    <xf numFmtId="0" fontId="5" fillId="36" borderId="26" xfId="50" applyFont="1" applyFill="1" applyBorder="1" applyAlignment="1">
      <alignment horizontal="right" vertical="center" wrapText="1"/>
      <protection/>
    </xf>
    <xf numFmtId="4" fontId="6" fillId="36" borderId="24" xfId="48" applyNumberFormat="1" applyFont="1" applyFill="1" applyBorder="1" applyAlignment="1">
      <alignment vertical="center"/>
    </xf>
    <xf numFmtId="4" fontId="6" fillId="36" borderId="25" xfId="48" applyNumberFormat="1" applyFont="1" applyFill="1" applyBorder="1" applyAlignment="1">
      <alignment vertical="center"/>
    </xf>
    <xf numFmtId="0" fontId="3" fillId="0" borderId="0" xfId="50" applyFont="1" applyBorder="1" applyAlignment="1">
      <alignment horizontal="center" vertical="center" wrapText="1"/>
      <protection/>
    </xf>
    <xf numFmtId="182" fontId="1" fillId="0" borderId="0" xfId="48" applyNumberFormat="1" applyFont="1" applyBorder="1" applyAlignment="1">
      <alignment horizontal="center" vertical="center"/>
    </xf>
    <xf numFmtId="0" fontId="3" fillId="0" borderId="0" xfId="50" applyFont="1" applyBorder="1" applyAlignment="1">
      <alignment horizontal="center" vertical="center"/>
      <protection/>
    </xf>
    <xf numFmtId="0" fontId="5" fillId="0" borderId="0" xfId="50" applyFont="1">
      <alignment/>
      <protection/>
    </xf>
    <xf numFmtId="0" fontId="2" fillId="0" borderId="0" xfId="50" applyFont="1">
      <alignment/>
      <protection/>
    </xf>
    <xf numFmtId="0" fontId="5" fillId="0" borderId="0" xfId="50" applyFont="1" applyAlignment="1">
      <alignment horizontal="right"/>
      <protection/>
    </xf>
    <xf numFmtId="0" fontId="2" fillId="0" borderId="0" xfId="50" applyFont="1" applyBorder="1">
      <alignment/>
      <protection/>
    </xf>
    <xf numFmtId="0" fontId="2" fillId="0" borderId="0" xfId="50" applyFont="1" applyBorder="1" applyAlignment="1">
      <alignment/>
      <protection/>
    </xf>
    <xf numFmtId="0" fontId="2" fillId="0" borderId="0" xfId="50" applyFont="1" applyAlignment="1">
      <alignment/>
      <protection/>
    </xf>
    <xf numFmtId="0" fontId="2" fillId="0" borderId="0" xfId="50" applyFont="1" applyBorder="1" applyAlignment="1">
      <alignment vertical="center"/>
      <protection/>
    </xf>
    <xf numFmtId="0" fontId="2" fillId="0" borderId="0" xfId="50" applyFont="1" applyAlignment="1">
      <alignment vertical="center"/>
      <protection/>
    </xf>
    <xf numFmtId="49" fontId="2" fillId="0" borderId="0" xfId="50" applyNumberFormat="1" applyFont="1" applyAlignment="1">
      <alignment horizontal="right" vertical="center"/>
      <protection/>
    </xf>
    <xf numFmtId="0" fontId="0" fillId="0" borderId="0" xfId="50" applyFont="1" applyAlignment="1">
      <alignment horizontal="center" vertical="center"/>
      <protection/>
    </xf>
    <xf numFmtId="0" fontId="96" fillId="0" borderId="0" xfId="50" applyFont="1" applyAlignment="1">
      <alignment vertical="center"/>
      <protection/>
    </xf>
    <xf numFmtId="0" fontId="0" fillId="0" borderId="0" xfId="50" applyFont="1" applyAlignment="1">
      <alignment vertical="center"/>
      <protection/>
    </xf>
    <xf numFmtId="49" fontId="8" fillId="0" borderId="0" xfId="50" applyNumberFormat="1" applyFont="1" applyAlignment="1" applyProtection="1">
      <alignment vertical="center"/>
      <protection hidden="1" locked="0"/>
    </xf>
    <xf numFmtId="0" fontId="101" fillId="0" borderId="0" xfId="50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24" xfId="50" applyFont="1" applyBorder="1" applyAlignment="1">
      <alignment horizontal="justify" vertical="center" wrapText="1"/>
      <protection/>
    </xf>
    <xf numFmtId="0" fontId="0" fillId="0" borderId="22" xfId="50" applyFont="1" applyBorder="1" applyAlignment="1">
      <alignment horizontal="left" vertical="center"/>
      <protection/>
    </xf>
    <xf numFmtId="0" fontId="0" fillId="0" borderId="24" xfId="50" applyFont="1" applyBorder="1" applyAlignment="1">
      <alignment horizontal="left" vertical="center"/>
      <protection/>
    </xf>
    <xf numFmtId="0" fontId="0" fillId="37" borderId="0" xfId="50" applyFont="1" applyFill="1" applyAlignment="1">
      <alignment horizontal="center" vertical="center"/>
      <protection/>
    </xf>
    <xf numFmtId="0" fontId="8" fillId="0" borderId="0" xfId="50" applyFont="1" applyAlignment="1">
      <alignment horizontal="center" vertical="center"/>
      <protection/>
    </xf>
    <xf numFmtId="0" fontId="8" fillId="37" borderId="10" xfId="50" applyFont="1" applyFill="1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 wrapText="1"/>
      <protection/>
    </xf>
    <xf numFmtId="0" fontId="0" fillId="37" borderId="10" xfId="50" applyFont="1" applyFill="1" applyBorder="1" applyAlignment="1">
      <alignment horizontal="center" vertical="center" wrapText="1"/>
      <protection/>
    </xf>
    <xf numFmtId="0" fontId="0" fillId="0" borderId="13" xfId="50" applyFont="1" applyBorder="1" applyAlignment="1">
      <alignment horizontal="center" vertical="center" wrapText="1"/>
      <protection/>
    </xf>
    <xf numFmtId="0" fontId="0" fillId="0" borderId="13" xfId="50" applyFont="1" applyBorder="1" applyAlignment="1">
      <alignment horizontal="left" vertical="center" wrapText="1"/>
      <protection/>
    </xf>
    <xf numFmtId="3" fontId="0" fillId="0" borderId="13" xfId="50" applyNumberFormat="1" applyFont="1" applyBorder="1" applyAlignment="1" applyProtection="1">
      <alignment horizontal="center" vertical="center"/>
      <protection hidden="1" locked="0"/>
    </xf>
    <xf numFmtId="0" fontId="0" fillId="0" borderId="0" xfId="50" applyFont="1" applyAlignment="1">
      <alignment horizontal="right" vertical="center"/>
      <protection/>
    </xf>
    <xf numFmtId="183" fontId="0" fillId="0" borderId="0" xfId="50" applyNumberFormat="1" applyFont="1" applyAlignment="1">
      <alignment horizontal="center" vertical="center"/>
      <protection/>
    </xf>
    <xf numFmtId="183" fontId="3" fillId="0" borderId="0" xfId="50" applyNumberFormat="1" applyFont="1" applyAlignment="1">
      <alignment horizontal="left" vertical="center"/>
      <protection/>
    </xf>
    <xf numFmtId="182" fontId="3" fillId="0" borderId="0" xfId="50" applyNumberFormat="1" applyFont="1" applyAlignment="1">
      <alignment horizontal="left" vertical="center"/>
      <protection/>
    </xf>
    <xf numFmtId="185" fontId="0" fillId="0" borderId="0" xfId="50" applyNumberFormat="1" applyFont="1" applyAlignment="1">
      <alignment horizontal="center" vertical="center"/>
      <protection/>
    </xf>
    <xf numFmtId="10" fontId="0" fillId="0" borderId="0" xfId="50" applyNumberFormat="1" applyFont="1" applyAlignment="1">
      <alignment horizontal="center" vertical="center"/>
      <protection/>
    </xf>
    <xf numFmtId="3" fontId="0" fillId="0" borderId="0" xfId="50" applyNumberFormat="1" applyFont="1" applyAlignment="1">
      <alignment horizontal="center" vertical="center"/>
      <protection/>
    </xf>
    <xf numFmtId="3" fontId="102" fillId="0" borderId="0" xfId="50" applyNumberFormat="1" applyFont="1" applyAlignment="1">
      <alignment horizontal="left" vertical="center"/>
      <protection/>
    </xf>
    <xf numFmtId="182" fontId="0" fillId="0" borderId="0" xfId="50" applyNumberFormat="1" applyFont="1" applyAlignment="1">
      <alignment horizontal="center" vertical="center"/>
      <protection/>
    </xf>
    <xf numFmtId="0" fontId="8" fillId="0" borderId="0" xfId="50" applyFont="1" applyAlignment="1">
      <alignment vertical="center"/>
      <protection/>
    </xf>
    <xf numFmtId="10" fontId="0" fillId="0" borderId="0" xfId="50" applyNumberFormat="1" applyFont="1" applyAlignment="1" applyProtection="1">
      <alignment horizontal="center" vertical="center"/>
      <protection hidden="1" locked="0"/>
    </xf>
    <xf numFmtId="10" fontId="0" fillId="0" borderId="0" xfId="50" applyNumberFormat="1" applyFont="1" applyAlignment="1">
      <alignment vertical="center"/>
      <protection/>
    </xf>
    <xf numFmtId="0" fontId="0" fillId="37" borderId="14" xfId="50" applyFont="1" applyFill="1" applyBorder="1" applyAlignment="1">
      <alignment horizontal="left" vertical="center" wrapText="1"/>
      <protection/>
    </xf>
    <xf numFmtId="0" fontId="0" fillId="0" borderId="24" xfId="0" applyFont="1" applyBorder="1" applyAlignment="1">
      <alignment horizontal="left" vertical="center" wrapText="1"/>
    </xf>
    <xf numFmtId="0" fontId="8" fillId="38" borderId="24" xfId="0" applyFont="1" applyFill="1" applyBorder="1" applyAlignment="1">
      <alignment horizontal="left" vertical="center" wrapText="1"/>
    </xf>
    <xf numFmtId="2" fontId="8" fillId="38" borderId="24" xfId="0" applyNumberFormat="1" applyFont="1" applyFill="1" applyBorder="1" applyAlignment="1">
      <alignment/>
    </xf>
    <xf numFmtId="9" fontId="8" fillId="38" borderId="24" xfId="0" applyNumberFormat="1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0" fillId="0" borderId="27" xfId="0" applyBorder="1" applyAlignment="1">
      <alignment/>
    </xf>
    <xf numFmtId="0" fontId="8" fillId="38" borderId="24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vertical="center" wrapText="1"/>
    </xf>
    <xf numFmtId="2" fontId="0" fillId="0" borderId="24" xfId="0" applyNumberFormat="1" applyFont="1" applyBorder="1" applyAlignment="1">
      <alignment vertical="center" wrapText="1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2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0" fontId="8" fillId="0" borderId="27" xfId="0" applyFont="1" applyBorder="1" applyAlignment="1">
      <alignment vertical="center"/>
    </xf>
    <xf numFmtId="2" fontId="0" fillId="0" borderId="27" xfId="0" applyNumberFormat="1" applyFont="1" applyBorder="1" applyAlignment="1">
      <alignment vertical="center" wrapText="1"/>
    </xf>
    <xf numFmtId="0" fontId="0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2" fontId="0" fillId="0" borderId="29" xfId="0" applyNumberFormat="1" applyFont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8" fillId="38" borderId="24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38" borderId="24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38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9" fontId="8" fillId="39" borderId="10" xfId="0" applyNumberFormat="1" applyFont="1" applyFill="1" applyBorder="1" applyAlignment="1">
      <alignment horizontal="left" vertical="center" wrapText="1"/>
    </xf>
    <xf numFmtId="177" fontId="8" fillId="39" borderId="10" xfId="0" applyNumberFormat="1" applyFont="1" applyFill="1" applyBorder="1" applyAlignment="1">
      <alignment horizontal="left" vertical="center" wrapText="1"/>
    </xf>
    <xf numFmtId="171" fontId="31" fillId="39" borderId="10" xfId="0" applyNumberFormat="1" applyFont="1" applyFill="1" applyBorder="1" applyAlignment="1">
      <alignment vertical="center"/>
    </xf>
    <xf numFmtId="3" fontId="31" fillId="39" borderId="10" xfId="0" applyNumberFormat="1" applyFont="1" applyFill="1" applyBorder="1" applyAlignment="1" applyProtection="1">
      <alignment vertical="center"/>
      <protection/>
    </xf>
    <xf numFmtId="3" fontId="31" fillId="39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" fontId="24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5" fillId="40" borderId="24" xfId="50" applyFont="1" applyFill="1" applyBorder="1" applyAlignment="1" applyProtection="1">
      <alignment horizontal="center" vertical="center" wrapText="1"/>
      <protection/>
    </xf>
    <xf numFmtId="0" fontId="44" fillId="40" borderId="24" xfId="50" applyFont="1" applyFill="1" applyBorder="1" applyAlignment="1" applyProtection="1">
      <alignment horizontal="center" vertical="center" wrapText="1"/>
      <protection/>
    </xf>
    <xf numFmtId="170" fontId="44" fillId="40" borderId="24" xfId="65" applyFont="1" applyFill="1" applyBorder="1" applyAlignment="1" applyProtection="1">
      <alignment horizontal="center" vertical="center" wrapText="1"/>
      <protection/>
    </xf>
    <xf numFmtId="0" fontId="20" fillId="0" borderId="24" xfId="50" applyFont="1" applyBorder="1" applyAlignment="1" applyProtection="1">
      <alignment horizontal="left" vertical="center" wrapText="1"/>
      <protection/>
    </xf>
    <xf numFmtId="0" fontId="20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173" fontId="0" fillId="0" borderId="24" xfId="50" applyNumberFormat="1" applyFont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>
      <alignment horizontal="left" vertical="center"/>
    </xf>
    <xf numFmtId="0" fontId="0" fillId="0" borderId="24" xfId="50" applyFont="1" applyBorder="1" applyAlignment="1" applyProtection="1">
      <alignment vertical="center" wrapText="1"/>
      <protection/>
    </xf>
    <xf numFmtId="0" fontId="0" fillId="0" borderId="24" xfId="50" applyFont="1" applyBorder="1" applyAlignment="1" applyProtection="1">
      <alignment horizontal="center" vertical="center"/>
      <protection/>
    </xf>
    <xf numFmtId="0" fontId="0" fillId="0" borderId="24" xfId="50" applyFont="1" applyBorder="1" applyAlignment="1" applyProtection="1">
      <alignment horizontal="left" vertical="center" wrapText="1"/>
      <protection/>
    </xf>
    <xf numFmtId="0" fontId="0" fillId="0" borderId="24" xfId="50" applyFont="1" applyBorder="1" applyAlignment="1" applyProtection="1">
      <alignment horizontal="center" vertical="center" wrapText="1"/>
      <protection/>
    </xf>
    <xf numFmtId="0" fontId="43" fillId="40" borderId="24" xfId="50" applyFont="1" applyFill="1" applyBorder="1" applyAlignment="1" applyProtection="1">
      <alignment horizontal="center" vertical="center" wrapText="1"/>
      <protection/>
    </xf>
    <xf numFmtId="4" fontId="20" fillId="0" borderId="24" xfId="65" applyNumberFormat="1" applyFont="1" applyBorder="1" applyAlignment="1" applyProtection="1">
      <alignment horizontal="right" vertical="center"/>
      <protection/>
    </xf>
    <xf numFmtId="4" fontId="8" fillId="40" borderId="24" xfId="65" applyNumberFormat="1" applyFont="1" applyFill="1" applyBorder="1" applyAlignment="1" applyProtection="1">
      <alignment horizontal="right" vertical="center"/>
      <protection/>
    </xf>
    <xf numFmtId="0" fontId="45" fillId="40" borderId="24" xfId="50" applyFont="1" applyFill="1" applyBorder="1" applyAlignment="1" applyProtection="1">
      <alignment horizontal="center" vertical="center"/>
      <protection/>
    </xf>
    <xf numFmtId="4" fontId="0" fillId="0" borderId="24" xfId="50" applyNumberFormat="1" applyFont="1" applyBorder="1" applyAlignment="1" applyProtection="1">
      <alignment vertical="center"/>
      <protection/>
    </xf>
    <xf numFmtId="4" fontId="8" fillId="40" borderId="24" xfId="50" applyNumberFormat="1" applyFont="1" applyFill="1" applyBorder="1" applyAlignment="1" applyProtection="1">
      <alignment vertical="center"/>
      <protection/>
    </xf>
    <xf numFmtId="0" fontId="0" fillId="37" borderId="16" xfId="50" applyFont="1" applyFill="1" applyBorder="1" applyAlignment="1">
      <alignment horizontal="center" vertical="center" wrapText="1"/>
      <protection/>
    </xf>
    <xf numFmtId="0" fontId="0" fillId="37" borderId="30" xfId="50" applyFont="1" applyFill="1" applyBorder="1" applyAlignment="1">
      <alignment horizontal="center" vertical="center" wrapText="1"/>
      <protection/>
    </xf>
    <xf numFmtId="0" fontId="0" fillId="37" borderId="30" xfId="50" applyFont="1" applyFill="1" applyBorder="1" applyAlignment="1">
      <alignment horizontal="left" vertical="center" wrapText="1"/>
      <protection/>
    </xf>
    <xf numFmtId="0" fontId="0" fillId="0" borderId="30" xfId="50" applyFont="1" applyFill="1" applyBorder="1" applyAlignment="1">
      <alignment horizontal="left" vertical="center" wrapText="1"/>
      <protection/>
    </xf>
    <xf numFmtId="3" fontId="0" fillId="0" borderId="30" xfId="50" applyNumberFormat="1" applyFont="1" applyFill="1" applyBorder="1" applyAlignment="1" applyProtection="1">
      <alignment horizontal="center" vertical="center"/>
      <protection hidden="1" locked="0"/>
    </xf>
    <xf numFmtId="0" fontId="0" fillId="37" borderId="12" xfId="50" applyFont="1" applyFill="1" applyBorder="1" applyAlignment="1">
      <alignment horizontal="left" vertical="center" wrapText="1"/>
      <protection/>
    </xf>
    <xf numFmtId="4" fontId="24" fillId="0" borderId="0" xfId="0" applyNumberFormat="1" applyFont="1" applyBorder="1" applyAlignment="1">
      <alignment vertical="center"/>
    </xf>
    <xf numFmtId="4" fontId="24" fillId="0" borderId="31" xfId="0" applyNumberFormat="1" applyFont="1" applyBorder="1" applyAlignment="1">
      <alignment vertical="center"/>
    </xf>
    <xf numFmtId="175" fontId="0" fillId="0" borderId="24" xfId="64" applyBorder="1" applyAlignment="1">
      <alignment/>
    </xf>
    <xf numFmtId="171" fontId="4" fillId="0" borderId="10" xfId="0" applyNumberFormat="1" applyFont="1" applyFill="1" applyBorder="1" applyAlignment="1">
      <alignment vertical="center" wrapText="1"/>
    </xf>
    <xf numFmtId="171" fontId="4" fillId="0" borderId="32" xfId="0" applyNumberFormat="1" applyFont="1" applyFill="1" applyBorder="1" applyAlignment="1">
      <alignment vertical="center" wrapText="1"/>
    </xf>
    <xf numFmtId="10" fontId="8" fillId="39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33" xfId="50" applyFont="1" applyBorder="1" applyAlignment="1">
      <alignment/>
      <protection/>
    </xf>
    <xf numFmtId="0" fontId="2" fillId="0" borderId="33" xfId="50" applyFont="1" applyBorder="1" applyAlignment="1">
      <alignment/>
      <protection/>
    </xf>
    <xf numFmtId="0" fontId="2" fillId="0" borderId="0" xfId="50" applyFont="1" applyAlignment="1">
      <alignment/>
      <protection/>
    </xf>
    <xf numFmtId="175" fontId="0" fillId="41" borderId="10" xfId="64" applyFill="1" applyBorder="1" applyAlignment="1" applyProtection="1">
      <alignment horizontal="center" vertical="center"/>
      <protection hidden="1" locked="0"/>
    </xf>
    <xf numFmtId="175" fontId="0" fillId="41" borderId="12" xfId="64" applyFill="1" applyBorder="1" applyAlignment="1" applyProtection="1">
      <alignment horizontal="center" vertical="center"/>
      <protection hidden="1" locked="0"/>
    </xf>
    <xf numFmtId="175" fontId="0" fillId="41" borderId="16" xfId="64" applyFill="1" applyBorder="1" applyAlignment="1" applyProtection="1">
      <alignment horizontal="center" vertical="center"/>
      <protection hidden="1" locked="0"/>
    </xf>
    <xf numFmtId="4" fontId="8" fillId="0" borderId="13" xfId="50" applyNumberFormat="1" applyFont="1" applyBorder="1" applyAlignment="1" applyProtection="1">
      <alignment horizontal="center" vertical="center"/>
      <protection hidden="1" locked="0"/>
    </xf>
    <xf numFmtId="4" fontId="8" fillId="0" borderId="30" xfId="50" applyNumberFormat="1" applyFont="1" applyFill="1" applyBorder="1" applyAlignment="1" applyProtection="1">
      <alignment horizontal="center" vertical="center"/>
      <protection hidden="1" locked="0"/>
    </xf>
    <xf numFmtId="0" fontId="8" fillId="39" borderId="24" xfId="50" applyFont="1" applyFill="1" applyBorder="1" applyAlignment="1">
      <alignment vertical="center"/>
      <protection/>
    </xf>
    <xf numFmtId="10" fontId="0" fillId="39" borderId="24" xfId="52" applyNumberFormat="1" applyFill="1" applyBorder="1" applyAlignment="1" applyProtection="1">
      <alignment horizontal="center" vertical="center"/>
      <protection hidden="1" locked="0"/>
    </xf>
    <xf numFmtId="0" fontId="0" fillId="0" borderId="24" xfId="50" applyFont="1" applyBorder="1" applyAlignment="1">
      <alignment horizontal="right" vertical="center"/>
      <protection/>
    </xf>
    <xf numFmtId="0" fontId="0" fillId="0" borderId="24" xfId="50" applyFont="1" applyBorder="1" applyAlignment="1">
      <alignment horizontal="right" vertical="center"/>
      <protection/>
    </xf>
    <xf numFmtId="0" fontId="0" fillId="39" borderId="24" xfId="50" applyFont="1" applyFill="1" applyBorder="1" applyAlignment="1" applyProtection="1">
      <alignment horizontal="center" vertical="center"/>
      <protection hidden="1" locked="0"/>
    </xf>
    <xf numFmtId="183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182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0" fontId="0" fillId="37" borderId="24" xfId="50" applyFont="1" applyFill="1" applyBorder="1" applyAlignment="1">
      <alignment horizontal="right" vertical="center"/>
      <protection/>
    </xf>
    <xf numFmtId="172" fontId="0" fillId="41" borderId="24" xfId="50" applyNumberFormat="1" applyFont="1" applyFill="1" applyBorder="1" applyAlignment="1" applyProtection="1">
      <alignment horizontal="center" vertical="center"/>
      <protection hidden="1" locked="0"/>
    </xf>
    <xf numFmtId="185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4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3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0" fontId="8" fillId="0" borderId="24" xfId="50" applyFont="1" applyBorder="1" applyAlignment="1">
      <alignment horizontal="center" vertical="center"/>
      <protection/>
    </xf>
    <xf numFmtId="10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182" fontId="0" fillId="0" borderId="0" xfId="50" applyNumberFormat="1" applyFont="1" applyFill="1" applyBorder="1" applyAlignment="1" applyProtection="1">
      <alignment horizontal="center" vertical="center"/>
      <protection hidden="1" locked="0"/>
    </xf>
    <xf numFmtId="170" fontId="8" fillId="40" borderId="24" xfId="65" applyFont="1" applyFill="1" applyBorder="1" applyAlignment="1" applyProtection="1">
      <alignment horizontal="right" vertical="center"/>
      <protection/>
    </xf>
    <xf numFmtId="0" fontId="20" fillId="0" borderId="24" xfId="50" applyFont="1" applyBorder="1" applyAlignment="1" applyProtection="1">
      <alignment horizontal="center" vertical="center" wrapText="1"/>
      <protection/>
    </xf>
    <xf numFmtId="0" fontId="0" fillId="0" borderId="24" xfId="50" applyFont="1" applyBorder="1" applyAlignment="1" applyProtection="1">
      <alignment horizontal="left" vertical="center"/>
      <protection/>
    </xf>
    <xf numFmtId="0" fontId="20" fillId="0" borderId="24" xfId="50" applyFont="1" applyFill="1" applyBorder="1" applyAlignment="1" applyProtection="1">
      <alignment horizontal="left" vertical="center" wrapText="1"/>
      <protection/>
    </xf>
    <xf numFmtId="0" fontId="20" fillId="0" borderId="24" xfId="50" applyFont="1" applyFill="1" applyBorder="1" applyAlignment="1" applyProtection="1">
      <alignment horizontal="center" vertical="center" wrapText="1"/>
      <protection/>
    </xf>
    <xf numFmtId="0" fontId="0" fillId="0" borderId="24" xfId="50" applyFont="1" applyFill="1" applyBorder="1" applyAlignment="1" applyProtection="1">
      <alignment horizontal="center" vertical="center" wrapText="1"/>
      <protection/>
    </xf>
    <xf numFmtId="175" fontId="0" fillId="42" borderId="24" xfId="64" applyFill="1" applyBorder="1" applyAlignment="1" applyProtection="1">
      <alignment horizontal="right" vertical="center"/>
      <protection hidden="1" locked="0"/>
    </xf>
    <xf numFmtId="175" fontId="0" fillId="0" borderId="24" xfId="64" applyBorder="1" applyAlignment="1" applyProtection="1">
      <alignment horizontal="center" vertical="center" wrapText="1"/>
      <protection/>
    </xf>
    <xf numFmtId="175" fontId="0" fillId="0" borderId="24" xfId="64" applyFill="1" applyBorder="1" applyAlignment="1" applyProtection="1">
      <alignment horizontal="center" vertical="center" wrapText="1"/>
      <protection/>
    </xf>
    <xf numFmtId="1" fontId="0" fillId="0" borderId="24" xfId="50" applyNumberFormat="1" applyFont="1" applyBorder="1" applyAlignment="1" applyProtection="1">
      <alignment horizontal="center" vertical="center"/>
      <protection/>
    </xf>
    <xf numFmtId="170" fontId="8" fillId="40" borderId="24" xfId="65" applyFont="1" applyFill="1" applyBorder="1" applyAlignment="1" applyProtection="1">
      <alignment horizontal="center" vertical="center" wrapText="1"/>
      <protection/>
    </xf>
    <xf numFmtId="175" fontId="0" fillId="0" borderId="24" xfId="64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175" fontId="0" fillId="38" borderId="24" xfId="64" applyFill="1" applyBorder="1" applyAlignment="1">
      <alignment/>
    </xf>
    <xf numFmtId="0" fontId="0" fillId="0" borderId="0" xfId="50">
      <alignment/>
      <protection/>
    </xf>
    <xf numFmtId="175" fontId="8" fillId="38" borderId="24" xfId="64" applyFont="1" applyFill="1" applyBorder="1" applyAlignment="1">
      <alignment vertical="center"/>
    </xf>
    <xf numFmtId="175" fontId="8" fillId="38" borderId="24" xfId="64" applyFont="1" applyFill="1" applyBorder="1" applyAlignment="1">
      <alignment vertical="center" wrapText="1"/>
    </xf>
    <xf numFmtId="4" fontId="8" fillId="38" borderId="24" xfId="52" applyNumberFormat="1" applyFont="1" applyFill="1" applyBorder="1" applyAlignment="1">
      <alignment vertical="center"/>
    </xf>
    <xf numFmtId="4" fontId="8" fillId="38" borderId="24" xfId="52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24" xfId="50" applyFont="1" applyBorder="1" applyAlignment="1" applyProtection="1">
      <alignment horizontal="left" vertical="center" wrapText="1"/>
      <protection/>
    </xf>
    <xf numFmtId="0" fontId="0" fillId="0" borderId="24" xfId="50" applyFont="1" applyBorder="1" applyAlignment="1" applyProtection="1">
      <alignment vertical="center" wrapText="1"/>
      <protection/>
    </xf>
    <xf numFmtId="43" fontId="0" fillId="0" borderId="11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vertical="center" wrapText="1"/>
    </xf>
    <xf numFmtId="0" fontId="0" fillId="0" borderId="24" xfId="0" applyFont="1" applyBorder="1" applyAlignment="1">
      <alignment vertical="center"/>
    </xf>
    <xf numFmtId="2" fontId="0" fillId="0" borderId="24" xfId="0" applyNumberFormat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37" borderId="24" xfId="0" applyFont="1" applyFill="1" applyBorder="1" applyAlignment="1">
      <alignment/>
    </xf>
    <xf numFmtId="0" fontId="8" fillId="37" borderId="24" xfId="0" applyFont="1" applyFill="1" applyBorder="1" applyAlignment="1">
      <alignment horizontal="right" vertical="center"/>
    </xf>
    <xf numFmtId="4" fontId="20" fillId="42" borderId="24" xfId="65" applyNumberFormat="1" applyFont="1" applyFill="1" applyBorder="1" applyAlignment="1" applyProtection="1">
      <alignment horizontal="right" vertical="center"/>
      <protection hidden="1" locked="0"/>
    </xf>
    <xf numFmtId="0" fontId="0" fillId="0" borderId="24" xfId="50" applyFont="1" applyBorder="1" applyAlignment="1" applyProtection="1">
      <alignment horizontal="center" vertical="center"/>
      <protection/>
    </xf>
    <xf numFmtId="0" fontId="20" fillId="0" borderId="24" xfId="5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03" fillId="0" borderId="0" xfId="0" applyFont="1" applyFill="1" applyBorder="1" applyAlignment="1">
      <alignment/>
    </xf>
    <xf numFmtId="0" fontId="20" fillId="0" borderId="0" xfId="50" applyFont="1" applyFill="1" applyBorder="1" applyAlignment="1">
      <alignment horizontal="left" vertical="center" wrapText="1"/>
      <protection/>
    </xf>
    <xf numFmtId="0" fontId="0" fillId="0" borderId="0" xfId="50" applyFont="1" applyFill="1" applyBorder="1" applyAlignment="1">
      <alignment horizontal="center" vertical="center" wrapText="1"/>
      <protection/>
    </xf>
    <xf numFmtId="0" fontId="20" fillId="0" borderId="0" xfId="50" applyFont="1" applyFill="1" applyBorder="1" applyAlignment="1">
      <alignment horizontal="center" vertical="center" wrapText="1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left" vertical="center" wrapText="1"/>
      <protection/>
    </xf>
    <xf numFmtId="0" fontId="0" fillId="0" borderId="0" xfId="50" applyFont="1" applyFill="1" applyBorder="1" applyAlignment="1">
      <alignment horizontal="left" vertical="center"/>
      <protection/>
    </xf>
    <xf numFmtId="173" fontId="0" fillId="0" borderId="0" xfId="50" applyNumberFormat="1" applyFont="1" applyFill="1" applyBorder="1" applyAlignment="1">
      <alignment horizontal="center" vertical="center"/>
      <protection/>
    </xf>
    <xf numFmtId="1" fontId="0" fillId="0" borderId="0" xfId="50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0" fillId="0" borderId="0" xfId="50" applyFont="1" applyFill="1" applyBorder="1" applyAlignment="1">
      <alignment vertical="center" wrapText="1"/>
      <protection/>
    </xf>
    <xf numFmtId="0" fontId="0" fillId="0" borderId="0" xfId="50" applyFont="1" applyFill="1" applyBorder="1" applyAlignment="1">
      <alignment vertical="center" wrapText="1"/>
      <protection/>
    </xf>
    <xf numFmtId="0" fontId="0" fillId="43" borderId="24" xfId="50" applyFill="1" applyBorder="1" applyAlignment="1">
      <alignment horizontal="center" vertical="center" wrapText="1"/>
      <protection/>
    </xf>
    <xf numFmtId="0" fontId="0" fillId="43" borderId="24" xfId="50" applyFill="1" applyBorder="1" applyAlignment="1">
      <alignment horizontal="center" vertical="center"/>
      <protection/>
    </xf>
    <xf numFmtId="173" fontId="0" fillId="43" borderId="24" xfId="50" applyNumberFormat="1" applyFill="1" applyBorder="1" applyAlignment="1">
      <alignment horizontal="center" vertical="center"/>
      <protection/>
    </xf>
    <xf numFmtId="1" fontId="0" fillId="43" borderId="24" xfId="50" applyNumberFormat="1" applyFill="1" applyBorder="1" applyAlignment="1">
      <alignment horizontal="center" vertical="center"/>
      <protection/>
    </xf>
    <xf numFmtId="0" fontId="20" fillId="43" borderId="24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8" fillId="36" borderId="34" xfId="50" applyFont="1" applyFill="1" applyBorder="1" applyAlignment="1">
      <alignment horizontal="center" vertical="center"/>
      <protection/>
    </xf>
    <xf numFmtId="0" fontId="8" fillId="36" borderId="35" xfId="50" applyFont="1" applyFill="1" applyBorder="1" applyAlignment="1">
      <alignment horizontal="center" vertical="center"/>
      <protection/>
    </xf>
    <xf numFmtId="0" fontId="8" fillId="36" borderId="36" xfId="50" applyFont="1" applyFill="1" applyBorder="1" applyAlignment="1">
      <alignment horizontal="center" vertical="center"/>
      <protection/>
    </xf>
    <xf numFmtId="0" fontId="103" fillId="44" borderId="34" xfId="50" applyFont="1" applyFill="1" applyBorder="1" applyAlignment="1">
      <alignment horizontal="left" vertical="center" wrapText="1"/>
      <protection/>
    </xf>
    <xf numFmtId="0" fontId="103" fillId="44" borderId="35" xfId="50" applyFont="1" applyFill="1" applyBorder="1" applyAlignment="1">
      <alignment horizontal="left" vertical="center" wrapText="1"/>
      <protection/>
    </xf>
    <xf numFmtId="0" fontId="103" fillId="44" borderId="36" xfId="50" applyFont="1" applyFill="1" applyBorder="1" applyAlignment="1">
      <alignment horizontal="left" vertical="center" wrapText="1"/>
      <protection/>
    </xf>
    <xf numFmtId="0" fontId="0" fillId="44" borderId="34" xfId="50" applyFont="1" applyFill="1" applyBorder="1" applyAlignment="1">
      <alignment horizontal="left" vertical="center"/>
      <protection/>
    </xf>
    <xf numFmtId="0" fontId="0" fillId="44" borderId="35" xfId="50" applyFont="1" applyFill="1" applyBorder="1" applyAlignment="1">
      <alignment horizontal="left" vertical="center"/>
      <protection/>
    </xf>
    <xf numFmtId="0" fontId="0" fillId="44" borderId="36" xfId="50" applyFont="1" applyFill="1" applyBorder="1" applyAlignment="1">
      <alignment horizontal="left" vertical="center"/>
      <protection/>
    </xf>
    <xf numFmtId="49" fontId="0" fillId="44" borderId="34" xfId="50" applyNumberFormat="1" applyFont="1" applyFill="1" applyBorder="1" applyAlignment="1">
      <alignment horizontal="left" vertical="center"/>
      <protection/>
    </xf>
    <xf numFmtId="49" fontId="0" fillId="44" borderId="35" xfId="50" applyNumberFormat="1" applyFont="1" applyFill="1" applyBorder="1" applyAlignment="1">
      <alignment horizontal="left" vertical="center"/>
      <protection/>
    </xf>
    <xf numFmtId="49" fontId="0" fillId="44" borderId="36" xfId="50" applyNumberFormat="1" applyFont="1" applyFill="1" applyBorder="1" applyAlignment="1">
      <alignment horizontal="left" vertical="center"/>
      <protection/>
    </xf>
    <xf numFmtId="49" fontId="0" fillId="44" borderId="34" xfId="50" applyNumberFormat="1" applyFont="1" applyFill="1" applyBorder="1" applyAlignment="1" applyProtection="1">
      <alignment horizontal="left" vertical="center"/>
      <protection hidden="1" locked="0"/>
    </xf>
    <xf numFmtId="49" fontId="0" fillId="44" borderId="35" xfId="50" applyNumberFormat="1" applyFont="1" applyFill="1" applyBorder="1" applyAlignment="1" applyProtection="1">
      <alignment horizontal="left" vertical="center"/>
      <protection hidden="1" locked="0"/>
    </xf>
    <xf numFmtId="49" fontId="0" fillId="44" borderId="36" xfId="50" applyNumberFormat="1" applyFont="1" applyFill="1" applyBorder="1" applyAlignment="1" applyProtection="1">
      <alignment horizontal="left" vertical="center"/>
      <protection hidden="1" locked="0"/>
    </xf>
    <xf numFmtId="22" fontId="0" fillId="37" borderId="34" xfId="50" applyNumberFormat="1" applyFont="1" applyFill="1" applyBorder="1" applyAlignment="1">
      <alignment horizontal="left" vertical="center"/>
      <protection/>
    </xf>
    <xf numFmtId="22" fontId="0" fillId="37" borderId="35" xfId="50" applyNumberFormat="1" applyFont="1" applyFill="1" applyBorder="1" applyAlignment="1">
      <alignment horizontal="left" vertical="center"/>
      <protection/>
    </xf>
    <xf numFmtId="22" fontId="0" fillId="37" borderId="36" xfId="50" applyNumberFormat="1" applyFont="1" applyFill="1" applyBorder="1" applyAlignment="1">
      <alignment horizontal="left" vertical="center"/>
      <protection/>
    </xf>
    <xf numFmtId="0" fontId="0" fillId="39" borderId="34" xfId="50" applyFont="1" applyFill="1" applyBorder="1" applyAlignment="1" applyProtection="1">
      <alignment horizontal="left" vertical="center"/>
      <protection hidden="1" locked="0"/>
    </xf>
    <xf numFmtId="0" fontId="0" fillId="39" borderId="35" xfId="50" applyFont="1" applyFill="1" applyBorder="1" applyAlignment="1" applyProtection="1">
      <alignment horizontal="left" vertical="center"/>
      <protection hidden="1" locked="0"/>
    </xf>
    <xf numFmtId="0" fontId="0" fillId="39" borderId="36" xfId="50" applyFont="1" applyFill="1" applyBorder="1" applyAlignment="1" applyProtection="1">
      <alignment horizontal="left" vertical="center"/>
      <protection hidden="1" locked="0"/>
    </xf>
    <xf numFmtId="0" fontId="101" fillId="45" borderId="12" xfId="50" applyFont="1" applyFill="1" applyBorder="1" applyAlignment="1">
      <alignment horizontal="center" vertical="center"/>
      <protection/>
    </xf>
    <xf numFmtId="0" fontId="101" fillId="45" borderId="13" xfId="50" applyFont="1" applyFill="1" applyBorder="1" applyAlignment="1">
      <alignment horizontal="center" vertical="center"/>
      <protection/>
    </xf>
    <xf numFmtId="0" fontId="101" fillId="45" borderId="14" xfId="50" applyFont="1" applyFill="1" applyBorder="1" applyAlignment="1">
      <alignment horizontal="center" vertical="center"/>
      <protection/>
    </xf>
    <xf numFmtId="0" fontId="8" fillId="37" borderId="12" xfId="50" applyFont="1" applyFill="1" applyBorder="1" applyAlignment="1">
      <alignment horizontal="center" vertical="center"/>
      <protection/>
    </xf>
    <xf numFmtId="0" fontId="8" fillId="37" borderId="13" xfId="50" applyFont="1" applyFill="1" applyBorder="1" applyAlignment="1">
      <alignment horizontal="center" vertical="center"/>
      <protection/>
    </xf>
    <xf numFmtId="0" fontId="0" fillId="37" borderId="16" xfId="50" applyFont="1" applyFill="1" applyBorder="1" applyAlignment="1">
      <alignment horizontal="center" vertical="center"/>
      <protection/>
    </xf>
    <xf numFmtId="0" fontId="0" fillId="37" borderId="37" xfId="50" applyFont="1" applyFill="1" applyBorder="1" applyAlignment="1">
      <alignment horizontal="center" vertical="center"/>
      <protection/>
    </xf>
    <xf numFmtId="0" fontId="0" fillId="37" borderId="12" xfId="50" applyFont="1" applyFill="1" applyBorder="1" applyAlignment="1">
      <alignment horizontal="left" vertical="center"/>
      <protection/>
    </xf>
    <xf numFmtId="0" fontId="0" fillId="37" borderId="14" xfId="50" applyFont="1" applyFill="1" applyBorder="1" applyAlignment="1">
      <alignment horizontal="left" vertical="center"/>
      <protection/>
    </xf>
    <xf numFmtId="0" fontId="0" fillId="37" borderId="12" xfId="50" applyFont="1" applyFill="1" applyBorder="1" applyAlignment="1">
      <alignment horizontal="left" vertical="center" wrapText="1"/>
      <protection/>
    </xf>
    <xf numFmtId="0" fontId="0" fillId="37" borderId="14" xfId="50" applyFont="1" applyFill="1" applyBorder="1" applyAlignment="1">
      <alignment horizontal="left" vertical="center" wrapText="1"/>
      <protection/>
    </xf>
    <xf numFmtId="0" fontId="0" fillId="37" borderId="12" xfId="50" applyFont="1" applyFill="1" applyBorder="1" applyAlignment="1">
      <alignment horizontal="left" vertical="center"/>
      <protection/>
    </xf>
    <xf numFmtId="0" fontId="0" fillId="37" borderId="12" xfId="50" applyFont="1" applyFill="1" applyBorder="1" applyAlignment="1">
      <alignment horizontal="left" vertical="center" wrapText="1"/>
      <protection/>
    </xf>
    <xf numFmtId="0" fontId="0" fillId="37" borderId="10" xfId="50" applyFont="1" applyFill="1" applyBorder="1" applyAlignment="1">
      <alignment horizontal="center" vertical="center" wrapText="1"/>
      <protection/>
    </xf>
    <xf numFmtId="0" fontId="0" fillId="37" borderId="15" xfId="50" applyFont="1" applyFill="1" applyBorder="1" applyAlignment="1">
      <alignment horizontal="center" vertical="center"/>
      <protection/>
    </xf>
    <xf numFmtId="0" fontId="101" fillId="37" borderId="12" xfId="50" applyFont="1" applyFill="1" applyBorder="1" applyAlignment="1">
      <alignment horizontal="left" vertical="center" wrapText="1"/>
      <protection/>
    </xf>
    <xf numFmtId="0" fontId="101" fillId="37" borderId="14" xfId="50" applyFont="1" applyFill="1" applyBorder="1" applyAlignment="1">
      <alignment horizontal="left" vertical="center" wrapText="1"/>
      <protection/>
    </xf>
    <xf numFmtId="0" fontId="0" fillId="37" borderId="38" xfId="50" applyFont="1" applyFill="1" applyBorder="1" applyAlignment="1">
      <alignment horizontal="left" vertical="center" wrapText="1"/>
      <protection/>
    </xf>
    <xf numFmtId="0" fontId="0" fillId="37" borderId="39" xfId="50" applyFont="1" applyFill="1" applyBorder="1" applyAlignment="1">
      <alignment horizontal="left" vertical="center" wrapText="1"/>
      <protection/>
    </xf>
    <xf numFmtId="0" fontId="8" fillId="36" borderId="24" xfId="50" applyFont="1" applyFill="1" applyBorder="1" applyAlignment="1">
      <alignment horizontal="center" vertical="center"/>
      <protection/>
    </xf>
    <xf numFmtId="0" fontId="8" fillId="0" borderId="24" xfId="50" applyFont="1" applyBorder="1" applyAlignment="1">
      <alignment horizontal="center" vertical="center"/>
      <protection/>
    </xf>
    <xf numFmtId="0" fontId="0" fillId="0" borderId="40" xfId="50" applyFont="1" applyBorder="1" applyAlignment="1">
      <alignment horizontal="justify" vertical="center" wrapText="1"/>
      <protection/>
    </xf>
    <xf numFmtId="0" fontId="0" fillId="0" borderId="40" xfId="50" applyFont="1" applyBorder="1" applyAlignment="1">
      <alignment horizontal="justify" vertical="center" wrapText="1"/>
      <protection/>
    </xf>
    <xf numFmtId="10" fontId="47" fillId="0" borderId="0" xfId="50" applyNumberFormat="1" applyFont="1" applyAlignment="1">
      <alignment horizontal="center" vertical="center"/>
      <protection/>
    </xf>
    <xf numFmtId="0" fontId="47" fillId="0" borderId="0" xfId="50" applyFont="1" applyAlignment="1">
      <alignment horizontal="center" vertical="center"/>
      <protection/>
    </xf>
    <xf numFmtId="0" fontId="19" fillId="0" borderId="0" xfId="50" applyFont="1" applyBorder="1" applyAlignment="1" applyProtection="1">
      <alignment horizontal="left" vertical="center" wrapText="1"/>
      <protection/>
    </xf>
    <xf numFmtId="4" fontId="44" fillId="40" borderId="24" xfId="50" applyNumberFormat="1" applyFont="1" applyFill="1" applyBorder="1" applyAlignment="1" applyProtection="1">
      <alignment horizontal="right" vertical="center"/>
      <protection/>
    </xf>
    <xf numFmtId="170" fontId="17" fillId="40" borderId="24" xfId="65" applyFont="1" applyFill="1" applyBorder="1" applyAlignment="1" applyProtection="1">
      <alignment horizontal="center" vertical="center"/>
      <protection/>
    </xf>
    <xf numFmtId="0" fontId="44" fillId="40" borderId="24" xfId="50" applyFont="1" applyFill="1" applyBorder="1" applyAlignment="1" applyProtection="1">
      <alignment horizontal="right" vertical="center" wrapText="1"/>
      <protection/>
    </xf>
    <xf numFmtId="4" fontId="8" fillId="0" borderId="24" xfId="50" applyNumberFormat="1" applyFont="1" applyBorder="1" applyAlignment="1" applyProtection="1">
      <alignment horizontal="center" vertical="center"/>
      <protection/>
    </xf>
    <xf numFmtId="170" fontId="20" fillId="0" borderId="24" xfId="65" applyFont="1" applyBorder="1" applyAlignment="1" applyProtection="1">
      <alignment horizontal="center" vertical="center"/>
      <protection/>
    </xf>
    <xf numFmtId="4" fontId="8" fillId="40" borderId="24" xfId="50" applyNumberFormat="1" applyFont="1" applyFill="1" applyBorder="1" applyAlignment="1" applyProtection="1">
      <alignment horizontal="right" vertical="center"/>
      <protection/>
    </xf>
    <xf numFmtId="170" fontId="8" fillId="40" borderId="24" xfId="65" applyFont="1" applyFill="1" applyBorder="1" applyAlignment="1" applyProtection="1">
      <alignment horizontal="center" vertical="center"/>
      <protection/>
    </xf>
    <xf numFmtId="4" fontId="0" fillId="0" borderId="24" xfId="50" applyNumberFormat="1" applyFont="1" applyBorder="1" applyAlignment="1" applyProtection="1">
      <alignment horizontal="center" vertical="center"/>
      <protection/>
    </xf>
    <xf numFmtId="4" fontId="0" fillId="0" borderId="24" xfId="50" applyNumberFormat="1" applyFont="1" applyBorder="1" applyAlignment="1" applyProtection="1">
      <alignment horizontal="right" vertical="center"/>
      <protection/>
    </xf>
    <xf numFmtId="0" fontId="8" fillId="40" borderId="24" xfId="50" applyFont="1" applyFill="1" applyBorder="1" applyAlignment="1" applyProtection="1">
      <alignment horizontal="right" vertical="center"/>
      <protection/>
    </xf>
    <xf numFmtId="0" fontId="45" fillId="40" borderId="24" xfId="50" applyFont="1" applyFill="1" applyBorder="1" applyAlignment="1" applyProtection="1">
      <alignment horizontal="center" vertical="center"/>
      <protection/>
    </xf>
    <xf numFmtId="0" fontId="45" fillId="40" borderId="24" xfId="50" applyFont="1" applyFill="1" applyBorder="1" applyAlignment="1" applyProtection="1">
      <alignment horizontal="center" vertical="center" wrapText="1"/>
      <protection/>
    </xf>
    <xf numFmtId="0" fontId="21" fillId="40" borderId="24" xfId="50" applyFont="1" applyFill="1" applyBorder="1" applyAlignment="1" applyProtection="1">
      <alignment horizontal="right" vertical="center" wrapText="1"/>
      <protection/>
    </xf>
    <xf numFmtId="0" fontId="43" fillId="36" borderId="24" xfId="50" applyFont="1" applyFill="1" applyBorder="1" applyAlignment="1" applyProtection="1">
      <alignment horizontal="center" vertical="center"/>
      <protection/>
    </xf>
    <xf numFmtId="0" fontId="9" fillId="0" borderId="0" xfId="50" applyFont="1" applyBorder="1" applyAlignment="1" applyProtection="1">
      <alignment horizontal="center" vertical="center"/>
      <protection/>
    </xf>
    <xf numFmtId="0" fontId="44" fillId="0" borderId="0" xfId="50" applyFont="1" applyBorder="1" applyAlignment="1" applyProtection="1">
      <alignment horizontal="center" vertical="center"/>
      <protection/>
    </xf>
    <xf numFmtId="0" fontId="8" fillId="38" borderId="24" xfId="0" applyFont="1" applyFill="1" applyBorder="1" applyAlignment="1">
      <alignment horizontal="left" vertical="center"/>
    </xf>
    <xf numFmtId="0" fontId="8" fillId="36" borderId="0" xfId="50" applyFont="1" applyFill="1" applyAlignment="1">
      <alignment horizontal="center" vertical="center"/>
      <protection/>
    </xf>
    <xf numFmtId="0" fontId="8" fillId="36" borderId="0" xfId="50" applyFont="1" applyFill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35" borderId="11" xfId="0" applyFont="1" applyFill="1" applyBorder="1" applyAlignment="1">
      <alignment horizontal="right" vertical="center"/>
    </xf>
    <xf numFmtId="0" fontId="5" fillId="46" borderId="11" xfId="0" applyFont="1" applyFill="1" applyBorder="1" applyAlignment="1">
      <alignment horizontal="right" vertical="center"/>
    </xf>
    <xf numFmtId="0" fontId="49" fillId="46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33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0" fontId="8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171" fontId="11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justify" wrapText="1"/>
    </xf>
    <xf numFmtId="0" fontId="9" fillId="0" borderId="17" xfId="0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justify" wrapText="1"/>
    </xf>
    <xf numFmtId="0" fontId="33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35" borderId="10" xfId="0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/>
    </xf>
    <xf numFmtId="0" fontId="0" fillId="0" borderId="4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8" fillId="35" borderId="10" xfId="0" applyFont="1" applyFill="1" applyBorder="1" applyAlignment="1">
      <alignment wrapText="1"/>
    </xf>
    <xf numFmtId="0" fontId="8" fillId="0" borderId="42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top" wrapText="1"/>
    </xf>
    <xf numFmtId="10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8" fillId="35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8" fillId="35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justify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8" fillId="33" borderId="16" xfId="0" applyFont="1" applyFill="1" applyBorder="1" applyAlignment="1">
      <alignment horizontal="right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0" fontId="33" fillId="35" borderId="10" xfId="0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2" fontId="9" fillId="0" borderId="12" xfId="0" applyNumberFormat="1" applyFont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justify" wrapText="1"/>
    </xf>
    <xf numFmtId="0" fontId="8" fillId="0" borderId="13" xfId="0" applyFont="1" applyBorder="1" applyAlignment="1">
      <alignment horizontal="left" vertical="center" wrapText="1"/>
    </xf>
    <xf numFmtId="0" fontId="19" fillId="35" borderId="12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4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4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32" fillId="35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3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right" vertical="center"/>
    </xf>
    <xf numFmtId="0" fontId="30" fillId="35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/>
    </xf>
    <xf numFmtId="0" fontId="28" fillId="35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29" fillId="35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/>
    </xf>
    <xf numFmtId="171" fontId="23" fillId="0" borderId="10" xfId="0" applyNumberFormat="1" applyFont="1" applyFill="1" applyBorder="1" applyAlignment="1">
      <alignment horizontal="right" vertical="center"/>
    </xf>
    <xf numFmtId="14" fontId="23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 wrapText="1"/>
    </xf>
    <xf numFmtId="4" fontId="9" fillId="0" borderId="10" xfId="64" applyNumberFormat="1" applyFont="1" applyFill="1" applyBorder="1" applyAlignment="1" applyProtection="1">
      <alignment horizontal="right" vertical="center"/>
      <protection/>
    </xf>
    <xf numFmtId="4" fontId="19" fillId="33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/>
    </xf>
    <xf numFmtId="4" fontId="19" fillId="33" borderId="14" xfId="0" applyNumberFormat="1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9" fillId="35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83" fontId="2" fillId="0" borderId="0" xfId="50" applyNumberFormat="1" applyFont="1" applyAlignment="1">
      <alignment horizontal="left" vertical="center"/>
      <protection/>
    </xf>
    <xf numFmtId="183" fontId="2" fillId="0" borderId="0" xfId="50" applyNumberFormat="1" applyFont="1" applyBorder="1" applyAlignment="1">
      <alignment horizontal="left" vertical="center"/>
      <protection/>
    </xf>
    <xf numFmtId="14" fontId="2" fillId="0" borderId="0" xfId="50" applyNumberFormat="1" applyFont="1" applyAlignment="1">
      <alignment horizontal="left" vertical="center"/>
      <protection/>
    </xf>
    <xf numFmtId="14" fontId="2" fillId="0" borderId="0" xfId="50" applyNumberFormat="1" applyFont="1" applyBorder="1" applyAlignment="1">
      <alignment horizontal="left" vertical="center"/>
      <protection/>
    </xf>
    <xf numFmtId="0" fontId="2" fillId="0" borderId="0" xfId="50" applyFont="1" applyAlignment="1">
      <alignment horizontal="left"/>
      <protection/>
    </xf>
    <xf numFmtId="0" fontId="2" fillId="0" borderId="0" xfId="50" applyFont="1" applyBorder="1" applyAlignment="1">
      <alignment horizontal="center"/>
      <protection/>
    </xf>
    <xf numFmtId="0" fontId="2" fillId="0" borderId="0" xfId="50" applyFont="1" applyAlignment="1">
      <alignment horizontal="left" vertical="center"/>
      <protection/>
    </xf>
    <xf numFmtId="0" fontId="2" fillId="0" borderId="0" xfId="50" applyFont="1" applyBorder="1" applyAlignment="1">
      <alignment horizontal="left" vertical="center"/>
      <protection/>
    </xf>
    <xf numFmtId="0" fontId="100" fillId="0" borderId="0" xfId="50" applyFont="1" applyBorder="1" applyAlignment="1">
      <alignment horizontal="left" vertical="center"/>
      <protection/>
    </xf>
    <xf numFmtId="0" fontId="5" fillId="10" borderId="45" xfId="50" applyFont="1" applyFill="1" applyBorder="1" applyAlignment="1">
      <alignment horizontal="center" vertical="center" wrapText="1"/>
      <protection/>
    </xf>
    <xf numFmtId="0" fontId="5" fillId="10" borderId="46" xfId="50" applyFont="1" applyFill="1" applyBorder="1" applyAlignment="1">
      <alignment horizontal="center" vertical="center" wrapText="1"/>
      <protection/>
    </xf>
    <xf numFmtId="4" fontId="10" fillId="0" borderId="47" xfId="50" applyNumberFormat="1" applyFont="1" applyFill="1" applyBorder="1" applyAlignment="1">
      <alignment horizontal="right" vertical="center"/>
      <protection/>
    </xf>
    <xf numFmtId="4" fontId="10" fillId="0" borderId="48" xfId="50" applyNumberFormat="1" applyFont="1" applyFill="1" applyBorder="1" applyAlignment="1">
      <alignment horizontal="right" vertical="center"/>
      <protection/>
    </xf>
    <xf numFmtId="4" fontId="10" fillId="0" borderId="34" xfId="50" applyNumberFormat="1" applyFont="1" applyFill="1" applyBorder="1" applyAlignment="1">
      <alignment horizontal="right" vertical="center"/>
      <protection/>
    </xf>
    <xf numFmtId="4" fontId="10" fillId="0" borderId="36" xfId="50" applyNumberFormat="1" applyFont="1" applyFill="1" applyBorder="1" applyAlignment="1">
      <alignment horizontal="right" vertical="center"/>
      <protection/>
    </xf>
    <xf numFmtId="4" fontId="6" fillId="36" borderId="34" xfId="50" applyNumberFormat="1" applyFont="1" applyFill="1" applyBorder="1" applyAlignment="1">
      <alignment horizontal="right" vertical="center"/>
      <protection/>
    </xf>
    <xf numFmtId="4" fontId="6" fillId="36" borderId="36" xfId="50" applyNumberFormat="1" applyFont="1" applyFill="1" applyBorder="1" applyAlignment="1">
      <alignment horizontal="right" vertical="center"/>
      <protection/>
    </xf>
    <xf numFmtId="0" fontId="2" fillId="0" borderId="0" xfId="50" applyFont="1" applyAlignment="1">
      <alignment horizontal="justify"/>
      <protection/>
    </xf>
    <xf numFmtId="0" fontId="2" fillId="0" borderId="0" xfId="50" applyFont="1" applyAlignment="1">
      <alignment horizontal="justify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dxfs count="5"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40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2114550</xdr:colOff>
      <xdr:row>5</xdr:row>
      <xdr:rowOff>152400</xdr:rowOff>
    </xdr:to>
    <xdr:pic>
      <xdr:nvPicPr>
        <xdr:cNvPr id="1" name="Imagem 1" descr="logo_reito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14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25</xdr:row>
      <xdr:rowOff>161925</xdr:rowOff>
    </xdr:from>
    <xdr:to>
      <xdr:col>5</xdr:col>
      <xdr:colOff>1590675</xdr:colOff>
      <xdr:row>36</xdr:row>
      <xdr:rowOff>104775</xdr:rowOff>
    </xdr:to>
    <xdr:sp>
      <xdr:nvSpPr>
        <xdr:cNvPr id="1" name="Colchete duplo 3"/>
        <xdr:cNvSpPr>
          <a:spLocks/>
        </xdr:cNvSpPr>
      </xdr:nvSpPr>
      <xdr:spPr>
        <a:xfrm>
          <a:off x="4991100" y="7705725"/>
          <a:ext cx="4143375" cy="2038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1</xdr:row>
      <xdr:rowOff>76200</xdr:rowOff>
    </xdr:from>
    <xdr:to>
      <xdr:col>1</xdr:col>
      <xdr:colOff>2428875</xdr:colOff>
      <xdr:row>5</xdr:row>
      <xdr:rowOff>152400</xdr:rowOff>
    </xdr:to>
    <xdr:pic>
      <xdr:nvPicPr>
        <xdr:cNvPr id="2" name="Imagem 2" descr="logo_reito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38125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2"/>
  <sheetViews>
    <sheetView zoomScalePageLayoutView="0" workbookViewId="0" topLeftCell="A64">
      <selection activeCell="E62" sqref="E62"/>
    </sheetView>
  </sheetViews>
  <sheetFormatPr defaultColWidth="9.140625" defaultRowHeight="12.75"/>
  <cols>
    <col min="1" max="1" width="33.421875" style="202" customWidth="1"/>
    <col min="2" max="2" width="15.7109375" style="202" customWidth="1"/>
    <col min="3" max="3" width="25.57421875" style="202" customWidth="1"/>
    <col min="4" max="5" width="18.7109375" style="202" customWidth="1"/>
    <col min="6" max="16384" width="9.140625" style="202" customWidth="1"/>
  </cols>
  <sheetData>
    <row r="2" spans="1:4" ht="12.75">
      <c r="A2" s="200"/>
      <c r="B2" s="201" t="s">
        <v>480</v>
      </c>
      <c r="C2" s="201"/>
      <c r="D2" s="201"/>
    </row>
    <row r="3" spans="1:4" ht="12.75">
      <c r="A3" s="200"/>
      <c r="B3" s="201" t="s">
        <v>481</v>
      </c>
      <c r="C3" s="201"/>
      <c r="D3" s="201"/>
    </row>
    <row r="4" spans="1:4" ht="12.75">
      <c r="A4" s="200"/>
      <c r="B4" s="201" t="s">
        <v>495</v>
      </c>
      <c r="C4" s="201"/>
      <c r="D4" s="201"/>
    </row>
    <row r="5" spans="1:4" ht="12.75">
      <c r="A5" s="200"/>
      <c r="B5" s="203" t="s">
        <v>496</v>
      </c>
      <c r="C5" s="204"/>
      <c r="D5" s="204"/>
    </row>
    <row r="6" spans="1:4" ht="12.75">
      <c r="A6" s="200"/>
      <c r="B6" s="201"/>
      <c r="C6" s="201"/>
      <c r="D6" s="201"/>
    </row>
    <row r="7" spans="1:4" ht="12.75">
      <c r="A7" s="200"/>
      <c r="B7" s="201"/>
      <c r="C7" s="201"/>
      <c r="D7" s="201"/>
    </row>
    <row r="8" spans="1:5" ht="12.75">
      <c r="A8" s="410" t="s">
        <v>501</v>
      </c>
      <c r="B8" s="411"/>
      <c r="C8" s="411"/>
      <c r="D8" s="411"/>
      <c r="E8" s="412"/>
    </row>
    <row r="9" spans="1:8" ht="12.75">
      <c r="A9" s="200"/>
      <c r="B9" s="200"/>
      <c r="C9" s="200"/>
      <c r="D9" s="200"/>
      <c r="H9" s="205"/>
    </row>
    <row r="10" spans="1:5" ht="12.75">
      <c r="A10" s="206" t="s">
        <v>502</v>
      </c>
      <c r="B10" s="413" t="s">
        <v>547</v>
      </c>
      <c r="C10" s="414"/>
      <c r="D10" s="414"/>
      <c r="E10" s="415"/>
    </row>
    <row r="11" spans="1:5" ht="12.75">
      <c r="A11" s="207" t="s">
        <v>503</v>
      </c>
      <c r="B11" s="416" t="s">
        <v>677</v>
      </c>
      <c r="C11" s="417"/>
      <c r="D11" s="417"/>
      <c r="E11" s="418"/>
    </row>
    <row r="12" spans="1:5" ht="12.75">
      <c r="A12" s="208" t="s">
        <v>504</v>
      </c>
      <c r="B12" s="419" t="s">
        <v>678</v>
      </c>
      <c r="C12" s="420"/>
      <c r="D12" s="420"/>
      <c r="E12" s="421"/>
    </row>
    <row r="13" spans="1:5" ht="12.75">
      <c r="A13" s="208" t="s">
        <v>505</v>
      </c>
      <c r="B13" s="422" t="s">
        <v>616</v>
      </c>
      <c r="C13" s="423"/>
      <c r="D13" s="423"/>
      <c r="E13" s="424"/>
    </row>
    <row r="14" spans="1:5" ht="12.75">
      <c r="A14" s="208" t="s">
        <v>506</v>
      </c>
      <c r="B14" s="425">
        <v>43957.375</v>
      </c>
      <c r="C14" s="426"/>
      <c r="D14" s="426"/>
      <c r="E14" s="427"/>
    </row>
    <row r="15" spans="1:5" ht="12.75">
      <c r="A15" s="208" t="s">
        <v>492</v>
      </c>
      <c r="B15" s="428"/>
      <c r="C15" s="429"/>
      <c r="D15" s="429"/>
      <c r="E15" s="430"/>
    </row>
    <row r="16" spans="1:5" ht="12.75">
      <c r="A16" s="208" t="s">
        <v>493</v>
      </c>
      <c r="B16" s="428"/>
      <c r="C16" s="429"/>
      <c r="D16" s="429"/>
      <c r="E16" s="430"/>
    </row>
    <row r="17" spans="1:5" ht="12.75">
      <c r="A17" s="208" t="s">
        <v>507</v>
      </c>
      <c r="B17" s="428"/>
      <c r="C17" s="429"/>
      <c r="D17" s="429"/>
      <c r="E17" s="430"/>
    </row>
    <row r="18" spans="1:5" ht="12.75">
      <c r="A18" s="208" t="s">
        <v>508</v>
      </c>
      <c r="B18" s="428"/>
      <c r="C18" s="429"/>
      <c r="D18" s="429"/>
      <c r="E18" s="430"/>
    </row>
    <row r="19" spans="1:5" ht="12.75">
      <c r="A19" s="208" t="s">
        <v>509</v>
      </c>
      <c r="B19" s="428"/>
      <c r="C19" s="429"/>
      <c r="D19" s="429"/>
      <c r="E19" s="430"/>
    </row>
    <row r="20" spans="1:4" ht="12.75">
      <c r="A20" s="209"/>
      <c r="B20" s="209"/>
      <c r="C20" s="209"/>
      <c r="D20" s="209"/>
    </row>
    <row r="21" spans="1:5" ht="12.75">
      <c r="A21" s="410" t="s">
        <v>510</v>
      </c>
      <c r="B21" s="411"/>
      <c r="C21" s="411"/>
      <c r="D21" s="411"/>
      <c r="E21" s="412"/>
    </row>
    <row r="22" spans="1:5" ht="12.75">
      <c r="A22" s="210"/>
      <c r="B22" s="210"/>
      <c r="C22" s="210"/>
      <c r="D22" s="210"/>
      <c r="E22" s="210"/>
    </row>
    <row r="23" spans="1:5" ht="12.75">
      <c r="A23" s="431" t="s">
        <v>511</v>
      </c>
      <c r="B23" s="432"/>
      <c r="C23" s="432"/>
      <c r="D23" s="432"/>
      <c r="E23" s="433"/>
    </row>
    <row r="24" spans="1:5" ht="38.25">
      <c r="A24" s="211" t="s">
        <v>29</v>
      </c>
      <c r="B24" s="434" t="s">
        <v>512</v>
      </c>
      <c r="C24" s="435"/>
      <c r="D24" s="212" t="s">
        <v>513</v>
      </c>
      <c r="E24" s="212" t="s">
        <v>514</v>
      </c>
    </row>
    <row r="25" spans="1:6" ht="15.75">
      <c r="A25" s="436" t="s">
        <v>37</v>
      </c>
      <c r="B25" s="438" t="s">
        <v>38</v>
      </c>
      <c r="C25" s="439"/>
      <c r="D25" s="331">
        <v>1000</v>
      </c>
      <c r="E25" s="332">
        <v>0</v>
      </c>
      <c r="F25" s="322"/>
    </row>
    <row r="26" spans="1:6" ht="15.75">
      <c r="A26" s="437"/>
      <c r="B26" s="438" t="s">
        <v>43</v>
      </c>
      <c r="C26" s="439"/>
      <c r="D26" s="331">
        <v>1200</v>
      </c>
      <c r="E26" s="332">
        <f>'Áreas Totais'!D4</f>
        <v>1069.239</v>
      </c>
      <c r="F26" s="322"/>
    </row>
    <row r="27" spans="1:6" ht="15.75">
      <c r="A27" s="437"/>
      <c r="B27" s="438" t="s">
        <v>44</v>
      </c>
      <c r="C27" s="439"/>
      <c r="D27" s="331">
        <v>450</v>
      </c>
      <c r="E27" s="332">
        <f>'Áreas Totais'!D6</f>
        <v>330.4189999999999</v>
      </c>
      <c r="F27" s="322"/>
    </row>
    <row r="28" spans="1:6" ht="15.75">
      <c r="A28" s="437"/>
      <c r="B28" s="440" t="s">
        <v>519</v>
      </c>
      <c r="C28" s="441"/>
      <c r="D28" s="331">
        <v>2500</v>
      </c>
      <c r="E28" s="332">
        <f>'Áreas Totais'!D5</f>
        <v>10.779720000000001</v>
      </c>
      <c r="F28" s="322"/>
    </row>
    <row r="29" spans="1:6" ht="15.75">
      <c r="A29" s="437"/>
      <c r="B29" s="320" t="s">
        <v>46</v>
      </c>
      <c r="C29" s="229"/>
      <c r="D29" s="331">
        <v>1800</v>
      </c>
      <c r="E29" s="332">
        <v>0</v>
      </c>
      <c r="F29" s="322"/>
    </row>
    <row r="30" spans="1:6" ht="15.75">
      <c r="A30" s="437"/>
      <c r="B30" s="442" t="s">
        <v>47</v>
      </c>
      <c r="C30" s="439"/>
      <c r="D30" s="331">
        <v>1500</v>
      </c>
      <c r="E30" s="332">
        <f>'Áreas Totais'!D8</f>
        <v>571.2857999999999</v>
      </c>
      <c r="F30" s="322"/>
    </row>
    <row r="31" spans="1:6" ht="15.75">
      <c r="A31" s="437"/>
      <c r="B31" s="440" t="s">
        <v>48</v>
      </c>
      <c r="C31" s="441"/>
      <c r="D31" s="331">
        <v>300</v>
      </c>
      <c r="E31" s="332">
        <v>0</v>
      </c>
      <c r="F31" s="322"/>
    </row>
    <row r="32" spans="1:6" ht="24" customHeight="1">
      <c r="A32" s="436" t="s">
        <v>49</v>
      </c>
      <c r="B32" s="443" t="s">
        <v>50</v>
      </c>
      <c r="C32" s="441"/>
      <c r="D32" s="331">
        <v>2700</v>
      </c>
      <c r="E32" s="332">
        <f>'Áreas Totais'!D9</f>
        <v>154.242</v>
      </c>
      <c r="F32" s="322"/>
    </row>
    <row r="33" spans="1:6" ht="15.75">
      <c r="A33" s="437"/>
      <c r="B33" s="443" t="s">
        <v>51</v>
      </c>
      <c r="C33" s="441"/>
      <c r="D33" s="331">
        <v>9000</v>
      </c>
      <c r="E33" s="332">
        <v>0</v>
      </c>
      <c r="F33" s="322"/>
    </row>
    <row r="34" spans="1:6" ht="15.75">
      <c r="A34" s="437"/>
      <c r="B34" s="443" t="s">
        <v>52</v>
      </c>
      <c r="C34" s="441"/>
      <c r="D34" s="331">
        <v>2700</v>
      </c>
      <c r="E34" s="332">
        <v>0</v>
      </c>
      <c r="F34" s="322"/>
    </row>
    <row r="35" spans="1:6" ht="15.75">
      <c r="A35" s="437"/>
      <c r="B35" s="443" t="s">
        <v>53</v>
      </c>
      <c r="C35" s="441"/>
      <c r="D35" s="331">
        <v>2700</v>
      </c>
      <c r="E35" s="332">
        <v>0</v>
      </c>
      <c r="F35" s="322"/>
    </row>
    <row r="36" spans="1:6" ht="15.75">
      <c r="A36" s="437"/>
      <c r="B36" s="443" t="s">
        <v>54</v>
      </c>
      <c r="C36" s="441"/>
      <c r="D36" s="331">
        <v>2250</v>
      </c>
      <c r="E36" s="332">
        <v>0</v>
      </c>
      <c r="F36" s="322"/>
    </row>
    <row r="37" spans="1:6" ht="23.25" customHeight="1">
      <c r="A37" s="437"/>
      <c r="B37" s="443" t="s">
        <v>55</v>
      </c>
      <c r="C37" s="441"/>
      <c r="D37" s="331">
        <v>100000</v>
      </c>
      <c r="E37" s="332">
        <f>'Áreas Totais'!D10</f>
        <v>30.86972</v>
      </c>
      <c r="F37" s="322"/>
    </row>
    <row r="38" spans="1:6" ht="15.75">
      <c r="A38" s="444" t="s">
        <v>56</v>
      </c>
      <c r="B38" s="443" t="s">
        <v>516</v>
      </c>
      <c r="C38" s="441"/>
      <c r="D38" s="331">
        <v>160</v>
      </c>
      <c r="E38" s="332">
        <v>0</v>
      </c>
      <c r="F38" s="322"/>
    </row>
    <row r="39" spans="1:6" ht="15.75">
      <c r="A39" s="444"/>
      <c r="B39" s="443" t="s">
        <v>517</v>
      </c>
      <c r="C39" s="441"/>
      <c r="D39" s="331">
        <v>380</v>
      </c>
      <c r="E39" s="332">
        <f>'Áreas Totais'!D12</f>
        <v>322.4117</v>
      </c>
      <c r="F39" s="322"/>
    </row>
    <row r="40" spans="1:6" ht="15.75">
      <c r="A40" s="444"/>
      <c r="B40" s="443" t="s">
        <v>59</v>
      </c>
      <c r="C40" s="441"/>
      <c r="D40" s="331">
        <v>380</v>
      </c>
      <c r="E40" s="332">
        <f>'Áreas Totais'!D13</f>
        <v>322.4117</v>
      </c>
      <c r="F40" s="322"/>
    </row>
    <row r="41" spans="1:6" ht="15.75">
      <c r="A41" s="213" t="s">
        <v>60</v>
      </c>
      <c r="B41" s="443" t="s">
        <v>61</v>
      </c>
      <c r="C41" s="441"/>
      <c r="D41" s="331">
        <v>160</v>
      </c>
      <c r="E41" s="332">
        <v>0</v>
      </c>
      <c r="F41" s="322"/>
    </row>
    <row r="42" spans="1:6" ht="25.5">
      <c r="A42" s="213" t="s">
        <v>62</v>
      </c>
      <c r="B42" s="443" t="s">
        <v>63</v>
      </c>
      <c r="C42" s="441"/>
      <c r="D42" s="331">
        <v>405</v>
      </c>
      <c r="E42" s="332">
        <v>0</v>
      </c>
      <c r="F42" s="322"/>
    </row>
    <row r="43" spans="1:6" ht="15.75">
      <c r="A43" s="214"/>
      <c r="B43" s="215"/>
      <c r="C43" s="215"/>
      <c r="D43" s="216"/>
      <c r="E43" s="334">
        <f>SUM(E25:E42)</f>
        <v>2811.65864</v>
      </c>
      <c r="F43" s="321"/>
    </row>
    <row r="44" spans="1:5" ht="12.75">
      <c r="A44" s="431" t="s">
        <v>518</v>
      </c>
      <c r="B44" s="432"/>
      <c r="C44" s="432"/>
      <c r="D44" s="432"/>
      <c r="E44" s="433"/>
    </row>
    <row r="45" spans="1:5" ht="38.25">
      <c r="A45" s="211" t="s">
        <v>29</v>
      </c>
      <c r="B45" s="434" t="s">
        <v>512</v>
      </c>
      <c r="C45" s="435"/>
      <c r="D45" s="212" t="s">
        <v>513</v>
      </c>
      <c r="E45" s="212" t="s">
        <v>514</v>
      </c>
    </row>
    <row r="46" spans="1:5" ht="12.75">
      <c r="A46" s="436" t="s">
        <v>37</v>
      </c>
      <c r="B46" s="438" t="s">
        <v>38</v>
      </c>
      <c r="C46" s="439"/>
      <c r="D46" s="331">
        <v>1000</v>
      </c>
      <c r="E46" s="331">
        <v>0</v>
      </c>
    </row>
    <row r="47" spans="1:5" ht="12.75">
      <c r="A47" s="437"/>
      <c r="B47" s="438" t="s">
        <v>43</v>
      </c>
      <c r="C47" s="439"/>
      <c r="D47" s="331">
        <v>1200</v>
      </c>
      <c r="E47" s="331">
        <f>'Áreas Totais'!C4</f>
        <v>234.711</v>
      </c>
    </row>
    <row r="48" spans="1:5" ht="12.75">
      <c r="A48" s="437"/>
      <c r="B48" s="438" t="s">
        <v>44</v>
      </c>
      <c r="C48" s="439"/>
      <c r="D48" s="331">
        <v>450</v>
      </c>
      <c r="E48" s="331">
        <f>'Áreas Totais'!C6</f>
        <v>72.53099999999999</v>
      </c>
    </row>
    <row r="49" spans="1:5" ht="12.75">
      <c r="A49" s="437"/>
      <c r="B49" s="443" t="s">
        <v>519</v>
      </c>
      <c r="C49" s="441"/>
      <c r="D49" s="331">
        <v>2500</v>
      </c>
      <c r="E49" s="331">
        <f>'Áreas Totais'!C5</f>
        <v>2.36628</v>
      </c>
    </row>
    <row r="50" spans="1:5" ht="12.75">
      <c r="A50" s="437"/>
      <c r="B50" s="438" t="s">
        <v>46</v>
      </c>
      <c r="C50" s="439"/>
      <c r="D50" s="331">
        <v>1800</v>
      </c>
      <c r="E50" s="331">
        <v>0</v>
      </c>
    </row>
    <row r="51" spans="1:5" ht="12.75">
      <c r="A51" s="437"/>
      <c r="B51" s="443" t="s">
        <v>47</v>
      </c>
      <c r="C51" s="441"/>
      <c r="D51" s="331">
        <v>1500</v>
      </c>
      <c r="E51" s="331">
        <f>'Áreas Totais'!C8</f>
        <v>125.40419999999996</v>
      </c>
    </row>
    <row r="52" spans="1:6" ht="12.75">
      <c r="A52" s="445"/>
      <c r="B52" s="446" t="s">
        <v>48</v>
      </c>
      <c r="C52" s="447"/>
      <c r="D52" s="331">
        <v>300</v>
      </c>
      <c r="E52" s="331">
        <f>'Áreas Totais'!C7</f>
        <v>186.2</v>
      </c>
      <c r="F52" s="202" t="s">
        <v>515</v>
      </c>
    </row>
    <row r="53" spans="1:5" ht="12.75">
      <c r="A53" s="436" t="s">
        <v>49</v>
      </c>
      <c r="B53" s="443" t="s">
        <v>50</v>
      </c>
      <c r="C53" s="441"/>
      <c r="D53" s="331">
        <v>2700</v>
      </c>
      <c r="E53" s="331">
        <f>'Áreas Totais'!C9</f>
        <v>33.858</v>
      </c>
    </row>
    <row r="54" spans="1:5" ht="12.75">
      <c r="A54" s="437"/>
      <c r="B54" s="443" t="s">
        <v>51</v>
      </c>
      <c r="C54" s="441"/>
      <c r="D54" s="331">
        <v>9000</v>
      </c>
      <c r="E54" s="331">
        <v>0</v>
      </c>
    </row>
    <row r="55" spans="1:5" ht="12.75">
      <c r="A55" s="437"/>
      <c r="B55" s="443" t="s">
        <v>52</v>
      </c>
      <c r="C55" s="441"/>
      <c r="D55" s="331">
        <v>2700</v>
      </c>
      <c r="E55" s="331">
        <v>0</v>
      </c>
    </row>
    <row r="56" spans="1:5" ht="12.75">
      <c r="A56" s="437"/>
      <c r="B56" s="443" t="s">
        <v>53</v>
      </c>
      <c r="C56" s="441"/>
      <c r="D56" s="331">
        <v>2700</v>
      </c>
      <c r="E56" s="331">
        <v>0</v>
      </c>
    </row>
    <row r="57" spans="1:5" ht="12.75">
      <c r="A57" s="437"/>
      <c r="B57" s="443" t="s">
        <v>54</v>
      </c>
      <c r="C57" s="441"/>
      <c r="D57" s="331">
        <v>2250</v>
      </c>
      <c r="E57" s="331">
        <v>0</v>
      </c>
    </row>
    <row r="58" spans="1:5" ht="12.75">
      <c r="A58" s="437"/>
      <c r="B58" s="443" t="s">
        <v>55</v>
      </c>
      <c r="C58" s="441"/>
      <c r="D58" s="331">
        <v>100000</v>
      </c>
      <c r="E58" s="331">
        <f>'Áreas Totais'!C10</f>
        <v>6.77628</v>
      </c>
    </row>
    <row r="59" spans="1:5" ht="12.75">
      <c r="A59" s="444" t="s">
        <v>56</v>
      </c>
      <c r="B59" s="443" t="s">
        <v>516</v>
      </c>
      <c r="C59" s="441"/>
      <c r="D59" s="331">
        <v>160</v>
      </c>
      <c r="E59" s="331">
        <v>0</v>
      </c>
    </row>
    <row r="60" spans="1:5" ht="12.75">
      <c r="A60" s="444"/>
      <c r="B60" s="443" t="s">
        <v>517</v>
      </c>
      <c r="C60" s="441"/>
      <c r="D60" s="331">
        <v>380</v>
      </c>
      <c r="E60" s="331">
        <f>'Áreas Totais'!C12</f>
        <v>70.77329999999999</v>
      </c>
    </row>
    <row r="61" spans="1:5" ht="12.75">
      <c r="A61" s="444"/>
      <c r="B61" s="443" t="s">
        <v>59</v>
      </c>
      <c r="C61" s="441"/>
      <c r="D61" s="331">
        <v>380</v>
      </c>
      <c r="E61" s="331">
        <f>'Áreas Totais'!C13</f>
        <v>70.77329999999999</v>
      </c>
    </row>
    <row r="62" spans="1:5" ht="12.75">
      <c r="A62" s="213" t="s">
        <v>60</v>
      </c>
      <c r="B62" s="443" t="s">
        <v>61</v>
      </c>
      <c r="C62" s="441"/>
      <c r="D62" s="331">
        <v>160</v>
      </c>
      <c r="E62" s="331">
        <v>0</v>
      </c>
    </row>
    <row r="63" spans="1:5" ht="25.5">
      <c r="A63" s="315" t="s">
        <v>62</v>
      </c>
      <c r="B63" s="448" t="s">
        <v>63</v>
      </c>
      <c r="C63" s="449"/>
      <c r="D63" s="333">
        <v>450</v>
      </c>
      <c r="E63" s="333">
        <v>0</v>
      </c>
    </row>
    <row r="64" spans="1:5" ht="12.75">
      <c r="A64" s="316"/>
      <c r="B64" s="317"/>
      <c r="C64" s="318"/>
      <c r="D64" s="319"/>
      <c r="E64" s="335">
        <f>SUM(E46:E63)</f>
        <v>803.3933599999998</v>
      </c>
    </row>
    <row r="65" spans="1:5" ht="12.75">
      <c r="A65" s="452" t="s">
        <v>600</v>
      </c>
      <c r="B65" s="453"/>
      <c r="C65" s="453"/>
      <c r="D65" s="453"/>
      <c r="E65" s="453"/>
    </row>
    <row r="66" spans="1:5" ht="12.75">
      <c r="A66" s="410" t="s">
        <v>520</v>
      </c>
      <c r="B66" s="411"/>
      <c r="C66" s="411"/>
      <c r="D66" s="411"/>
      <c r="E66" s="412"/>
    </row>
    <row r="67" spans="1:2" ht="12.75">
      <c r="A67" s="338" t="s">
        <v>548</v>
      </c>
      <c r="B67" s="336" t="s">
        <v>563</v>
      </c>
    </row>
    <row r="68" spans="1:5" ht="12.75">
      <c r="A68" s="339" t="s">
        <v>561</v>
      </c>
      <c r="B68" s="337">
        <v>0.0165</v>
      </c>
      <c r="C68" s="210"/>
      <c r="D68" s="454"/>
      <c r="E68" s="455"/>
    </row>
    <row r="69" spans="1:5" ht="12.75">
      <c r="A69" s="339" t="s">
        <v>562</v>
      </c>
      <c r="B69" s="337">
        <v>0.076</v>
      </c>
      <c r="C69" s="210"/>
      <c r="D69" s="455"/>
      <c r="E69" s="455"/>
    </row>
    <row r="70" spans="1:3" ht="12.75">
      <c r="A70" s="217"/>
      <c r="B70" s="218"/>
      <c r="C70" s="218"/>
    </row>
    <row r="71" spans="1:5" ht="12.75">
      <c r="A71" s="410" t="s">
        <v>521</v>
      </c>
      <c r="B71" s="411"/>
      <c r="C71" s="411"/>
      <c r="D71" s="411"/>
      <c r="E71" s="412"/>
    </row>
    <row r="73" spans="1:3" ht="12.75">
      <c r="A73" s="338" t="s">
        <v>522</v>
      </c>
      <c r="B73" s="340" t="s">
        <v>606</v>
      </c>
      <c r="C73" s="200"/>
    </row>
    <row r="74" spans="1:3" ht="12.75">
      <c r="A74" s="338" t="s">
        <v>523</v>
      </c>
      <c r="B74" s="341">
        <v>44197</v>
      </c>
      <c r="C74" s="219"/>
    </row>
    <row r="75" spans="1:3" ht="12.75">
      <c r="A75" s="338" t="s">
        <v>524</v>
      </c>
      <c r="B75" s="342">
        <v>1184.93</v>
      </c>
      <c r="C75" s="220" t="s">
        <v>525</v>
      </c>
    </row>
    <row r="76" spans="1:4" ht="12.75">
      <c r="A76" s="217"/>
      <c r="B76" s="221"/>
      <c r="C76" s="221"/>
      <c r="D76" s="222"/>
    </row>
    <row r="77" spans="1:5" ht="12.75">
      <c r="A77" s="410" t="s">
        <v>526</v>
      </c>
      <c r="B77" s="411"/>
      <c r="C77" s="411"/>
      <c r="D77" s="411"/>
      <c r="E77" s="412"/>
    </row>
    <row r="78" ht="12.75">
      <c r="G78" s="350"/>
    </row>
    <row r="79" spans="1:4" ht="12.75">
      <c r="A79" s="343" t="s">
        <v>527</v>
      </c>
      <c r="B79" s="344">
        <v>220</v>
      </c>
      <c r="C79" s="223"/>
      <c r="D79" s="222"/>
    </row>
    <row r="80" spans="1:4" ht="12.75">
      <c r="A80" s="343" t="s">
        <v>528</v>
      </c>
      <c r="B80" s="344">
        <v>44</v>
      </c>
      <c r="C80" s="223"/>
      <c r="D80" s="222"/>
    </row>
    <row r="81" spans="1:4" ht="12.75">
      <c r="A81" s="343" t="s">
        <v>529</v>
      </c>
      <c r="B81" s="344">
        <v>8</v>
      </c>
      <c r="C81" s="224" t="s">
        <v>549</v>
      </c>
      <c r="D81" s="222"/>
    </row>
    <row r="83" spans="1:5" ht="12.75">
      <c r="A83" s="410" t="s">
        <v>530</v>
      </c>
      <c r="B83" s="411"/>
      <c r="C83" s="411"/>
      <c r="D83" s="411"/>
      <c r="E83" s="412"/>
    </row>
    <row r="85" spans="1:3" ht="12.75">
      <c r="A85" s="343" t="s">
        <v>531</v>
      </c>
      <c r="B85" s="345">
        <v>0.03</v>
      </c>
      <c r="C85" s="202" t="s">
        <v>532</v>
      </c>
    </row>
    <row r="86" spans="1:3" ht="12.75">
      <c r="A86" s="343" t="s">
        <v>533</v>
      </c>
      <c r="B86" s="346">
        <v>1</v>
      </c>
      <c r="C86" s="202" t="s">
        <v>532</v>
      </c>
    </row>
    <row r="87" spans="1:4" ht="12.75">
      <c r="A87" s="343" t="s">
        <v>534</v>
      </c>
      <c r="B87" s="342">
        <v>18.2</v>
      </c>
      <c r="C87" s="225"/>
      <c r="D87" s="222"/>
    </row>
    <row r="88" spans="1:4" ht="12.75">
      <c r="A88" s="343" t="s">
        <v>535</v>
      </c>
      <c r="B88" s="345">
        <v>0.19</v>
      </c>
      <c r="C88" s="225"/>
      <c r="D88" s="222"/>
    </row>
    <row r="89" spans="1:4" ht="12.75">
      <c r="A89" s="343" t="s">
        <v>536</v>
      </c>
      <c r="B89" s="347">
        <v>22</v>
      </c>
      <c r="C89" s="223"/>
      <c r="D89" s="222"/>
    </row>
    <row r="90" spans="1:4" ht="12.75">
      <c r="A90" s="343" t="s">
        <v>537</v>
      </c>
      <c r="B90" s="342">
        <v>3.85</v>
      </c>
      <c r="C90" s="225"/>
      <c r="D90" s="222"/>
    </row>
    <row r="91" spans="1:4" ht="12.75">
      <c r="A91" s="343" t="s">
        <v>538</v>
      </c>
      <c r="B91" s="347">
        <v>2</v>
      </c>
      <c r="C91" s="223"/>
      <c r="D91" s="222"/>
    </row>
    <row r="92" spans="1:4" ht="12.75">
      <c r="A92" s="343" t="s">
        <v>539</v>
      </c>
      <c r="B92" s="347">
        <v>22</v>
      </c>
      <c r="C92" s="223"/>
      <c r="D92" s="222"/>
    </row>
    <row r="93" spans="1:4" ht="12.75">
      <c r="A93" s="343" t="s">
        <v>540</v>
      </c>
      <c r="B93" s="342">
        <v>15.62</v>
      </c>
      <c r="C93" s="225"/>
      <c r="D93" s="222"/>
    </row>
    <row r="95" spans="1:5" ht="12.75">
      <c r="A95" s="450" t="s">
        <v>541</v>
      </c>
      <c r="B95" s="450"/>
      <c r="C95" s="450"/>
      <c r="D95" s="450"/>
      <c r="E95" s="450"/>
    </row>
    <row r="97" spans="2:4" ht="12.75">
      <c r="B97" s="451" t="s">
        <v>542</v>
      </c>
      <c r="C97" s="451"/>
      <c r="D97" s="226"/>
    </row>
    <row r="98" spans="2:4" ht="12.75">
      <c r="B98" s="348" t="s">
        <v>543</v>
      </c>
      <c r="C98" s="348" t="s">
        <v>544</v>
      </c>
      <c r="D98" s="210"/>
    </row>
    <row r="99" spans="1:5" ht="12.75">
      <c r="A99" s="338" t="s">
        <v>545</v>
      </c>
      <c r="B99" s="349">
        <v>0.03</v>
      </c>
      <c r="C99" s="349">
        <v>0.03</v>
      </c>
      <c r="D99" s="227"/>
      <c r="E99" s="228"/>
    </row>
    <row r="100" spans="1:5" ht="12.75">
      <c r="A100" s="338" t="s">
        <v>233</v>
      </c>
      <c r="B100" s="349">
        <v>0.0679</v>
      </c>
      <c r="C100" s="349">
        <v>0.0679</v>
      </c>
      <c r="D100" s="227"/>
      <c r="E100" s="228"/>
    </row>
    <row r="101" spans="1:5" ht="12.75">
      <c r="A101" s="338" t="s">
        <v>546</v>
      </c>
      <c r="B101" s="349">
        <v>0.03</v>
      </c>
      <c r="C101" s="349">
        <v>0.03</v>
      </c>
      <c r="D101" s="227"/>
      <c r="E101" s="228"/>
    </row>
    <row r="102" ht="12.75">
      <c r="A102" s="217"/>
    </row>
  </sheetData>
  <sheetProtection/>
  <mergeCells count="65">
    <mergeCell ref="A95:E95"/>
    <mergeCell ref="B97:C97"/>
    <mergeCell ref="A65:E65"/>
    <mergeCell ref="A66:E66"/>
    <mergeCell ref="D68:E69"/>
    <mergeCell ref="A71:E71"/>
    <mergeCell ref="A77:E77"/>
    <mergeCell ref="A83:E83"/>
    <mergeCell ref="A59:A61"/>
    <mergeCell ref="B59:C59"/>
    <mergeCell ref="B60:C60"/>
    <mergeCell ref="B61:C61"/>
    <mergeCell ref="B62:C62"/>
    <mergeCell ref="B63:C63"/>
    <mergeCell ref="A53:A58"/>
    <mergeCell ref="B53:C53"/>
    <mergeCell ref="B54:C54"/>
    <mergeCell ref="B55:C55"/>
    <mergeCell ref="B56:C56"/>
    <mergeCell ref="B57:C57"/>
    <mergeCell ref="B58:C58"/>
    <mergeCell ref="A44:E44"/>
    <mergeCell ref="B45:C45"/>
    <mergeCell ref="A46:A52"/>
    <mergeCell ref="B46:C46"/>
    <mergeCell ref="B47:C47"/>
    <mergeCell ref="B48:C48"/>
    <mergeCell ref="B49:C49"/>
    <mergeCell ref="B50:C50"/>
    <mergeCell ref="B51:C51"/>
    <mergeCell ref="B52:C52"/>
    <mergeCell ref="A38:A40"/>
    <mergeCell ref="B38:C38"/>
    <mergeCell ref="B39:C39"/>
    <mergeCell ref="B40:C40"/>
    <mergeCell ref="B41:C41"/>
    <mergeCell ref="B42:C42"/>
    <mergeCell ref="A32:A37"/>
    <mergeCell ref="B32:C32"/>
    <mergeCell ref="B33:C33"/>
    <mergeCell ref="B34:C34"/>
    <mergeCell ref="B35:C35"/>
    <mergeCell ref="B36:C36"/>
    <mergeCell ref="B37:C37"/>
    <mergeCell ref="A23:E23"/>
    <mergeCell ref="B24:C24"/>
    <mergeCell ref="A25:A31"/>
    <mergeCell ref="B25:C25"/>
    <mergeCell ref="B26:C26"/>
    <mergeCell ref="B27:C27"/>
    <mergeCell ref="B28:C28"/>
    <mergeCell ref="B30:C30"/>
    <mergeCell ref="B31:C31"/>
    <mergeCell ref="B15:E15"/>
    <mergeCell ref="B16:E16"/>
    <mergeCell ref="B17:E17"/>
    <mergeCell ref="B18:E18"/>
    <mergeCell ref="B19:E19"/>
    <mergeCell ref="A21:E21"/>
    <mergeCell ref="A8:E8"/>
    <mergeCell ref="B10:E10"/>
    <mergeCell ref="B11:E11"/>
    <mergeCell ref="B12:E12"/>
    <mergeCell ref="B13:E13"/>
    <mergeCell ref="B14:E14"/>
  </mergeCells>
  <conditionalFormatting sqref="B5">
    <cfRule type="expression" priority="1" dxfId="2" stopIfTrue="1">
      <formula>LEN(TRIM(B5))=0</formula>
    </cfRule>
    <cfRule type="expression" priority="2" dxfId="1" stopIfTrue="1">
      <formula>LEN(TRIM(B5))=0</formula>
    </cfRule>
  </conditionalFormatting>
  <conditionalFormatting sqref="B13:E13">
    <cfRule type="expression" priority="3" dxfId="2" stopIfTrue="1">
      <formula>LEN(TRIM(B13))=0</formula>
    </cfRule>
  </conditionalFormatting>
  <conditionalFormatting sqref="D68:E69">
    <cfRule type="expression" priority="4" dxfId="1" stopIfTrue="1">
      <formula>LEN(TRIM(D68))&gt;0</formula>
    </cfRule>
    <cfRule type="expression" priority="5" dxfId="0" stopIfTrue="1">
      <formula>LEN(TRIM(D68))&gt;0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D11" sqref="D11:E11"/>
    </sheetView>
  </sheetViews>
  <sheetFormatPr defaultColWidth="11.57421875" defaultRowHeight="12.75"/>
  <cols>
    <col min="1" max="1" width="6.00390625" style="0" customWidth="1"/>
    <col min="2" max="2" width="37.00390625" style="0" customWidth="1"/>
    <col min="3" max="3" width="28.8515625" style="0" customWidth="1"/>
    <col min="4" max="4" width="21.7109375" style="0" customWidth="1"/>
    <col min="5" max="5" width="19.57421875" style="0" customWidth="1"/>
    <col min="6" max="6" width="25.28125" style="0" customWidth="1"/>
  </cols>
  <sheetData>
    <row r="1" spans="2:6" ht="12.75">
      <c r="B1" s="168"/>
      <c r="C1" s="168"/>
      <c r="D1" s="168"/>
      <c r="E1" s="168"/>
      <c r="F1" s="168"/>
    </row>
    <row r="2" spans="1:6" ht="12.75">
      <c r="A2" s="168"/>
      <c r="B2" s="169"/>
      <c r="C2" s="170" t="s">
        <v>480</v>
      </c>
      <c r="D2" s="170"/>
      <c r="E2" s="170"/>
      <c r="F2" s="170"/>
    </row>
    <row r="3" spans="1:6" ht="20.25">
      <c r="A3" s="171"/>
      <c r="B3" s="169"/>
      <c r="C3" s="170" t="s">
        <v>481</v>
      </c>
      <c r="D3" s="170"/>
      <c r="E3" s="170"/>
      <c r="F3" s="170"/>
    </row>
    <row r="4" spans="1:6" ht="18">
      <c r="A4" s="172"/>
      <c r="B4" s="169"/>
      <c r="C4" s="170" t="s">
        <v>495</v>
      </c>
      <c r="D4" s="170"/>
      <c r="E4" s="170"/>
      <c r="F4" s="170"/>
    </row>
    <row r="5" spans="1:6" ht="15.75">
      <c r="A5" s="173"/>
      <c r="B5" s="169"/>
      <c r="C5" s="174" t="s">
        <v>496</v>
      </c>
      <c r="D5" s="170"/>
      <c r="E5" s="170"/>
      <c r="F5" s="170"/>
    </row>
    <row r="6" spans="1:6" ht="12.75" customHeight="1">
      <c r="A6" s="172"/>
      <c r="B6" s="169"/>
      <c r="C6" s="720" t="s">
        <v>551</v>
      </c>
      <c r="D6" s="720"/>
      <c r="E6" s="720"/>
      <c r="F6" s="720"/>
    </row>
    <row r="7" spans="1:6" ht="12.75" customHeight="1">
      <c r="A7" s="175"/>
      <c r="B7" s="169"/>
      <c r="C7" s="720"/>
      <c r="D7" s="720"/>
      <c r="E7" s="720"/>
      <c r="F7" s="720"/>
    </row>
    <row r="8" spans="1:6" ht="23.25">
      <c r="A8" s="175"/>
      <c r="B8" s="176"/>
      <c r="C8" s="176"/>
      <c r="D8" s="176"/>
      <c r="E8" s="176"/>
      <c r="F8" s="176"/>
    </row>
    <row r="9" spans="1:6" ht="13.5" thickBot="1">
      <c r="A9" s="176"/>
      <c r="B9" s="176"/>
      <c r="C9" s="176"/>
      <c r="D9" s="176"/>
      <c r="E9" s="176"/>
      <c r="F9" s="176"/>
    </row>
    <row r="10" spans="1:6" ht="48" thickBot="1">
      <c r="A10" s="176"/>
      <c r="B10" s="177" t="s">
        <v>482</v>
      </c>
      <c r="C10" s="178" t="s">
        <v>483</v>
      </c>
      <c r="D10" s="721" t="s">
        <v>484</v>
      </c>
      <c r="E10" s="722"/>
      <c r="F10" s="179" t="s">
        <v>498</v>
      </c>
    </row>
    <row r="11" spans="1:6" ht="75">
      <c r="A11" s="176"/>
      <c r="B11" s="180" t="s">
        <v>497</v>
      </c>
      <c r="C11" s="181">
        <f>'Qtd Serventes 20%'!E21</f>
        <v>2.2117372669795174</v>
      </c>
      <c r="D11" s="723">
        <f>'Planilha 20%'!I338</f>
        <v>10720.08</v>
      </c>
      <c r="E11" s="724"/>
      <c r="F11" s="182">
        <f>SUM(D11*12)</f>
        <v>128640.95999999999</v>
      </c>
    </row>
    <row r="12" spans="1:7" ht="75">
      <c r="A12" s="176"/>
      <c r="B12" s="180" t="s">
        <v>499</v>
      </c>
      <c r="C12" s="183">
        <f>'Qtd Serventes 40%'!E21</f>
        <v>1.1061699691743656</v>
      </c>
      <c r="D12" s="725">
        <f>'Planilha 40%'!I338</f>
        <v>5893.499999999999</v>
      </c>
      <c r="E12" s="726"/>
      <c r="F12" s="184">
        <f>SUM(D12*12)</f>
        <v>70721.99999999999</v>
      </c>
      <c r="G12" t="s">
        <v>500</v>
      </c>
    </row>
    <row r="13" spans="1:6" ht="18">
      <c r="A13" s="176"/>
      <c r="B13" s="185" t="s">
        <v>11</v>
      </c>
      <c r="C13" s="186">
        <f>SUM(C11:C12)</f>
        <v>3.317907236153883</v>
      </c>
      <c r="D13" s="727">
        <f>SUM(D11:E12)</f>
        <v>16613.579999999998</v>
      </c>
      <c r="E13" s="728"/>
      <c r="F13" s="187">
        <f>SUM(F11:F12)</f>
        <v>199362.95999999996</v>
      </c>
    </row>
    <row r="14" spans="1:6" ht="14.25">
      <c r="A14" s="176"/>
      <c r="B14" s="188"/>
      <c r="C14" s="189"/>
      <c r="D14" s="190"/>
      <c r="E14" s="189"/>
      <c r="F14" s="189"/>
    </row>
    <row r="15" spans="1:6" ht="14.25">
      <c r="A15" s="176"/>
      <c r="B15" s="188"/>
      <c r="C15" s="189"/>
      <c r="D15" s="190"/>
      <c r="E15" s="189"/>
      <c r="F15" s="189"/>
    </row>
    <row r="16" spans="1:6" ht="15.75">
      <c r="A16" s="176"/>
      <c r="B16" s="191" t="s">
        <v>485</v>
      </c>
      <c r="C16" s="192"/>
      <c r="D16" s="192"/>
      <c r="E16" s="192"/>
      <c r="F16" s="192"/>
    </row>
    <row r="17" spans="1:6" ht="15" customHeight="1">
      <c r="A17" s="176"/>
      <c r="B17" s="729" t="s">
        <v>486</v>
      </c>
      <c r="C17" s="729"/>
      <c r="D17" s="729"/>
      <c r="E17" s="729"/>
      <c r="F17" s="729"/>
    </row>
    <row r="18" spans="1:6" ht="30" customHeight="1">
      <c r="A18" s="176"/>
      <c r="B18" s="730" t="s">
        <v>487</v>
      </c>
      <c r="C18" s="730"/>
      <c r="D18" s="730"/>
      <c r="E18" s="730"/>
      <c r="F18" s="730"/>
    </row>
    <row r="19" spans="1:6" ht="28.5" customHeight="1">
      <c r="A19" s="176"/>
      <c r="B19" s="730" t="s">
        <v>488</v>
      </c>
      <c r="C19" s="730"/>
      <c r="D19" s="730"/>
      <c r="E19" s="730"/>
      <c r="F19" s="730"/>
    </row>
    <row r="20" spans="1:6" ht="28.5" customHeight="1">
      <c r="A20" s="176"/>
      <c r="B20" s="730" t="s">
        <v>489</v>
      </c>
      <c r="C20" s="730"/>
      <c r="D20" s="730"/>
      <c r="E20" s="730"/>
      <c r="F20" s="730"/>
    </row>
    <row r="21" spans="1:6" ht="28.5" customHeight="1">
      <c r="A21" s="176"/>
      <c r="B21" s="730" t="s">
        <v>490</v>
      </c>
      <c r="C21" s="730"/>
      <c r="D21" s="730"/>
      <c r="E21" s="730"/>
      <c r="F21" s="730"/>
    </row>
    <row r="22" spans="1:6" ht="15" customHeight="1">
      <c r="A22" s="176"/>
      <c r="B22" s="729" t="s">
        <v>491</v>
      </c>
      <c r="C22" s="729"/>
      <c r="D22" s="729"/>
      <c r="E22" s="729"/>
      <c r="F22" s="729"/>
    </row>
    <row r="23" spans="1:6" ht="15" customHeight="1">
      <c r="A23" s="176"/>
      <c r="B23" s="192"/>
      <c r="C23" s="192"/>
      <c r="D23" s="192"/>
      <c r="E23" s="192"/>
      <c r="F23" s="192"/>
    </row>
    <row r="24" spans="1:6" ht="15.75">
      <c r="A24" s="176"/>
      <c r="B24" s="193" t="s">
        <v>492</v>
      </c>
      <c r="C24" s="716">
        <f>Preenchimento!B15</f>
        <v>0</v>
      </c>
      <c r="D24" s="716"/>
      <c r="E24" s="716"/>
      <c r="F24" s="716"/>
    </row>
    <row r="25" spans="1:6" ht="15.75">
      <c r="A25" s="176"/>
      <c r="B25" s="193" t="s">
        <v>493</v>
      </c>
      <c r="C25" s="716">
        <f>Preenchimento!B16</f>
        <v>0</v>
      </c>
      <c r="D25" s="716"/>
      <c r="E25" s="192"/>
      <c r="F25" s="192"/>
    </row>
    <row r="26" spans="1:6" ht="15">
      <c r="A26" s="176"/>
      <c r="B26" s="192"/>
      <c r="C26" s="192"/>
      <c r="D26" s="192"/>
      <c r="E26" s="716" t="s">
        <v>494</v>
      </c>
      <c r="F26" s="716"/>
    </row>
    <row r="27" spans="1:6" ht="15">
      <c r="A27" s="176"/>
      <c r="B27" s="192"/>
      <c r="C27" s="192"/>
      <c r="D27" s="192"/>
      <c r="E27" s="192"/>
      <c r="F27" s="192"/>
    </row>
    <row r="28" spans="1:6" ht="15">
      <c r="A28" s="176"/>
      <c r="B28" s="192"/>
      <c r="C28" s="192"/>
      <c r="D28" s="192"/>
      <c r="E28" s="717"/>
      <c r="F28" s="717"/>
    </row>
    <row r="29" spans="1:6" ht="15">
      <c r="A29" s="176"/>
      <c r="B29" s="194"/>
      <c r="C29" s="194"/>
      <c r="D29" s="194"/>
      <c r="E29" s="195"/>
      <c r="F29" s="195"/>
    </row>
    <row r="30" spans="1:6" ht="15">
      <c r="A30" s="176"/>
      <c r="B30" s="176"/>
      <c r="C30" s="196"/>
      <c r="D30" s="195"/>
      <c r="E30" s="195"/>
      <c r="F30" s="195"/>
    </row>
    <row r="31" spans="1:6" ht="15">
      <c r="A31" s="176"/>
      <c r="B31" s="328" t="s">
        <v>507</v>
      </c>
      <c r="C31" s="329">
        <f>Preenchimento!B17</f>
        <v>0</v>
      </c>
      <c r="D31" s="195"/>
      <c r="E31" s="195"/>
      <c r="F31" s="195"/>
    </row>
    <row r="32" spans="1:6" ht="15">
      <c r="A32" s="176"/>
      <c r="B32" s="330" t="s">
        <v>508</v>
      </c>
      <c r="C32" s="196">
        <f>Preenchimento!B18</f>
        <v>0</v>
      </c>
      <c r="D32" s="197"/>
      <c r="E32" s="195"/>
      <c r="F32" s="195"/>
    </row>
    <row r="33" spans="1:6" ht="15">
      <c r="A33" s="176"/>
      <c r="B33" s="330" t="s">
        <v>509</v>
      </c>
      <c r="C33" s="196">
        <f>Preenchimento!B19</f>
        <v>0</v>
      </c>
      <c r="D33" s="197"/>
      <c r="E33" s="195"/>
      <c r="F33" s="195"/>
    </row>
    <row r="34" spans="1:6" ht="15">
      <c r="A34" s="176"/>
      <c r="B34" s="198"/>
      <c r="C34" s="718"/>
      <c r="D34" s="719"/>
      <c r="E34" s="195"/>
      <c r="F34" s="195"/>
    </row>
    <row r="35" spans="1:6" ht="15">
      <c r="A35" s="176"/>
      <c r="B35" s="199"/>
      <c r="C35" s="712">
        <v>43957</v>
      </c>
      <c r="D35" s="713"/>
      <c r="E35" s="195"/>
      <c r="F35" s="195"/>
    </row>
    <row r="36" spans="1:6" ht="15">
      <c r="A36" s="176"/>
      <c r="B36" s="198"/>
      <c r="C36" s="714"/>
      <c r="D36" s="715"/>
      <c r="E36" s="195"/>
      <c r="F36" s="195"/>
    </row>
    <row r="37" spans="1:6" ht="12.75">
      <c r="A37" s="176"/>
      <c r="B37" s="176"/>
      <c r="C37" s="176"/>
      <c r="D37" s="176"/>
      <c r="E37" s="176"/>
      <c r="F37" s="176"/>
    </row>
    <row r="38" spans="1:3" ht="12.75">
      <c r="A38" s="176"/>
      <c r="B38" s="168"/>
      <c r="C38" s="168"/>
    </row>
    <row r="39" spans="1:3" ht="12.75">
      <c r="A39" s="176"/>
      <c r="B39" s="168"/>
      <c r="C39" s="168"/>
    </row>
  </sheetData>
  <sheetProtection selectLockedCells="1" selectUnlockedCells="1"/>
  <mergeCells count="18">
    <mergeCell ref="B17:F17"/>
    <mergeCell ref="C25:D25"/>
    <mergeCell ref="B18:F18"/>
    <mergeCell ref="B19:F19"/>
    <mergeCell ref="B20:F20"/>
    <mergeCell ref="B21:F21"/>
    <mergeCell ref="B22:F22"/>
    <mergeCell ref="C24:F24"/>
    <mergeCell ref="C35:D35"/>
    <mergeCell ref="C36:D36"/>
    <mergeCell ref="E26:F26"/>
    <mergeCell ref="E28:F28"/>
    <mergeCell ref="C34:D34"/>
    <mergeCell ref="C6:F7"/>
    <mergeCell ref="D10:E10"/>
    <mergeCell ref="D11:E11"/>
    <mergeCell ref="D12:E12"/>
    <mergeCell ref="D13:E13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62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PageLayoutView="0" workbookViewId="0" topLeftCell="A5">
      <selection activeCell="B23" sqref="B23"/>
    </sheetView>
  </sheetViews>
  <sheetFormatPr defaultColWidth="11.421875" defaultRowHeight="12.75"/>
  <cols>
    <col min="1" max="1" width="49.421875" style="154" customWidth="1"/>
    <col min="2" max="2" width="10.00390625" style="155" customWidth="1"/>
    <col min="3" max="3" width="13.57421875" style="155" customWidth="1"/>
    <col min="4" max="4" width="12.421875" style="155" customWidth="1"/>
    <col min="5" max="5" width="11.421875" style="156" customWidth="1"/>
    <col min="6" max="6" width="10.7109375" style="156" customWidth="1"/>
  </cols>
  <sheetData>
    <row r="1" spans="1:6" ht="18.75" customHeight="1">
      <c r="A1" s="470" t="s">
        <v>369</v>
      </c>
      <c r="B1" s="470"/>
      <c r="C1" s="470"/>
      <c r="D1" s="470"/>
      <c r="E1" s="470"/>
      <c r="F1" s="470"/>
    </row>
    <row r="2" spans="1:10" ht="14.25" customHeight="1">
      <c r="A2" s="471" t="s">
        <v>370</v>
      </c>
      <c r="B2" s="471"/>
      <c r="C2" s="471"/>
      <c r="D2" s="471"/>
      <c r="E2" s="471"/>
      <c r="F2" s="471"/>
      <c r="H2" s="387"/>
      <c r="I2" s="387"/>
      <c r="J2" s="387"/>
    </row>
    <row r="3" spans="1:10" ht="12.75">
      <c r="A3" s="157"/>
      <c r="B3" s="157"/>
      <c r="C3" s="157"/>
      <c r="D3" s="157"/>
      <c r="E3" s="157"/>
      <c r="F3" s="157"/>
      <c r="H3" s="387"/>
      <c r="I3" s="387"/>
      <c r="J3" s="387"/>
    </row>
    <row r="4" spans="1:10" ht="14.25" customHeight="1">
      <c r="A4" s="472"/>
      <c r="B4" s="472"/>
      <c r="C4" s="472"/>
      <c r="D4" s="472"/>
      <c r="E4" s="472"/>
      <c r="F4" s="472"/>
      <c r="H4" s="387"/>
      <c r="I4" s="387"/>
      <c r="J4" s="387"/>
    </row>
    <row r="5" spans="1:10" ht="38.25">
      <c r="A5" s="295" t="s">
        <v>371</v>
      </c>
      <c r="B5" s="295" t="s">
        <v>372</v>
      </c>
      <c r="C5" s="295" t="s">
        <v>373</v>
      </c>
      <c r="D5" s="295" t="s">
        <v>374</v>
      </c>
      <c r="E5" s="296" t="s">
        <v>375</v>
      </c>
      <c r="F5" s="296" t="s">
        <v>376</v>
      </c>
      <c r="G5" s="2"/>
      <c r="H5" s="387"/>
      <c r="I5" s="387"/>
      <c r="J5" s="387"/>
    </row>
    <row r="6" spans="1:10" ht="12.75">
      <c r="A6" s="297" t="s">
        <v>377</v>
      </c>
      <c r="B6" s="308" t="s">
        <v>378</v>
      </c>
      <c r="C6" s="404">
        <v>13</v>
      </c>
      <c r="D6" s="308">
        <f aca="true" t="shared" si="0" ref="D6:D30">C6*12</f>
        <v>156</v>
      </c>
      <c r="E6" s="357">
        <v>4.14</v>
      </c>
      <c r="F6" s="358">
        <f>D6*E6</f>
        <v>645.8399999999999</v>
      </c>
      <c r="G6" s="2"/>
      <c r="H6" s="390"/>
      <c r="I6" s="391"/>
      <c r="J6" s="391"/>
    </row>
    <row r="7" spans="1:10" ht="12.75">
      <c r="A7" s="297" t="s">
        <v>379</v>
      </c>
      <c r="B7" s="308" t="s">
        <v>378</v>
      </c>
      <c r="C7" s="404">
        <v>10</v>
      </c>
      <c r="D7" s="308">
        <f t="shared" si="0"/>
        <v>120</v>
      </c>
      <c r="E7" s="357">
        <v>6.42</v>
      </c>
      <c r="F7" s="358">
        <f aca="true" t="shared" si="1" ref="F7:F30">D7*E7</f>
        <v>770.4</v>
      </c>
      <c r="G7" s="2"/>
      <c r="H7" s="390"/>
      <c r="I7" s="391"/>
      <c r="J7" s="391"/>
    </row>
    <row r="8" spans="1:10" ht="12.75">
      <c r="A8" s="297" t="s">
        <v>380</v>
      </c>
      <c r="B8" s="352" t="s">
        <v>381</v>
      </c>
      <c r="C8" s="405">
        <v>10</v>
      </c>
      <c r="D8" s="308">
        <f t="shared" si="0"/>
        <v>120</v>
      </c>
      <c r="E8" s="357">
        <v>6.31</v>
      </c>
      <c r="F8" s="358">
        <f t="shared" si="1"/>
        <v>757.1999999999999</v>
      </c>
      <c r="G8" s="2"/>
      <c r="H8" s="390"/>
      <c r="I8" s="392"/>
      <c r="J8" s="393"/>
    </row>
    <row r="9" spans="1:10" ht="12.75">
      <c r="A9" s="297" t="s">
        <v>383</v>
      </c>
      <c r="B9" s="352" t="s">
        <v>382</v>
      </c>
      <c r="C9" s="405">
        <v>10</v>
      </c>
      <c r="D9" s="308">
        <f t="shared" si="0"/>
        <v>120</v>
      </c>
      <c r="E9" s="357">
        <v>3.79</v>
      </c>
      <c r="F9" s="358">
        <f t="shared" si="1"/>
        <v>454.8</v>
      </c>
      <c r="G9" s="2"/>
      <c r="H9" s="390"/>
      <c r="I9" s="392"/>
      <c r="J9" s="393"/>
    </row>
    <row r="10" spans="1:10" ht="12.75">
      <c r="A10" s="297" t="s">
        <v>384</v>
      </c>
      <c r="B10" s="352" t="s">
        <v>381</v>
      </c>
      <c r="C10" s="405">
        <v>8</v>
      </c>
      <c r="D10" s="308">
        <f t="shared" si="0"/>
        <v>96</v>
      </c>
      <c r="E10" s="357">
        <v>7.33</v>
      </c>
      <c r="F10" s="358">
        <f t="shared" si="1"/>
        <v>703.6800000000001</v>
      </c>
      <c r="G10" s="2"/>
      <c r="H10" s="390"/>
      <c r="I10" s="392"/>
      <c r="J10" s="393"/>
    </row>
    <row r="11" spans="1:10" ht="12.75">
      <c r="A11" s="297" t="s">
        <v>385</v>
      </c>
      <c r="B11" s="352" t="s">
        <v>382</v>
      </c>
      <c r="C11" s="405">
        <v>10</v>
      </c>
      <c r="D11" s="308">
        <f t="shared" si="0"/>
        <v>120</v>
      </c>
      <c r="E11" s="357">
        <v>1.93</v>
      </c>
      <c r="F11" s="358">
        <f t="shared" si="1"/>
        <v>231.6</v>
      </c>
      <c r="G11" s="2"/>
      <c r="H11" s="390"/>
      <c r="I11" s="392"/>
      <c r="J11" s="393"/>
    </row>
    <row r="12" spans="1:10" ht="25.5">
      <c r="A12" s="307" t="s">
        <v>386</v>
      </c>
      <c r="B12" s="308" t="s">
        <v>381</v>
      </c>
      <c r="C12" s="405">
        <v>5</v>
      </c>
      <c r="D12" s="308">
        <f t="shared" si="0"/>
        <v>60</v>
      </c>
      <c r="E12" s="357">
        <v>23.23</v>
      </c>
      <c r="F12" s="359">
        <f t="shared" si="1"/>
        <v>1393.8</v>
      </c>
      <c r="G12" s="2"/>
      <c r="H12" s="394"/>
      <c r="I12" s="391"/>
      <c r="J12" s="393"/>
    </row>
    <row r="13" spans="1:10" ht="12.75">
      <c r="A13" s="353" t="s">
        <v>387</v>
      </c>
      <c r="B13" s="308" t="s">
        <v>382</v>
      </c>
      <c r="C13" s="405">
        <v>18</v>
      </c>
      <c r="D13" s="308">
        <f t="shared" si="0"/>
        <v>216</v>
      </c>
      <c r="E13" s="357">
        <v>6.88</v>
      </c>
      <c r="F13" s="358">
        <f t="shared" si="1"/>
        <v>1486.08</v>
      </c>
      <c r="G13" s="2"/>
      <c r="H13" s="395"/>
      <c r="I13" s="391"/>
      <c r="J13" s="393"/>
    </row>
    <row r="14" spans="1:10" ht="12.75">
      <c r="A14" s="307" t="s">
        <v>388</v>
      </c>
      <c r="B14" s="308" t="s">
        <v>389</v>
      </c>
      <c r="C14" s="405">
        <v>20</v>
      </c>
      <c r="D14" s="308">
        <f t="shared" si="0"/>
        <v>240</v>
      </c>
      <c r="E14" s="357">
        <v>1.46</v>
      </c>
      <c r="F14" s="358">
        <f t="shared" si="1"/>
        <v>350.4</v>
      </c>
      <c r="G14" s="2"/>
      <c r="H14" s="394"/>
      <c r="I14" s="391"/>
      <c r="J14" s="393"/>
    </row>
    <row r="15" spans="1:10" ht="12.75">
      <c r="A15" s="353" t="s">
        <v>390</v>
      </c>
      <c r="B15" s="308" t="s">
        <v>389</v>
      </c>
      <c r="C15" s="405">
        <v>15</v>
      </c>
      <c r="D15" s="308">
        <f t="shared" si="0"/>
        <v>180</v>
      </c>
      <c r="E15" s="357">
        <v>2.54</v>
      </c>
      <c r="F15" s="358">
        <f t="shared" si="1"/>
        <v>457.2</v>
      </c>
      <c r="G15" s="2"/>
      <c r="H15" s="395"/>
      <c r="I15" s="391"/>
      <c r="J15" s="393"/>
    </row>
    <row r="16" spans="1:10" ht="25.5">
      <c r="A16" s="307" t="s">
        <v>391</v>
      </c>
      <c r="B16" s="308" t="s">
        <v>389</v>
      </c>
      <c r="C16" s="405">
        <v>1</v>
      </c>
      <c r="D16" s="308">
        <f t="shared" si="0"/>
        <v>12</v>
      </c>
      <c r="E16" s="357">
        <v>88.67</v>
      </c>
      <c r="F16" s="358">
        <f t="shared" si="1"/>
        <v>1064.04</v>
      </c>
      <c r="G16" s="2"/>
      <c r="H16" s="394"/>
      <c r="I16" s="391"/>
      <c r="J16" s="393"/>
    </row>
    <row r="17" spans="1:10" ht="12.75">
      <c r="A17" s="353" t="s">
        <v>392</v>
      </c>
      <c r="B17" s="308" t="s">
        <v>389</v>
      </c>
      <c r="C17" s="405">
        <v>15</v>
      </c>
      <c r="D17" s="308">
        <f t="shared" si="0"/>
        <v>180</v>
      </c>
      <c r="E17" s="357">
        <v>2.32</v>
      </c>
      <c r="F17" s="358">
        <f t="shared" si="1"/>
        <v>417.59999999999997</v>
      </c>
      <c r="G17" s="2"/>
      <c r="H17" s="395"/>
      <c r="I17" s="391"/>
      <c r="J17" s="393"/>
    </row>
    <row r="18" spans="1:10" ht="12.75">
      <c r="A18" s="353" t="s">
        <v>393</v>
      </c>
      <c r="B18" s="308" t="s">
        <v>389</v>
      </c>
      <c r="C18" s="405">
        <v>6</v>
      </c>
      <c r="D18" s="308">
        <f t="shared" si="0"/>
        <v>72</v>
      </c>
      <c r="E18" s="357">
        <v>7.63</v>
      </c>
      <c r="F18" s="358">
        <f t="shared" si="1"/>
        <v>549.36</v>
      </c>
      <c r="G18" s="2"/>
      <c r="H18" s="395"/>
      <c r="I18" s="391"/>
      <c r="J18" s="393"/>
    </row>
    <row r="19" spans="1:10" ht="12.75">
      <c r="A19" s="353" t="s">
        <v>394</v>
      </c>
      <c r="B19" s="308" t="s">
        <v>389</v>
      </c>
      <c r="C19" s="405">
        <v>5</v>
      </c>
      <c r="D19" s="308">
        <f t="shared" si="0"/>
        <v>60</v>
      </c>
      <c r="E19" s="357">
        <v>21.4</v>
      </c>
      <c r="F19" s="358">
        <f t="shared" si="1"/>
        <v>1284</v>
      </c>
      <c r="G19" s="2"/>
      <c r="H19" s="395"/>
      <c r="I19" s="391"/>
      <c r="J19" s="393"/>
    </row>
    <row r="20" spans="1:10" ht="12.75">
      <c r="A20" s="353" t="s">
        <v>395</v>
      </c>
      <c r="B20" s="308" t="s">
        <v>382</v>
      </c>
      <c r="C20" s="405">
        <v>10</v>
      </c>
      <c r="D20" s="308">
        <f t="shared" si="0"/>
        <v>120</v>
      </c>
      <c r="E20" s="357">
        <v>2.47</v>
      </c>
      <c r="F20" s="358">
        <f t="shared" si="1"/>
        <v>296.40000000000003</v>
      </c>
      <c r="G20" s="2"/>
      <c r="H20" s="395"/>
      <c r="I20" s="391"/>
      <c r="J20" s="393"/>
    </row>
    <row r="21" spans="1:10" ht="12.75">
      <c r="A21" s="353" t="s">
        <v>396</v>
      </c>
      <c r="B21" s="308" t="s">
        <v>397</v>
      </c>
      <c r="C21" s="405">
        <v>5</v>
      </c>
      <c r="D21" s="308">
        <f t="shared" si="0"/>
        <v>60</v>
      </c>
      <c r="E21" s="357">
        <v>8.12</v>
      </c>
      <c r="F21" s="358">
        <f t="shared" si="1"/>
        <v>487.19999999999993</v>
      </c>
      <c r="G21" s="2"/>
      <c r="H21" s="395"/>
      <c r="I21" s="391"/>
      <c r="J21" s="393"/>
    </row>
    <row r="22" spans="1:10" ht="12.75">
      <c r="A22" s="354" t="s">
        <v>398</v>
      </c>
      <c r="B22" s="355" t="s">
        <v>378</v>
      </c>
      <c r="C22" s="405">
        <v>5</v>
      </c>
      <c r="D22" s="356">
        <f t="shared" si="0"/>
        <v>60</v>
      </c>
      <c r="E22" s="357">
        <v>5.54</v>
      </c>
      <c r="F22" s="359">
        <f t="shared" si="1"/>
        <v>332.4</v>
      </c>
      <c r="G22" s="2"/>
      <c r="H22" s="390"/>
      <c r="I22" s="392"/>
      <c r="J22" s="393"/>
    </row>
    <row r="23" spans="1:10" ht="63" customHeight="1">
      <c r="A23" s="363" t="s">
        <v>399</v>
      </c>
      <c r="B23" s="352" t="s">
        <v>400</v>
      </c>
      <c r="C23" s="406">
        <v>2</v>
      </c>
      <c r="D23" s="308">
        <f t="shared" si="0"/>
        <v>24</v>
      </c>
      <c r="E23" s="357">
        <v>21.84</v>
      </c>
      <c r="F23" s="359">
        <f t="shared" si="1"/>
        <v>524.16</v>
      </c>
      <c r="G23" s="2"/>
      <c r="H23" s="388"/>
      <c r="I23" s="392"/>
      <c r="J23" s="396"/>
    </row>
    <row r="24" spans="1:10" ht="12.75">
      <c r="A24" s="297" t="s">
        <v>676</v>
      </c>
      <c r="B24" s="386" t="s">
        <v>381</v>
      </c>
      <c r="C24" s="406">
        <v>2</v>
      </c>
      <c r="D24" s="308">
        <f t="shared" si="0"/>
        <v>24</v>
      </c>
      <c r="E24" s="357">
        <v>48.64</v>
      </c>
      <c r="F24" s="359">
        <f t="shared" si="1"/>
        <v>1167.3600000000001</v>
      </c>
      <c r="G24" s="2"/>
      <c r="H24" s="389"/>
      <c r="I24" s="392"/>
      <c r="J24" s="396"/>
    </row>
    <row r="25" spans="1:10" ht="25.5">
      <c r="A25" s="297" t="s">
        <v>401</v>
      </c>
      <c r="B25" s="352" t="s">
        <v>402</v>
      </c>
      <c r="C25" s="407">
        <v>2</v>
      </c>
      <c r="D25" s="308">
        <f t="shared" si="0"/>
        <v>24</v>
      </c>
      <c r="E25" s="357">
        <v>13.48</v>
      </c>
      <c r="F25" s="358">
        <f t="shared" si="1"/>
        <v>323.52</v>
      </c>
      <c r="G25" s="2"/>
      <c r="H25" s="390"/>
      <c r="I25" s="392"/>
      <c r="J25" s="397"/>
    </row>
    <row r="26" spans="1:10" ht="25.5">
      <c r="A26" s="297" t="s">
        <v>403</v>
      </c>
      <c r="B26" s="352" t="s">
        <v>402</v>
      </c>
      <c r="C26" s="407">
        <v>2</v>
      </c>
      <c r="D26" s="308">
        <f t="shared" si="0"/>
        <v>24</v>
      </c>
      <c r="E26" s="357">
        <v>13.48</v>
      </c>
      <c r="F26" s="358">
        <f t="shared" si="1"/>
        <v>323.52</v>
      </c>
      <c r="G26" s="2"/>
      <c r="H26" s="390"/>
      <c r="I26" s="392"/>
      <c r="J26" s="397"/>
    </row>
    <row r="27" spans="1:10" ht="25.5">
      <c r="A27" s="297" t="s">
        <v>404</v>
      </c>
      <c r="B27" s="352" t="s">
        <v>402</v>
      </c>
      <c r="C27" s="407">
        <v>1</v>
      </c>
      <c r="D27" s="308">
        <f t="shared" si="0"/>
        <v>12</v>
      </c>
      <c r="E27" s="357">
        <v>7.01</v>
      </c>
      <c r="F27" s="358">
        <f t="shared" si="1"/>
        <v>84.12</v>
      </c>
      <c r="G27" s="2"/>
      <c r="H27" s="390"/>
      <c r="I27" s="392"/>
      <c r="J27" s="397"/>
    </row>
    <row r="28" spans="1:10" ht="25.5">
      <c r="A28" s="297" t="s">
        <v>405</v>
      </c>
      <c r="B28" s="352" t="s">
        <v>402</v>
      </c>
      <c r="C28" s="407">
        <v>2</v>
      </c>
      <c r="D28" s="308">
        <f t="shared" si="0"/>
        <v>24</v>
      </c>
      <c r="E28" s="357">
        <v>7.01</v>
      </c>
      <c r="F28" s="358">
        <f t="shared" si="1"/>
        <v>168.24</v>
      </c>
      <c r="G28" s="2"/>
      <c r="H28" s="390"/>
      <c r="I28" s="392"/>
      <c r="J28" s="397"/>
    </row>
    <row r="29" spans="1:10" ht="25.5">
      <c r="A29" s="297" t="s">
        <v>406</v>
      </c>
      <c r="B29" s="352" t="s">
        <v>402</v>
      </c>
      <c r="C29" s="407">
        <v>1</v>
      </c>
      <c r="D29" s="308">
        <f t="shared" si="0"/>
        <v>12</v>
      </c>
      <c r="E29" s="357">
        <v>5.52</v>
      </c>
      <c r="F29" s="358">
        <f t="shared" si="1"/>
        <v>66.24</v>
      </c>
      <c r="G29" s="2"/>
      <c r="H29" s="390"/>
      <c r="I29" s="392"/>
      <c r="J29" s="397"/>
    </row>
    <row r="30" spans="1:10" ht="25.5">
      <c r="A30" s="297" t="s">
        <v>407</v>
      </c>
      <c r="B30" s="352" t="s">
        <v>402</v>
      </c>
      <c r="C30" s="407">
        <v>2</v>
      </c>
      <c r="D30" s="308">
        <f t="shared" si="0"/>
        <v>24</v>
      </c>
      <c r="E30" s="357">
        <v>5.52</v>
      </c>
      <c r="F30" s="358">
        <f t="shared" si="1"/>
        <v>132.48</v>
      </c>
      <c r="G30" s="2"/>
      <c r="H30" s="390"/>
      <c r="I30" s="392"/>
      <c r="J30" s="397"/>
    </row>
    <row r="31" spans="1:10" ht="14.25" customHeight="1">
      <c r="A31" s="469" t="s">
        <v>408</v>
      </c>
      <c r="B31" s="469"/>
      <c r="C31" s="469"/>
      <c r="D31" s="469"/>
      <c r="E31" s="469"/>
      <c r="F31" s="351">
        <f>SUM(F6:F30)</f>
        <v>14471.640000000001</v>
      </c>
      <c r="G31" s="2"/>
      <c r="H31" s="390"/>
      <c r="I31" s="392"/>
      <c r="J31" s="397"/>
    </row>
    <row r="32" spans="1:10" ht="14.25" customHeight="1">
      <c r="A32" s="469" t="s">
        <v>409</v>
      </c>
      <c r="B32" s="469"/>
      <c r="C32" s="469"/>
      <c r="D32" s="469"/>
      <c r="E32" s="469"/>
      <c r="F32" s="351">
        <f>F31/12</f>
        <v>1205.97</v>
      </c>
      <c r="G32" s="2"/>
      <c r="H32" s="390"/>
      <c r="I32" s="392"/>
      <c r="J32" s="397"/>
    </row>
    <row r="33" spans="1:10" ht="12.75">
      <c r="A33" s="160"/>
      <c r="B33" s="161"/>
      <c r="C33" s="161"/>
      <c r="D33" s="161"/>
      <c r="E33" s="162"/>
      <c r="F33" s="163"/>
      <c r="G33" s="2"/>
      <c r="H33" s="387"/>
      <c r="I33" s="387"/>
      <c r="J33" s="387"/>
    </row>
    <row r="34" spans="1:10" ht="51.75">
      <c r="A34" s="295" t="s">
        <v>410</v>
      </c>
      <c r="B34" s="295" t="s">
        <v>372</v>
      </c>
      <c r="C34" s="295" t="s">
        <v>373</v>
      </c>
      <c r="D34" s="295" t="s">
        <v>374</v>
      </c>
      <c r="E34" s="296" t="s">
        <v>375</v>
      </c>
      <c r="F34" s="296" t="s">
        <v>376</v>
      </c>
      <c r="G34" s="2"/>
      <c r="H34" s="387"/>
      <c r="I34" s="387"/>
      <c r="J34" s="387"/>
    </row>
    <row r="35" spans="1:8" ht="25.5">
      <c r="A35" s="297" t="s">
        <v>411</v>
      </c>
      <c r="B35" s="352" t="s">
        <v>412</v>
      </c>
      <c r="C35" s="360">
        <v>25</v>
      </c>
      <c r="D35" s="306">
        <f>C35*12</f>
        <v>300</v>
      </c>
      <c r="E35" s="357">
        <v>23.74</v>
      </c>
      <c r="F35" s="362">
        <f>D35*E35</f>
        <v>7121.999999999999</v>
      </c>
      <c r="G35" s="2"/>
      <c r="H35" s="2"/>
    </row>
    <row r="36" spans="1:8" ht="38.25">
      <c r="A36" s="297" t="s">
        <v>413</v>
      </c>
      <c r="B36" s="352" t="s">
        <v>414</v>
      </c>
      <c r="C36" s="360">
        <v>20</v>
      </c>
      <c r="D36" s="306">
        <f>C36*12</f>
        <v>240</v>
      </c>
      <c r="E36" s="357">
        <v>42.08</v>
      </c>
      <c r="F36" s="362">
        <f>D36*E36</f>
        <v>10099.199999999999</v>
      </c>
      <c r="G36" s="2"/>
      <c r="H36" s="2"/>
    </row>
    <row r="37" spans="1:8" ht="12.75">
      <c r="A37" s="372" t="s">
        <v>601</v>
      </c>
      <c r="B37" s="308" t="s">
        <v>381</v>
      </c>
      <c r="C37" s="360">
        <v>4</v>
      </c>
      <c r="D37" s="306">
        <f>C37*12</f>
        <v>48</v>
      </c>
      <c r="E37" s="357">
        <v>8.41</v>
      </c>
      <c r="F37" s="362">
        <f>D37*E37</f>
        <v>403.68</v>
      </c>
      <c r="G37" s="2"/>
      <c r="H37" s="2"/>
    </row>
    <row r="38" spans="1:8" ht="14.25" customHeight="1">
      <c r="A38" s="469" t="s">
        <v>415</v>
      </c>
      <c r="B38" s="469"/>
      <c r="C38" s="469"/>
      <c r="D38" s="469"/>
      <c r="E38" s="469"/>
      <c r="F38" s="361">
        <f>SUM(F35:F37)</f>
        <v>17624.879999999997</v>
      </c>
      <c r="H38" s="2"/>
    </row>
    <row r="39" spans="1:8" ht="14.25" customHeight="1">
      <c r="A39" s="469" t="s">
        <v>416</v>
      </c>
      <c r="B39" s="469"/>
      <c r="C39" s="469"/>
      <c r="D39" s="469"/>
      <c r="E39" s="469">
        <f>F38*12</f>
        <v>211498.55999999997</v>
      </c>
      <c r="F39" s="314">
        <f>F38/12</f>
        <v>1468.7399999999998</v>
      </c>
      <c r="H39" s="2"/>
    </row>
    <row r="40" ht="14.25">
      <c r="H40" s="2"/>
    </row>
    <row r="41" spans="1:11" ht="64.5">
      <c r="A41" s="294" t="s">
        <v>417</v>
      </c>
      <c r="B41" s="295" t="s">
        <v>372</v>
      </c>
      <c r="C41" s="295" t="s">
        <v>418</v>
      </c>
      <c r="D41" s="295" t="s">
        <v>419</v>
      </c>
      <c r="E41" s="295" t="s">
        <v>374</v>
      </c>
      <c r="F41" s="296" t="s">
        <v>375</v>
      </c>
      <c r="G41" s="296" t="s">
        <v>376</v>
      </c>
      <c r="H41" s="2"/>
      <c r="I41" s="387"/>
      <c r="J41" s="387"/>
      <c r="K41" s="387"/>
    </row>
    <row r="42" spans="1:11" ht="12.75">
      <c r="A42" s="297" t="s">
        <v>420</v>
      </c>
      <c r="B42" s="298" t="s">
        <v>421</v>
      </c>
      <c r="C42" s="408">
        <v>8</v>
      </c>
      <c r="D42" s="299">
        <v>12</v>
      </c>
      <c r="E42" s="300">
        <f aca="true" t="shared" si="2" ref="E42:E57">12/D42*C42</f>
        <v>8</v>
      </c>
      <c r="F42" s="357">
        <v>4.7</v>
      </c>
      <c r="G42" s="323">
        <f>F42*E42</f>
        <v>37.6</v>
      </c>
      <c r="H42" s="164"/>
      <c r="I42" s="390"/>
      <c r="J42" s="398"/>
      <c r="K42" s="398"/>
    </row>
    <row r="43" spans="1:11" ht="12.75">
      <c r="A43" s="297" t="s">
        <v>422</v>
      </c>
      <c r="B43" s="298" t="s">
        <v>421</v>
      </c>
      <c r="C43" s="408">
        <v>8</v>
      </c>
      <c r="D43" s="299">
        <v>3</v>
      </c>
      <c r="E43" s="300">
        <f t="shared" si="2"/>
        <v>32</v>
      </c>
      <c r="F43" s="357">
        <v>3.75</v>
      </c>
      <c r="G43" s="323">
        <f aca="true" t="shared" si="3" ref="G43:G57">F43*E43</f>
        <v>120</v>
      </c>
      <c r="H43" s="164"/>
      <c r="I43" s="390"/>
      <c r="J43" s="398"/>
      <c r="K43" s="398"/>
    </row>
    <row r="44" spans="1:11" ht="12.75">
      <c r="A44" s="301" t="s">
        <v>423</v>
      </c>
      <c r="B44" s="298" t="s">
        <v>421</v>
      </c>
      <c r="C44" s="408">
        <v>3</v>
      </c>
      <c r="D44" s="299">
        <v>12</v>
      </c>
      <c r="E44" s="300">
        <f t="shared" si="2"/>
        <v>3</v>
      </c>
      <c r="F44" s="357">
        <v>135.83</v>
      </c>
      <c r="G44" s="323">
        <f t="shared" si="3"/>
        <v>407.49</v>
      </c>
      <c r="H44" s="164"/>
      <c r="I44" s="399"/>
      <c r="J44" s="398"/>
      <c r="K44" s="398"/>
    </row>
    <row r="45" spans="1:11" ht="12.75">
      <c r="A45" s="302" t="s">
        <v>424</v>
      </c>
      <c r="B45" s="298" t="s">
        <v>389</v>
      </c>
      <c r="C45" s="408">
        <v>8</v>
      </c>
      <c r="D45" s="303">
        <v>12</v>
      </c>
      <c r="E45" s="300">
        <f t="shared" si="2"/>
        <v>8</v>
      </c>
      <c r="F45" s="357">
        <v>5.89</v>
      </c>
      <c r="G45" s="323">
        <f t="shared" si="3"/>
        <v>47.12</v>
      </c>
      <c r="H45" s="164"/>
      <c r="I45" s="400"/>
      <c r="J45" s="398"/>
      <c r="K45" s="398"/>
    </row>
    <row r="46" spans="1:11" ht="12.75">
      <c r="A46" s="302" t="s">
        <v>425</v>
      </c>
      <c r="B46" s="298" t="s">
        <v>389</v>
      </c>
      <c r="C46" s="408">
        <v>8</v>
      </c>
      <c r="D46" s="303">
        <v>12</v>
      </c>
      <c r="E46" s="300">
        <f t="shared" si="2"/>
        <v>8</v>
      </c>
      <c r="F46" s="357">
        <v>3.62</v>
      </c>
      <c r="G46" s="323">
        <f t="shared" si="3"/>
        <v>28.96</v>
      </c>
      <c r="H46" s="164"/>
      <c r="I46" s="400"/>
      <c r="J46" s="398"/>
      <c r="K46" s="398"/>
    </row>
    <row r="47" spans="1:11" ht="25.5">
      <c r="A47" s="301" t="s">
        <v>426</v>
      </c>
      <c r="B47" s="298" t="s">
        <v>389</v>
      </c>
      <c r="C47" s="408">
        <v>8</v>
      </c>
      <c r="D47" s="299">
        <v>3</v>
      </c>
      <c r="E47" s="300">
        <f t="shared" si="2"/>
        <v>32</v>
      </c>
      <c r="F47" s="357">
        <v>12.71</v>
      </c>
      <c r="G47" s="323">
        <f t="shared" si="3"/>
        <v>406.72</v>
      </c>
      <c r="H47" s="164"/>
      <c r="I47" s="399"/>
      <c r="J47" s="398"/>
      <c r="K47" s="398"/>
    </row>
    <row r="48" spans="1:11" ht="25.5">
      <c r="A48" s="302" t="s">
        <v>427</v>
      </c>
      <c r="B48" s="298" t="s">
        <v>389</v>
      </c>
      <c r="C48" s="408">
        <v>5</v>
      </c>
      <c r="D48" s="303">
        <v>3</v>
      </c>
      <c r="E48" s="300">
        <f t="shared" si="2"/>
        <v>20</v>
      </c>
      <c r="F48" s="357">
        <v>11.44</v>
      </c>
      <c r="G48" s="323">
        <f t="shared" si="3"/>
        <v>228.79999999999998</v>
      </c>
      <c r="H48" s="164"/>
      <c r="I48" s="400"/>
      <c r="J48" s="398"/>
      <c r="K48" s="398"/>
    </row>
    <row r="49" spans="1:11" ht="25.5">
      <c r="A49" s="302" t="s">
        <v>428</v>
      </c>
      <c r="B49" s="298" t="s">
        <v>389</v>
      </c>
      <c r="C49" s="408">
        <v>5</v>
      </c>
      <c r="D49" s="303">
        <v>12</v>
      </c>
      <c r="E49" s="300">
        <f t="shared" si="2"/>
        <v>5</v>
      </c>
      <c r="F49" s="357">
        <v>10.99</v>
      </c>
      <c r="G49" s="323">
        <f t="shared" si="3"/>
        <v>54.95</v>
      </c>
      <c r="H49" s="164"/>
      <c r="I49" s="400"/>
      <c r="J49" s="398"/>
      <c r="K49" s="398"/>
    </row>
    <row r="50" spans="1:11" ht="12.75">
      <c r="A50" s="301" t="s">
        <v>429</v>
      </c>
      <c r="B50" s="298" t="s">
        <v>389</v>
      </c>
      <c r="C50" s="408">
        <v>5</v>
      </c>
      <c r="D50" s="299">
        <v>12</v>
      </c>
      <c r="E50" s="300">
        <f t="shared" si="2"/>
        <v>5</v>
      </c>
      <c r="F50" s="357">
        <v>21.82</v>
      </c>
      <c r="G50" s="323">
        <f t="shared" si="3"/>
        <v>109.1</v>
      </c>
      <c r="H50" s="164"/>
      <c r="I50" s="399"/>
      <c r="J50" s="398"/>
      <c r="K50" s="398"/>
    </row>
    <row r="51" spans="1:11" ht="25.5">
      <c r="A51" s="302" t="s">
        <v>430</v>
      </c>
      <c r="B51" s="298" t="s">
        <v>389</v>
      </c>
      <c r="C51" s="408">
        <v>4</v>
      </c>
      <c r="D51" s="303">
        <v>24</v>
      </c>
      <c r="E51" s="300">
        <f t="shared" si="2"/>
        <v>2</v>
      </c>
      <c r="F51" s="357">
        <v>513.7</v>
      </c>
      <c r="G51" s="323">
        <f t="shared" si="3"/>
        <v>1027.4</v>
      </c>
      <c r="H51" s="164"/>
      <c r="I51" s="400"/>
      <c r="J51" s="398"/>
      <c r="K51" s="398"/>
    </row>
    <row r="52" spans="1:11" ht="12.75">
      <c r="A52" s="302" t="s">
        <v>431</v>
      </c>
      <c r="B52" s="298" t="s">
        <v>389</v>
      </c>
      <c r="C52" s="408">
        <v>3</v>
      </c>
      <c r="D52" s="303">
        <v>12</v>
      </c>
      <c r="E52" s="300">
        <f t="shared" si="2"/>
        <v>3</v>
      </c>
      <c r="F52" s="357">
        <v>130.4</v>
      </c>
      <c r="G52" s="323">
        <f t="shared" si="3"/>
        <v>391.20000000000005</v>
      </c>
      <c r="H52" s="164"/>
      <c r="I52" s="400"/>
      <c r="J52" s="398"/>
      <c r="K52" s="398"/>
    </row>
    <row r="53" spans="1:11" ht="12.75">
      <c r="A53" s="301" t="s">
        <v>432</v>
      </c>
      <c r="B53" s="298" t="s">
        <v>389</v>
      </c>
      <c r="C53" s="408">
        <v>4</v>
      </c>
      <c r="D53" s="299">
        <v>12</v>
      </c>
      <c r="E53" s="300">
        <f t="shared" si="2"/>
        <v>4</v>
      </c>
      <c r="F53" s="357">
        <v>6.22</v>
      </c>
      <c r="G53" s="323">
        <f t="shared" si="3"/>
        <v>24.88</v>
      </c>
      <c r="H53" s="164"/>
      <c r="I53" s="399"/>
      <c r="J53" s="398"/>
      <c r="K53" s="398"/>
    </row>
    <row r="54" spans="1:11" ht="12.75">
      <c r="A54" s="301" t="s">
        <v>433</v>
      </c>
      <c r="B54" s="298" t="s">
        <v>389</v>
      </c>
      <c r="C54" s="408">
        <v>15</v>
      </c>
      <c r="D54" s="299">
        <v>12</v>
      </c>
      <c r="E54" s="300">
        <f t="shared" si="2"/>
        <v>15</v>
      </c>
      <c r="F54" s="357">
        <v>214.47</v>
      </c>
      <c r="G54" s="323">
        <f t="shared" si="3"/>
        <v>3217.05</v>
      </c>
      <c r="H54" s="164"/>
      <c r="I54" s="399"/>
      <c r="J54" s="398"/>
      <c r="K54" s="398"/>
    </row>
    <row r="55" spans="1:11" ht="12.75">
      <c r="A55" s="301" t="s">
        <v>434</v>
      </c>
      <c r="B55" s="298" t="s">
        <v>389</v>
      </c>
      <c r="C55" s="408">
        <v>22</v>
      </c>
      <c r="D55" s="299">
        <v>12</v>
      </c>
      <c r="E55" s="300">
        <f t="shared" si="2"/>
        <v>22</v>
      </c>
      <c r="F55" s="357">
        <v>28.64</v>
      </c>
      <c r="G55" s="323">
        <f t="shared" si="3"/>
        <v>630.08</v>
      </c>
      <c r="H55" s="164"/>
      <c r="I55" s="399"/>
      <c r="J55" s="398"/>
      <c r="K55" s="398"/>
    </row>
    <row r="56" spans="1:11" ht="12.75">
      <c r="A56" s="301" t="s">
        <v>435</v>
      </c>
      <c r="B56" s="298" t="s">
        <v>389</v>
      </c>
      <c r="C56" s="408">
        <v>20</v>
      </c>
      <c r="D56" s="299">
        <v>12</v>
      </c>
      <c r="E56" s="300">
        <f t="shared" si="2"/>
        <v>20</v>
      </c>
      <c r="F56" s="357">
        <v>28.64</v>
      </c>
      <c r="G56" s="323">
        <f t="shared" si="3"/>
        <v>572.8</v>
      </c>
      <c r="H56" s="164"/>
      <c r="I56" s="399"/>
      <c r="J56" s="398"/>
      <c r="K56" s="398"/>
    </row>
    <row r="57" spans="1:11" ht="12.75">
      <c r="A57" s="304" t="s">
        <v>436</v>
      </c>
      <c r="B57" s="298" t="s">
        <v>389</v>
      </c>
      <c r="C57" s="408">
        <v>4</v>
      </c>
      <c r="D57" s="303">
        <v>6</v>
      </c>
      <c r="E57" s="300">
        <f t="shared" si="2"/>
        <v>8</v>
      </c>
      <c r="F57" s="357">
        <v>58.54</v>
      </c>
      <c r="G57" s="323">
        <f t="shared" si="3"/>
        <v>468.32</v>
      </c>
      <c r="H57" s="164"/>
      <c r="I57" s="401"/>
      <c r="J57" s="398"/>
      <c r="K57" s="398"/>
    </row>
    <row r="58" spans="1:11" ht="14.25" customHeight="1">
      <c r="A58" s="466" t="s">
        <v>437</v>
      </c>
      <c r="B58" s="466"/>
      <c r="C58" s="466"/>
      <c r="D58" s="466"/>
      <c r="E58" s="466"/>
      <c r="F58" s="466"/>
      <c r="G58" s="296">
        <f>SUM(G42:G57)</f>
        <v>7772.47</v>
      </c>
      <c r="H58" s="2"/>
      <c r="I58" s="389"/>
      <c r="J58" s="398"/>
      <c r="K58" s="398"/>
    </row>
    <row r="59" spans="1:11" ht="14.25" customHeight="1">
      <c r="A59" s="466" t="s">
        <v>438</v>
      </c>
      <c r="B59" s="466"/>
      <c r="C59" s="466"/>
      <c r="D59" s="466"/>
      <c r="E59" s="466"/>
      <c r="F59" s="466"/>
      <c r="G59" s="296">
        <f>G58/12</f>
        <v>647.7058333333333</v>
      </c>
      <c r="H59" s="2"/>
      <c r="I59" s="387"/>
      <c r="J59" s="387"/>
      <c r="K59" s="387"/>
    </row>
    <row r="60" spans="8:11" ht="14.25">
      <c r="H60" s="2"/>
      <c r="I60" s="387"/>
      <c r="J60" s="387"/>
      <c r="K60" s="387"/>
    </row>
    <row r="61" spans="1:11" ht="25.5">
      <c r="A61" s="294" t="s">
        <v>439</v>
      </c>
      <c r="B61" s="295" t="s">
        <v>372</v>
      </c>
      <c r="C61" s="295" t="s">
        <v>418</v>
      </c>
      <c r="D61" s="295" t="s">
        <v>440</v>
      </c>
      <c r="E61" s="295" t="s">
        <v>374</v>
      </c>
      <c r="F61" s="296" t="s">
        <v>375</v>
      </c>
      <c r="G61" s="296" t="s">
        <v>376</v>
      </c>
      <c r="H61" s="2"/>
      <c r="I61" s="387"/>
      <c r="J61" s="387"/>
      <c r="K61" s="387"/>
    </row>
    <row r="62" spans="1:11" ht="12.75">
      <c r="A62" s="305" t="s">
        <v>441</v>
      </c>
      <c r="B62" s="306" t="s">
        <v>389</v>
      </c>
      <c r="C62" s="405">
        <v>2</v>
      </c>
      <c r="D62" s="306">
        <v>60</v>
      </c>
      <c r="E62" s="300">
        <f aca="true" t="shared" si="4" ref="E62:E69">12/D62*C62</f>
        <v>0.4</v>
      </c>
      <c r="F62" s="357">
        <v>161.77</v>
      </c>
      <c r="G62" s="323">
        <f aca="true" t="shared" si="5" ref="G62:G69">F62*E62</f>
        <v>64.70800000000001</v>
      </c>
      <c r="H62" s="159"/>
      <c r="I62" s="402"/>
      <c r="J62" s="393"/>
      <c r="K62" s="393"/>
    </row>
    <row r="63" spans="1:11" ht="12.75">
      <c r="A63" s="305" t="s">
        <v>442</v>
      </c>
      <c r="B63" s="306" t="s">
        <v>389</v>
      </c>
      <c r="C63" s="405">
        <v>3</v>
      </c>
      <c r="D63" s="306">
        <v>60</v>
      </c>
      <c r="E63" s="300">
        <f t="shared" si="4"/>
        <v>0.6000000000000001</v>
      </c>
      <c r="F63" s="357">
        <v>92.93</v>
      </c>
      <c r="G63" s="323">
        <f t="shared" si="5"/>
        <v>55.75800000000001</v>
      </c>
      <c r="H63" s="159"/>
      <c r="I63" s="402"/>
      <c r="J63" s="393"/>
      <c r="K63" s="393"/>
    </row>
    <row r="64" spans="1:11" ht="12.75">
      <c r="A64" s="305" t="s">
        <v>443</v>
      </c>
      <c r="B64" s="306" t="s">
        <v>389</v>
      </c>
      <c r="C64" s="405">
        <v>3</v>
      </c>
      <c r="D64" s="306">
        <v>60</v>
      </c>
      <c r="E64" s="300">
        <f t="shared" si="4"/>
        <v>0.6000000000000001</v>
      </c>
      <c r="F64" s="357">
        <v>89.08</v>
      </c>
      <c r="G64" s="323">
        <f t="shared" si="5"/>
        <v>53.44800000000001</v>
      </c>
      <c r="H64" s="159"/>
      <c r="I64" s="402"/>
      <c r="J64" s="393"/>
      <c r="K64" s="393"/>
    </row>
    <row r="65" spans="1:11" ht="12.75">
      <c r="A65" s="305" t="s">
        <v>444</v>
      </c>
      <c r="B65" s="306" t="s">
        <v>389</v>
      </c>
      <c r="C65" s="405">
        <v>2</v>
      </c>
      <c r="D65" s="306">
        <v>60</v>
      </c>
      <c r="E65" s="300">
        <f t="shared" si="4"/>
        <v>0.4</v>
      </c>
      <c r="F65" s="357">
        <v>628.67</v>
      </c>
      <c r="G65" s="323">
        <f t="shared" si="5"/>
        <v>251.468</v>
      </c>
      <c r="H65" s="159"/>
      <c r="I65" s="402"/>
      <c r="J65" s="393"/>
      <c r="K65" s="393"/>
    </row>
    <row r="66" spans="1:11" ht="12.75">
      <c r="A66" s="307" t="s">
        <v>445</v>
      </c>
      <c r="B66" s="308" t="s">
        <v>389</v>
      </c>
      <c r="C66" s="404">
        <v>1</v>
      </c>
      <c r="D66" s="306">
        <v>60</v>
      </c>
      <c r="E66" s="300">
        <f t="shared" si="4"/>
        <v>0.2</v>
      </c>
      <c r="F66" s="357">
        <v>387.31</v>
      </c>
      <c r="G66" s="323">
        <f t="shared" si="5"/>
        <v>77.462</v>
      </c>
      <c r="H66" s="158"/>
      <c r="I66" s="394"/>
      <c r="J66" s="391"/>
      <c r="K66" s="391"/>
    </row>
    <row r="67" spans="1:11" ht="25.5">
      <c r="A67" s="307" t="s">
        <v>446</v>
      </c>
      <c r="B67" s="308" t="s">
        <v>389</v>
      </c>
      <c r="C67" s="404">
        <v>4</v>
      </c>
      <c r="D67" s="306">
        <v>60</v>
      </c>
      <c r="E67" s="300">
        <f t="shared" si="4"/>
        <v>0.8</v>
      </c>
      <c r="F67" s="357">
        <v>1360.06</v>
      </c>
      <c r="G67" s="323">
        <f t="shared" si="5"/>
        <v>1088.048</v>
      </c>
      <c r="H67" s="158"/>
      <c r="I67" s="394"/>
      <c r="J67" s="391"/>
      <c r="K67" s="391"/>
    </row>
    <row r="68" spans="1:11" ht="25.5">
      <c r="A68" s="307" t="s">
        <v>447</v>
      </c>
      <c r="B68" s="308" t="s">
        <v>389</v>
      </c>
      <c r="C68" s="404">
        <v>1</v>
      </c>
      <c r="D68" s="306">
        <v>60</v>
      </c>
      <c r="E68" s="300">
        <f t="shared" si="4"/>
        <v>0.2</v>
      </c>
      <c r="F68" s="357">
        <v>1207.25</v>
      </c>
      <c r="G68" s="323">
        <f t="shared" si="5"/>
        <v>241.45000000000002</v>
      </c>
      <c r="H68" s="158"/>
      <c r="I68" s="394"/>
      <c r="J68" s="391"/>
      <c r="K68" s="391"/>
    </row>
    <row r="69" spans="1:11" ht="25.5">
      <c r="A69" s="307" t="s">
        <v>448</v>
      </c>
      <c r="B69" s="308" t="s">
        <v>389</v>
      </c>
      <c r="C69" s="404">
        <v>3</v>
      </c>
      <c r="D69" s="306">
        <v>60</v>
      </c>
      <c r="E69" s="300">
        <f t="shared" si="4"/>
        <v>0.6000000000000001</v>
      </c>
      <c r="F69" s="357">
        <v>1476.33</v>
      </c>
      <c r="G69" s="323">
        <f t="shared" si="5"/>
        <v>885.7980000000001</v>
      </c>
      <c r="H69" s="158"/>
      <c r="I69" s="394"/>
      <c r="J69" s="391"/>
      <c r="K69" s="391"/>
    </row>
    <row r="70" spans="1:11" ht="14.25" customHeight="1">
      <c r="A70" s="466" t="s">
        <v>449</v>
      </c>
      <c r="B70" s="466"/>
      <c r="C70" s="466"/>
      <c r="D70" s="466"/>
      <c r="E70" s="466"/>
      <c r="F70" s="466"/>
      <c r="G70" s="296">
        <f>SUM(G62:G69)</f>
        <v>2718.1400000000003</v>
      </c>
      <c r="H70" s="2"/>
      <c r="I70" s="387"/>
      <c r="J70" s="387"/>
      <c r="K70" s="387"/>
    </row>
    <row r="71" spans="1:8" ht="14.25" customHeight="1">
      <c r="A71" s="466" t="s">
        <v>450</v>
      </c>
      <c r="B71" s="466"/>
      <c r="C71" s="466"/>
      <c r="D71" s="466"/>
      <c r="E71" s="466"/>
      <c r="F71" s="466"/>
      <c r="G71" s="296">
        <f>G70/12</f>
        <v>226.51166666666668</v>
      </c>
      <c r="H71" s="2"/>
    </row>
    <row r="72" ht="14.25">
      <c r="H72" s="2"/>
    </row>
    <row r="73" spans="1:8" ht="25.5">
      <c r="A73" s="309" t="s">
        <v>451</v>
      </c>
      <c r="B73" s="295" t="s">
        <v>372</v>
      </c>
      <c r="C73" s="295" t="s">
        <v>374</v>
      </c>
      <c r="D73" s="296" t="s">
        <v>375</v>
      </c>
      <c r="E73" s="296" t="s">
        <v>376</v>
      </c>
      <c r="F73" s="154"/>
      <c r="H73" s="2"/>
    </row>
    <row r="74" spans="1:9" ht="12.75">
      <c r="A74" s="305" t="s">
        <v>452</v>
      </c>
      <c r="B74" s="306" t="s">
        <v>453</v>
      </c>
      <c r="C74" s="407">
        <v>2</v>
      </c>
      <c r="D74" s="384">
        <v>33.15</v>
      </c>
      <c r="E74" s="310">
        <f aca="true" t="shared" si="6" ref="E74:E83">C74*D74</f>
        <v>66.3</v>
      </c>
      <c r="F74" s="154"/>
      <c r="G74" s="402"/>
      <c r="H74" s="393"/>
      <c r="I74" s="397"/>
    </row>
    <row r="75" spans="1:9" ht="12.75">
      <c r="A75" s="305" t="s">
        <v>454</v>
      </c>
      <c r="B75" s="306" t="s">
        <v>453</v>
      </c>
      <c r="C75" s="407">
        <v>2</v>
      </c>
      <c r="D75" s="384">
        <v>21.17</v>
      </c>
      <c r="E75" s="310">
        <f t="shared" si="6"/>
        <v>42.34</v>
      </c>
      <c r="F75" s="154"/>
      <c r="G75" s="402"/>
      <c r="H75" s="393"/>
      <c r="I75" s="397"/>
    </row>
    <row r="76" spans="1:9" ht="25.5">
      <c r="A76" s="305" t="s">
        <v>455</v>
      </c>
      <c r="B76" s="306" t="s">
        <v>456</v>
      </c>
      <c r="C76" s="407">
        <v>2</v>
      </c>
      <c r="D76" s="384">
        <v>40.32</v>
      </c>
      <c r="E76" s="310">
        <f t="shared" si="6"/>
        <v>80.64</v>
      </c>
      <c r="F76" s="154"/>
      <c r="G76" s="402"/>
      <c r="H76" s="393"/>
      <c r="I76" s="397"/>
    </row>
    <row r="77" spans="1:9" ht="12.75">
      <c r="A77" s="305" t="s">
        <v>457</v>
      </c>
      <c r="B77" s="306" t="s">
        <v>453</v>
      </c>
      <c r="C77" s="407">
        <v>2</v>
      </c>
      <c r="D77" s="384">
        <v>49.5</v>
      </c>
      <c r="E77" s="310">
        <f t="shared" si="6"/>
        <v>99</v>
      </c>
      <c r="F77" s="154"/>
      <c r="G77" s="402"/>
      <c r="H77" s="393"/>
      <c r="I77" s="397"/>
    </row>
    <row r="78" spans="1:9" ht="12.75">
      <c r="A78" s="305" t="s">
        <v>458</v>
      </c>
      <c r="B78" s="306" t="s">
        <v>456</v>
      </c>
      <c r="C78" s="407">
        <v>1</v>
      </c>
      <c r="D78" s="384">
        <v>40.93</v>
      </c>
      <c r="E78" s="310">
        <f t="shared" si="6"/>
        <v>40.93</v>
      </c>
      <c r="F78" s="154"/>
      <c r="G78" s="402"/>
      <c r="H78" s="393"/>
      <c r="I78" s="397"/>
    </row>
    <row r="79" spans="1:9" ht="12.75">
      <c r="A79" s="373" t="s">
        <v>675</v>
      </c>
      <c r="B79" s="385" t="s">
        <v>389</v>
      </c>
      <c r="C79" s="407">
        <v>2</v>
      </c>
      <c r="D79" s="384">
        <v>39.22</v>
      </c>
      <c r="E79" s="310">
        <f t="shared" si="6"/>
        <v>78.44</v>
      </c>
      <c r="F79" s="154"/>
      <c r="G79" s="402"/>
      <c r="H79" s="393"/>
      <c r="I79" s="397"/>
    </row>
    <row r="80" spans="1:9" ht="12.75">
      <c r="A80" s="305" t="s">
        <v>460</v>
      </c>
      <c r="B80" s="306" t="s">
        <v>459</v>
      </c>
      <c r="C80" s="407">
        <v>24</v>
      </c>
      <c r="D80" s="384">
        <v>6.34</v>
      </c>
      <c r="E80" s="310">
        <f t="shared" si="6"/>
        <v>152.16</v>
      </c>
      <c r="F80" s="154"/>
      <c r="G80" s="403"/>
      <c r="H80" s="393"/>
      <c r="I80" s="397"/>
    </row>
    <row r="81" spans="1:9" ht="12.75">
      <c r="A81" s="305" t="s">
        <v>461</v>
      </c>
      <c r="B81" s="306" t="s">
        <v>389</v>
      </c>
      <c r="C81" s="407">
        <v>12</v>
      </c>
      <c r="D81" s="384">
        <v>2.75</v>
      </c>
      <c r="E81" s="310">
        <f t="shared" si="6"/>
        <v>33</v>
      </c>
      <c r="F81" s="154"/>
      <c r="G81" s="402"/>
      <c r="H81" s="393"/>
      <c r="I81" s="397"/>
    </row>
    <row r="82" spans="1:9" ht="12.75">
      <c r="A82" s="305" t="s">
        <v>462</v>
      </c>
      <c r="B82" s="306" t="s">
        <v>389</v>
      </c>
      <c r="C82" s="407">
        <v>1</v>
      </c>
      <c r="D82" s="384">
        <v>3.07</v>
      </c>
      <c r="E82" s="310">
        <f t="shared" si="6"/>
        <v>3.07</v>
      </c>
      <c r="F82" s="154"/>
      <c r="G82" s="402"/>
      <c r="H82" s="393"/>
      <c r="I82" s="397"/>
    </row>
    <row r="83" spans="1:9" ht="12.75">
      <c r="A83" s="305" t="s">
        <v>463</v>
      </c>
      <c r="B83" s="306" t="s">
        <v>389</v>
      </c>
      <c r="C83" s="407">
        <v>1</v>
      </c>
      <c r="D83" s="384">
        <v>2.3</v>
      </c>
      <c r="E83" s="310">
        <f t="shared" si="6"/>
        <v>2.3</v>
      </c>
      <c r="F83" s="154"/>
      <c r="G83" s="402"/>
      <c r="H83" s="393"/>
      <c r="I83" s="397"/>
    </row>
    <row r="84" spans="1:9" ht="14.25" customHeight="1">
      <c r="A84" s="466" t="s">
        <v>464</v>
      </c>
      <c r="B84" s="466"/>
      <c r="C84" s="466"/>
      <c r="D84" s="466"/>
      <c r="E84" s="311">
        <f>SUM(E74:E83)</f>
        <v>598.18</v>
      </c>
      <c r="F84" s="154"/>
      <c r="G84" s="403"/>
      <c r="H84" s="393"/>
      <c r="I84" s="396"/>
    </row>
    <row r="85" spans="1:6" ht="14.25" customHeight="1">
      <c r="A85" s="466" t="s">
        <v>465</v>
      </c>
      <c r="B85" s="466"/>
      <c r="C85" s="466"/>
      <c r="D85" s="466"/>
      <c r="E85" s="311">
        <f>E84/12</f>
        <v>49.84833333333333</v>
      </c>
      <c r="F85" s="165"/>
    </row>
    <row r="87" spans="1:8" ht="35.25" customHeight="1">
      <c r="A87" s="312" t="s">
        <v>466</v>
      </c>
      <c r="B87" s="467" t="s">
        <v>467</v>
      </c>
      <c r="C87" s="467"/>
      <c r="D87" s="467" t="s">
        <v>468</v>
      </c>
      <c r="E87" s="467"/>
      <c r="F87" s="468" t="s">
        <v>469</v>
      </c>
      <c r="G87" s="468"/>
      <c r="H87" s="468"/>
    </row>
    <row r="88" spans="1:8" ht="14.25" customHeight="1">
      <c r="A88" s="313" t="s">
        <v>470</v>
      </c>
      <c r="B88" s="465">
        <f>F31</f>
        <v>14471.640000000001</v>
      </c>
      <c r="C88" s="465">
        <f>SUM(B88:B88)</f>
        <v>14471.640000000001</v>
      </c>
      <c r="D88" s="465">
        <f>B88/12</f>
        <v>1205.97</v>
      </c>
      <c r="E88" s="465"/>
      <c r="F88" s="461">
        <f>D88/H99</f>
        <v>363.47309136887145</v>
      </c>
      <c r="G88" s="461"/>
      <c r="H88" s="461"/>
    </row>
    <row r="89" spans="1:8" ht="14.25" customHeight="1">
      <c r="A89" s="313" t="s">
        <v>471</v>
      </c>
      <c r="B89" s="465">
        <f>F38</f>
        <v>17624.879999999997</v>
      </c>
      <c r="C89" s="465">
        <f>SUM(B89:B89)</f>
        <v>17624.879999999997</v>
      </c>
      <c r="D89" s="465">
        <f>B89/12</f>
        <v>1468.7399999999998</v>
      </c>
      <c r="E89" s="465"/>
      <c r="F89" s="461">
        <f>D89/H99</f>
        <v>442.67060392639627</v>
      </c>
      <c r="G89" s="461"/>
      <c r="H89" s="461"/>
    </row>
    <row r="90" spans="1:8" ht="14.25" customHeight="1">
      <c r="A90" s="313" t="s">
        <v>472</v>
      </c>
      <c r="B90" s="465">
        <f>G58</f>
        <v>7772.47</v>
      </c>
      <c r="C90" s="465">
        <f>SUM(B90:B90)</f>
        <v>7772.47</v>
      </c>
      <c r="D90" s="465">
        <f>B90/12</f>
        <v>647.7058333333333</v>
      </c>
      <c r="E90" s="465"/>
      <c r="F90" s="461">
        <f>D90/H99</f>
        <v>195.215172466411</v>
      </c>
      <c r="G90" s="461"/>
      <c r="H90" s="461"/>
    </row>
    <row r="91" spans="1:8" ht="14.25" customHeight="1">
      <c r="A91" s="314" t="s">
        <v>473</v>
      </c>
      <c r="B91" s="462">
        <f>SUM(B88:B90)</f>
        <v>39868.99</v>
      </c>
      <c r="C91" s="462">
        <f>SUM(B91:B91)</f>
        <v>39868.99</v>
      </c>
      <c r="D91" s="462">
        <f>B91/12</f>
        <v>3322.415833333333</v>
      </c>
      <c r="E91" s="462"/>
      <c r="F91" s="463">
        <f>F88+F89+F90</f>
        <v>1001.3588677616787</v>
      </c>
      <c r="G91" s="463"/>
      <c r="H91" s="463"/>
    </row>
    <row r="92" spans="1:8" ht="14.25" customHeight="1">
      <c r="A92" s="464"/>
      <c r="B92" s="464"/>
      <c r="C92" s="464"/>
      <c r="D92" s="464"/>
      <c r="E92" s="464"/>
      <c r="F92" s="461"/>
      <c r="G92" s="461"/>
      <c r="H92" s="461"/>
    </row>
    <row r="93" spans="1:8" ht="14.25" customHeight="1">
      <c r="A93" s="314" t="s">
        <v>439</v>
      </c>
      <c r="B93" s="462">
        <f>G70</f>
        <v>2718.1400000000003</v>
      </c>
      <c r="C93" s="462"/>
      <c r="D93" s="462">
        <f>B93/12</f>
        <v>226.51166666666668</v>
      </c>
      <c r="E93" s="462"/>
      <c r="F93" s="463">
        <f>D93/H99</f>
        <v>68.26943930151553</v>
      </c>
      <c r="G93" s="463"/>
      <c r="H93" s="463"/>
    </row>
    <row r="94" spans="1:8" ht="14.25" customHeight="1">
      <c r="A94" s="460"/>
      <c r="B94" s="460"/>
      <c r="C94" s="460"/>
      <c r="D94" s="460"/>
      <c r="E94" s="460"/>
      <c r="F94" s="461"/>
      <c r="G94" s="461"/>
      <c r="H94" s="461"/>
    </row>
    <row r="95" spans="1:8" ht="14.25" customHeight="1">
      <c r="A95" s="314" t="s">
        <v>474</v>
      </c>
      <c r="B95" s="462">
        <f>E84</f>
        <v>598.18</v>
      </c>
      <c r="C95" s="462"/>
      <c r="D95" s="462">
        <f>B95/12</f>
        <v>49.84833333333333</v>
      </c>
      <c r="E95" s="462"/>
      <c r="F95" s="463">
        <f>D95</f>
        <v>49.84833333333333</v>
      </c>
      <c r="G95" s="463"/>
      <c r="H95" s="463"/>
    </row>
    <row r="96" spans="1:8" ht="14.25" customHeight="1">
      <c r="A96" s="460"/>
      <c r="B96" s="460"/>
      <c r="C96" s="460"/>
      <c r="D96" s="460"/>
      <c r="E96" s="460"/>
      <c r="F96" s="461"/>
      <c r="G96" s="461"/>
      <c r="H96" s="461"/>
    </row>
    <row r="97" spans="1:8" ht="14.25" customHeight="1">
      <c r="A97" s="314" t="s">
        <v>475</v>
      </c>
      <c r="B97" s="457">
        <f>B91+B93+B95</f>
        <v>43185.31</v>
      </c>
      <c r="C97" s="457"/>
      <c r="D97" s="457">
        <f>B97/12</f>
        <v>3598.775833333333</v>
      </c>
      <c r="E97" s="457"/>
      <c r="F97" s="458">
        <f>F91+F93+F95</f>
        <v>1119.4766403965275</v>
      </c>
      <c r="G97" s="458"/>
      <c r="H97" s="458"/>
    </row>
    <row r="98" spans="1:6" ht="12.75">
      <c r="A98" s="166"/>
      <c r="B98" s="167"/>
      <c r="C98" s="167"/>
      <c r="D98" s="167"/>
      <c r="E98" s="167"/>
      <c r="F98" s="165"/>
    </row>
    <row r="99" spans="1:8" ht="24.75" customHeight="1">
      <c r="A99" s="459" t="s">
        <v>476</v>
      </c>
      <c r="B99" s="459"/>
      <c r="C99" s="459"/>
      <c r="D99" s="459"/>
      <c r="E99" s="459"/>
      <c r="F99" s="459"/>
      <c r="G99" s="459"/>
      <c r="H99" s="311">
        <f>'Qtd Serventes 40%'!E21+'Qtd Serventes 20%'!E21</f>
        <v>3.317907236153883</v>
      </c>
    </row>
    <row r="101" spans="1:8" ht="24.75" customHeight="1">
      <c r="A101" s="456" t="s">
        <v>477</v>
      </c>
      <c r="B101" s="456"/>
      <c r="C101" s="456"/>
      <c r="D101" s="456"/>
      <c r="E101" s="456"/>
      <c r="F101" s="456"/>
      <c r="G101" s="456"/>
      <c r="H101" s="456"/>
    </row>
    <row r="102" spans="1:8" ht="14.25" customHeight="1">
      <c r="A102" s="456" t="s">
        <v>478</v>
      </c>
      <c r="B102" s="456"/>
      <c r="C102" s="456"/>
      <c r="D102" s="456"/>
      <c r="E102" s="456"/>
      <c r="F102" s="456"/>
      <c r="G102" s="456"/>
      <c r="H102" s="456"/>
    </row>
    <row r="103" spans="1:8" ht="24.75" customHeight="1">
      <c r="A103" s="456" t="s">
        <v>479</v>
      </c>
      <c r="B103" s="456"/>
      <c r="C103" s="456"/>
      <c r="D103" s="456"/>
      <c r="E103" s="456"/>
      <c r="F103" s="456"/>
      <c r="G103" s="456"/>
      <c r="H103" s="456"/>
    </row>
  </sheetData>
  <sheetProtection selectLockedCells="1" selectUnlockedCells="1"/>
  <mergeCells count="47">
    <mergeCell ref="A1:F1"/>
    <mergeCell ref="A2:F2"/>
    <mergeCell ref="A4:F4"/>
    <mergeCell ref="A31:E31"/>
    <mergeCell ref="A32:E32"/>
    <mergeCell ref="A38:E38"/>
    <mergeCell ref="A39:E39"/>
    <mergeCell ref="A58:F58"/>
    <mergeCell ref="A59:F59"/>
    <mergeCell ref="A70:F70"/>
    <mergeCell ref="A71:F71"/>
    <mergeCell ref="A84:D84"/>
    <mergeCell ref="A85:D85"/>
    <mergeCell ref="B87:C87"/>
    <mergeCell ref="D87:E87"/>
    <mergeCell ref="F87:H87"/>
    <mergeCell ref="B88:C88"/>
    <mergeCell ref="D88:E88"/>
    <mergeCell ref="F88:H88"/>
    <mergeCell ref="B89:C89"/>
    <mergeCell ref="D89:E89"/>
    <mergeCell ref="F89:H89"/>
    <mergeCell ref="B90:C90"/>
    <mergeCell ref="D90:E90"/>
    <mergeCell ref="F90:H90"/>
    <mergeCell ref="B91:C91"/>
    <mergeCell ref="D91:E91"/>
    <mergeCell ref="F91:H91"/>
    <mergeCell ref="A92:E92"/>
    <mergeCell ref="F92:H92"/>
    <mergeCell ref="B93:C93"/>
    <mergeCell ref="D93:E93"/>
    <mergeCell ref="F93:H93"/>
    <mergeCell ref="A94:E94"/>
    <mergeCell ref="F94:H94"/>
    <mergeCell ref="B95:C95"/>
    <mergeCell ref="D95:E95"/>
    <mergeCell ref="F95:H95"/>
    <mergeCell ref="A96:E96"/>
    <mergeCell ref="F96:H96"/>
    <mergeCell ref="A103:H103"/>
    <mergeCell ref="B97:C97"/>
    <mergeCell ref="D97:E97"/>
    <mergeCell ref="F97:H97"/>
    <mergeCell ref="A99:G99"/>
    <mergeCell ref="A101:H101"/>
    <mergeCell ref="A102:H102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66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89.140625" style="0" customWidth="1"/>
    <col min="2" max="2" width="15.7109375" style="5" customWidth="1"/>
    <col min="3" max="3" width="11.421875" style="5" customWidth="1"/>
  </cols>
  <sheetData>
    <row r="1" spans="1:4" s="6" customFormat="1" ht="12.75">
      <c r="A1" s="450" t="s">
        <v>550</v>
      </c>
      <c r="B1" s="450"/>
      <c r="C1" s="450"/>
      <c r="D1" s="450"/>
    </row>
    <row r="2" spans="1:4" s="6" customFormat="1" ht="12.75">
      <c r="A2" s="210"/>
      <c r="B2" s="210"/>
      <c r="C2" s="210"/>
      <c r="D2" s="210"/>
    </row>
    <row r="3" spans="1:4" s="6" customFormat="1" ht="12.75">
      <c r="A3" s="231" t="s">
        <v>27</v>
      </c>
      <c r="B3" s="232" t="s">
        <v>28</v>
      </c>
      <c r="C3" s="233">
        <v>0.4</v>
      </c>
      <c r="D3" s="233">
        <v>0.2</v>
      </c>
    </row>
    <row r="4" spans="1:4" s="6" customFormat="1" ht="12.75">
      <c r="A4" s="230" t="s">
        <v>2</v>
      </c>
      <c r="B4" s="323">
        <f>'Áreas Ajustadas'!E31</f>
        <v>1303.95</v>
      </c>
      <c r="C4" s="323">
        <f>B4*0.18</f>
        <v>234.711</v>
      </c>
      <c r="D4" s="323">
        <f>B4-C4</f>
        <v>1069.239</v>
      </c>
    </row>
    <row r="5" spans="1:4" s="6" customFormat="1" ht="12.75">
      <c r="A5" s="230" t="s">
        <v>12</v>
      </c>
      <c r="B5" s="323">
        <f>'Áreas Ajustadas'!E39</f>
        <v>13.146</v>
      </c>
      <c r="C5" s="323">
        <f aca="true" t="shared" si="0" ref="C5:C13">B5*0.18</f>
        <v>2.36628</v>
      </c>
      <c r="D5" s="323">
        <f>B5-C5</f>
        <v>10.779720000000001</v>
      </c>
    </row>
    <row r="6" spans="1:4" s="6" customFormat="1" ht="12.75">
      <c r="A6" s="230" t="s">
        <v>14</v>
      </c>
      <c r="B6" s="323">
        <f>'Áreas Ajustadas'!E49</f>
        <v>402.94999999999993</v>
      </c>
      <c r="C6" s="323">
        <f t="shared" si="0"/>
        <v>72.53099999999999</v>
      </c>
      <c r="D6" s="323">
        <f>B6-C6</f>
        <v>330.4189999999999</v>
      </c>
    </row>
    <row r="7" spans="1:4" s="6" customFormat="1" ht="12.75">
      <c r="A7" s="230" t="s">
        <v>15</v>
      </c>
      <c r="B7" s="323">
        <f>'Áreas Ajustadas'!E66</f>
        <v>161.08000000000004</v>
      </c>
      <c r="C7" s="323">
        <v>186.2</v>
      </c>
      <c r="D7" s="323">
        <v>0</v>
      </c>
    </row>
    <row r="8" spans="1:4" s="6" customFormat="1" ht="12.75">
      <c r="A8" s="230" t="s">
        <v>16</v>
      </c>
      <c r="B8" s="323">
        <f>'Áreas Ajustadas'!E78</f>
        <v>696.6899999999998</v>
      </c>
      <c r="C8" s="323">
        <f t="shared" si="0"/>
        <v>125.40419999999996</v>
      </c>
      <c r="D8" s="323">
        <f aca="true" t="shared" si="1" ref="D8:D13">B8-C8</f>
        <v>571.2857999999999</v>
      </c>
    </row>
    <row r="9" spans="1:4" s="6" customFormat="1" ht="12.75">
      <c r="A9" s="230" t="s">
        <v>17</v>
      </c>
      <c r="B9" s="323">
        <f>'Áreas Ajustadas'!E83</f>
        <v>188.1</v>
      </c>
      <c r="C9" s="323">
        <f t="shared" si="0"/>
        <v>33.858</v>
      </c>
      <c r="D9" s="323">
        <f t="shared" si="1"/>
        <v>154.242</v>
      </c>
    </row>
    <row r="10" spans="1:4" s="6" customFormat="1" ht="12.75">
      <c r="A10" s="365" t="s">
        <v>18</v>
      </c>
      <c r="B10" s="323">
        <f>'Áreas Ajustadas'!E87</f>
        <v>37.646</v>
      </c>
      <c r="C10" s="323">
        <f t="shared" si="0"/>
        <v>6.77628</v>
      </c>
      <c r="D10" s="323">
        <f t="shared" si="1"/>
        <v>30.86972</v>
      </c>
    </row>
    <row r="11" spans="1:4" s="6" customFormat="1" ht="12.75">
      <c r="A11" s="230" t="s">
        <v>22</v>
      </c>
      <c r="B11" s="323">
        <f>'Áreas Ajustadas'!E91</f>
        <v>0</v>
      </c>
      <c r="C11" s="323">
        <f t="shared" si="0"/>
        <v>0</v>
      </c>
      <c r="D11" s="323">
        <f t="shared" si="1"/>
        <v>0</v>
      </c>
    </row>
    <row r="12" spans="1:4" s="4" customFormat="1" ht="12.75">
      <c r="A12" s="230" t="s">
        <v>23</v>
      </c>
      <c r="B12" s="323">
        <f>'Áreas Ajustadas'!E105</f>
        <v>393.185</v>
      </c>
      <c r="C12" s="323">
        <f t="shared" si="0"/>
        <v>70.77329999999999</v>
      </c>
      <c r="D12" s="323">
        <f t="shared" si="1"/>
        <v>322.4117</v>
      </c>
    </row>
    <row r="13" spans="1:4" ht="12.75">
      <c r="A13" s="230" t="s">
        <v>26</v>
      </c>
      <c r="B13" s="323">
        <f>'Áreas Ajustadas'!E118</f>
        <v>393.185</v>
      </c>
      <c r="C13" s="323">
        <f t="shared" si="0"/>
        <v>70.77329999999999</v>
      </c>
      <c r="D13" s="323">
        <f t="shared" si="1"/>
        <v>322.4117</v>
      </c>
    </row>
    <row r="14" spans="1:4" ht="12.75">
      <c r="A14" s="234" t="s">
        <v>11</v>
      </c>
      <c r="B14" s="364">
        <f>SUM(B4:B13)</f>
        <v>3589.932</v>
      </c>
      <c r="C14" s="364">
        <f>SUM(C4:C13)</f>
        <v>803.3933599999998</v>
      </c>
      <c r="D14" s="364">
        <f>SUM(D4:D13)</f>
        <v>2811.65864</v>
      </c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7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PageLayoutView="0" workbookViewId="0" topLeftCell="A106">
      <selection activeCell="I43" sqref="I43"/>
    </sheetView>
  </sheetViews>
  <sheetFormatPr defaultColWidth="11.421875" defaultRowHeight="12.75"/>
  <cols>
    <col min="1" max="1" width="8.28125" style="3" customWidth="1"/>
    <col min="2" max="2" width="53.421875" style="3" customWidth="1"/>
    <col min="3" max="3" width="10.28125" style="3" customWidth="1"/>
    <col min="4" max="4" width="12.7109375" style="3" customWidth="1"/>
    <col min="5" max="5" width="16.8515625" style="3" customWidth="1"/>
  </cols>
  <sheetData>
    <row r="1" spans="1:5" ht="24.75" customHeight="1">
      <c r="A1" s="474" t="s">
        <v>599</v>
      </c>
      <c r="B1" s="475"/>
      <c r="C1" s="475"/>
      <c r="D1" s="475"/>
      <c r="E1" s="475"/>
    </row>
    <row r="2" spans="1:5" ht="38.25">
      <c r="A2" s="236" t="s">
        <v>1</v>
      </c>
      <c r="B2" s="237" t="s">
        <v>2</v>
      </c>
      <c r="C2" s="236" t="s">
        <v>3</v>
      </c>
      <c r="D2" s="237" t="s">
        <v>4</v>
      </c>
      <c r="E2" s="237" t="s">
        <v>5</v>
      </c>
    </row>
    <row r="3" spans="1:5" ht="12.75">
      <c r="A3" s="376" t="s">
        <v>10</v>
      </c>
      <c r="B3" s="377" t="s">
        <v>618</v>
      </c>
      <c r="C3" s="378">
        <v>48</v>
      </c>
      <c r="D3" s="377">
        <v>5</v>
      </c>
      <c r="E3" s="379">
        <f>(C3/5)*D3</f>
        <v>48</v>
      </c>
    </row>
    <row r="4" spans="1:5" ht="12.75">
      <c r="A4" s="376" t="s">
        <v>10</v>
      </c>
      <c r="B4" s="377" t="s">
        <v>619</v>
      </c>
      <c r="C4" s="378">
        <v>48</v>
      </c>
      <c r="D4" s="377">
        <v>5</v>
      </c>
      <c r="E4" s="379">
        <f aca="true" t="shared" si="0" ref="E4:E30">(C4/5)*D4</f>
        <v>48</v>
      </c>
    </row>
    <row r="5" spans="1:5" ht="12.75">
      <c r="A5" s="376" t="s">
        <v>10</v>
      </c>
      <c r="B5" s="377" t="s">
        <v>620</v>
      </c>
      <c r="C5" s="378">
        <v>48</v>
      </c>
      <c r="D5" s="377">
        <v>5</v>
      </c>
      <c r="E5" s="379">
        <f t="shared" si="0"/>
        <v>48</v>
      </c>
    </row>
    <row r="6" spans="1:5" ht="12.75">
      <c r="A6" s="376" t="s">
        <v>10</v>
      </c>
      <c r="B6" s="377" t="s">
        <v>621</v>
      </c>
      <c r="C6" s="378">
        <v>48</v>
      </c>
      <c r="D6" s="377">
        <v>5</v>
      </c>
      <c r="E6" s="379">
        <f t="shared" si="0"/>
        <v>48</v>
      </c>
    </row>
    <row r="7" spans="1:5" ht="12.75">
      <c r="A7" s="376" t="s">
        <v>10</v>
      </c>
      <c r="B7" s="377" t="s">
        <v>622</v>
      </c>
      <c r="C7" s="378">
        <v>48</v>
      </c>
      <c r="D7" s="377">
        <v>5</v>
      </c>
      <c r="E7" s="379">
        <f t="shared" si="0"/>
        <v>48</v>
      </c>
    </row>
    <row r="8" spans="1:5" ht="12.75">
      <c r="A8" s="376" t="s">
        <v>10</v>
      </c>
      <c r="B8" s="377" t="s">
        <v>623</v>
      </c>
      <c r="C8" s="378">
        <v>17.5</v>
      </c>
      <c r="D8" s="377">
        <v>3</v>
      </c>
      <c r="E8" s="379">
        <f t="shared" si="0"/>
        <v>10.5</v>
      </c>
    </row>
    <row r="9" spans="1:5" ht="12.75">
      <c r="A9" s="376" t="s">
        <v>10</v>
      </c>
      <c r="B9" s="377" t="s">
        <v>623</v>
      </c>
      <c r="C9" s="378">
        <v>11.5</v>
      </c>
      <c r="D9" s="377">
        <v>3</v>
      </c>
      <c r="E9" s="379">
        <f t="shared" si="0"/>
        <v>6.8999999999999995</v>
      </c>
    </row>
    <row r="10" spans="1:5" ht="12.75">
      <c r="A10" s="376" t="s">
        <v>10</v>
      </c>
      <c r="B10" s="377" t="s">
        <v>623</v>
      </c>
      <c r="C10" s="378">
        <v>11.5</v>
      </c>
      <c r="D10" s="377">
        <v>3</v>
      </c>
      <c r="E10" s="379">
        <f t="shared" si="0"/>
        <v>6.8999999999999995</v>
      </c>
    </row>
    <row r="11" spans="1:5" ht="12.75">
      <c r="A11" s="376" t="s">
        <v>10</v>
      </c>
      <c r="B11" s="377" t="s">
        <v>624</v>
      </c>
      <c r="C11" s="378">
        <v>13</v>
      </c>
      <c r="D11" s="377">
        <v>3</v>
      </c>
      <c r="E11" s="379">
        <f t="shared" si="0"/>
        <v>7.800000000000001</v>
      </c>
    </row>
    <row r="12" spans="1:5" ht="12.75">
      <c r="A12" s="376">
        <v>203</v>
      </c>
      <c r="B12" s="377" t="s">
        <v>625</v>
      </c>
      <c r="C12" s="378">
        <v>68.46</v>
      </c>
      <c r="D12" s="377">
        <v>5</v>
      </c>
      <c r="E12" s="379">
        <f t="shared" si="0"/>
        <v>68.46</v>
      </c>
    </row>
    <row r="13" spans="1:5" ht="12.75">
      <c r="A13" s="376">
        <v>204</v>
      </c>
      <c r="B13" s="377" t="s">
        <v>626</v>
      </c>
      <c r="C13" s="378">
        <v>68.46</v>
      </c>
      <c r="D13" s="377">
        <v>3</v>
      </c>
      <c r="E13" s="379">
        <f t="shared" si="0"/>
        <v>41.07599999999999</v>
      </c>
    </row>
    <row r="14" spans="1:5" ht="12.75">
      <c r="A14" s="376" t="s">
        <v>627</v>
      </c>
      <c r="B14" s="377" t="s">
        <v>628</v>
      </c>
      <c r="C14" s="378">
        <v>227.9</v>
      </c>
      <c r="D14" s="377">
        <v>3</v>
      </c>
      <c r="E14" s="379">
        <f t="shared" si="0"/>
        <v>136.74</v>
      </c>
    </row>
    <row r="15" spans="1:5" ht="12.75">
      <c r="A15" s="376">
        <v>207</v>
      </c>
      <c r="B15" s="377" t="s">
        <v>629</v>
      </c>
      <c r="C15" s="378">
        <v>59.45</v>
      </c>
      <c r="D15" s="377">
        <v>3</v>
      </c>
      <c r="E15" s="379">
        <f t="shared" si="0"/>
        <v>35.67</v>
      </c>
    </row>
    <row r="16" spans="1:5" ht="12.75">
      <c r="A16" s="376">
        <v>208</v>
      </c>
      <c r="B16" s="377" t="s">
        <v>7</v>
      </c>
      <c r="C16" s="378">
        <v>61.43</v>
      </c>
      <c r="D16" s="377">
        <v>5</v>
      </c>
      <c r="E16" s="379">
        <f t="shared" si="0"/>
        <v>61.43</v>
      </c>
    </row>
    <row r="17" spans="1:5" ht="12.75">
      <c r="A17" s="376">
        <v>214</v>
      </c>
      <c r="B17" s="377" t="s">
        <v>630</v>
      </c>
      <c r="C17" s="378">
        <v>68.25</v>
      </c>
      <c r="D17" s="377">
        <v>5</v>
      </c>
      <c r="E17" s="379">
        <f t="shared" si="0"/>
        <v>68.25</v>
      </c>
    </row>
    <row r="18" spans="1:5" ht="12.75">
      <c r="A18" s="376">
        <v>215</v>
      </c>
      <c r="B18" s="377" t="s">
        <v>630</v>
      </c>
      <c r="C18" s="378">
        <v>68.25</v>
      </c>
      <c r="D18" s="377">
        <v>5</v>
      </c>
      <c r="E18" s="379">
        <f t="shared" si="0"/>
        <v>68.25</v>
      </c>
    </row>
    <row r="19" spans="1:5" ht="12.75">
      <c r="A19" s="376" t="s">
        <v>10</v>
      </c>
      <c r="B19" s="377" t="s">
        <v>631</v>
      </c>
      <c r="C19" s="378">
        <v>19.8</v>
      </c>
      <c r="D19" s="377">
        <v>3</v>
      </c>
      <c r="E19" s="379">
        <f t="shared" si="0"/>
        <v>11.879999999999999</v>
      </c>
    </row>
    <row r="20" spans="1:5" ht="12.75">
      <c r="A20" s="376">
        <v>114</v>
      </c>
      <c r="B20" s="377" t="s">
        <v>625</v>
      </c>
      <c r="C20" s="378">
        <v>69.25</v>
      </c>
      <c r="D20" s="377">
        <v>5</v>
      </c>
      <c r="E20" s="379">
        <f t="shared" si="0"/>
        <v>69.25</v>
      </c>
    </row>
    <row r="21" spans="1:5" ht="12.75">
      <c r="A21" s="376">
        <v>109</v>
      </c>
      <c r="B21" s="377" t="s">
        <v>632</v>
      </c>
      <c r="C21" s="378">
        <v>25.8</v>
      </c>
      <c r="D21" s="377">
        <v>3</v>
      </c>
      <c r="E21" s="379">
        <f t="shared" si="0"/>
        <v>15.48</v>
      </c>
    </row>
    <row r="22" spans="1:5" ht="12.75">
      <c r="A22" s="376" t="s">
        <v>633</v>
      </c>
      <c r="B22" s="377" t="s">
        <v>634</v>
      </c>
      <c r="C22" s="378">
        <v>4.44</v>
      </c>
      <c r="D22" s="377">
        <v>1</v>
      </c>
      <c r="E22" s="379">
        <f t="shared" si="0"/>
        <v>0.8880000000000001</v>
      </c>
    </row>
    <row r="23" spans="1:5" ht="12.75">
      <c r="A23" s="376">
        <v>108</v>
      </c>
      <c r="B23" s="377" t="s">
        <v>635</v>
      </c>
      <c r="C23" s="378">
        <v>30.66</v>
      </c>
      <c r="D23" s="377">
        <v>3</v>
      </c>
      <c r="E23" s="379">
        <f t="shared" si="0"/>
        <v>18.396</v>
      </c>
    </row>
    <row r="24" spans="1:5" ht="12.75">
      <c r="A24" s="376">
        <v>107</v>
      </c>
      <c r="B24" s="377" t="s">
        <v>625</v>
      </c>
      <c r="C24" s="378">
        <v>69</v>
      </c>
      <c r="D24" s="377">
        <v>5</v>
      </c>
      <c r="E24" s="379">
        <f t="shared" si="0"/>
        <v>69</v>
      </c>
    </row>
    <row r="25" spans="1:5" ht="12.75">
      <c r="A25" s="376">
        <v>106</v>
      </c>
      <c r="B25" s="377" t="s">
        <v>6</v>
      </c>
      <c r="C25" s="378">
        <v>146.45</v>
      </c>
      <c r="D25" s="377">
        <v>2</v>
      </c>
      <c r="E25" s="379">
        <f t="shared" si="0"/>
        <v>58.58</v>
      </c>
    </row>
    <row r="26" spans="1:5" ht="12.75">
      <c r="A26" s="376">
        <v>105</v>
      </c>
      <c r="B26" s="377" t="s">
        <v>636</v>
      </c>
      <c r="C26" s="378">
        <v>7</v>
      </c>
      <c r="D26" s="377">
        <v>1</v>
      </c>
      <c r="E26" s="379">
        <f t="shared" si="0"/>
        <v>1.4</v>
      </c>
    </row>
    <row r="27" spans="1:5" ht="12.75">
      <c r="A27" s="376">
        <v>104</v>
      </c>
      <c r="B27" s="377" t="s">
        <v>625</v>
      </c>
      <c r="C27" s="378">
        <v>68.46</v>
      </c>
      <c r="D27" s="377">
        <v>5</v>
      </c>
      <c r="E27" s="379">
        <f t="shared" si="0"/>
        <v>68.46</v>
      </c>
    </row>
    <row r="28" spans="1:5" ht="12.75">
      <c r="A28" s="376">
        <v>103</v>
      </c>
      <c r="B28" s="377" t="s">
        <v>625</v>
      </c>
      <c r="C28" s="378">
        <v>68.46</v>
      </c>
      <c r="D28" s="377">
        <v>5</v>
      </c>
      <c r="E28" s="379">
        <f t="shared" si="0"/>
        <v>68.46</v>
      </c>
    </row>
    <row r="29" spans="1:5" ht="12.75">
      <c r="A29" s="376">
        <v>102</v>
      </c>
      <c r="B29" s="377" t="s">
        <v>9</v>
      </c>
      <c r="C29" s="378">
        <v>68.46</v>
      </c>
      <c r="D29" s="377">
        <v>5</v>
      </c>
      <c r="E29" s="379">
        <f t="shared" si="0"/>
        <v>68.46</v>
      </c>
    </row>
    <row r="30" spans="1:5" ht="12.75">
      <c r="A30" s="376" t="s">
        <v>10</v>
      </c>
      <c r="B30" s="377" t="s">
        <v>8</v>
      </c>
      <c r="C30" s="378">
        <v>101.72</v>
      </c>
      <c r="D30" s="377">
        <v>5</v>
      </c>
      <c r="E30" s="379">
        <f t="shared" si="0"/>
        <v>101.72</v>
      </c>
    </row>
    <row r="31" spans="1:5" ht="16.5" customHeight="1">
      <c r="A31" s="473" t="s">
        <v>11</v>
      </c>
      <c r="B31" s="473"/>
      <c r="C31" s="366">
        <f>SUM(C3:C30)</f>
        <v>1595.2000000000003</v>
      </c>
      <c r="D31" s="367"/>
      <c r="E31" s="367">
        <f>SUM(E3:E30)</f>
        <v>1303.95</v>
      </c>
    </row>
    <row r="32" spans="1:5" ht="12.75">
      <c r="A32" s="241"/>
      <c r="B32" s="242"/>
      <c r="C32" s="243"/>
      <c r="D32" s="242"/>
      <c r="E32" s="244"/>
    </row>
    <row r="33" spans="1:5" ht="38.25">
      <c r="A33" s="236" t="s">
        <v>1</v>
      </c>
      <c r="B33" s="237" t="s">
        <v>12</v>
      </c>
      <c r="C33" s="236" t="s">
        <v>3</v>
      </c>
      <c r="D33" s="237" t="s">
        <v>4</v>
      </c>
      <c r="E33" s="237" t="s">
        <v>5</v>
      </c>
    </row>
    <row r="34" spans="1:5" ht="12.75">
      <c r="A34" s="376" t="s">
        <v>10</v>
      </c>
      <c r="B34" s="377" t="s">
        <v>637</v>
      </c>
      <c r="C34" s="378">
        <v>8.1</v>
      </c>
      <c r="D34" s="377">
        <v>1</v>
      </c>
      <c r="E34" s="379">
        <f>(C34/5)*D34</f>
        <v>1.6199999999999999</v>
      </c>
    </row>
    <row r="35" spans="1:5" ht="12.75">
      <c r="A35" s="376" t="s">
        <v>10</v>
      </c>
      <c r="B35" s="377" t="s">
        <v>638</v>
      </c>
      <c r="C35" s="378">
        <v>3.96</v>
      </c>
      <c r="D35" s="377">
        <v>1</v>
      </c>
      <c r="E35" s="379">
        <f>(C35/5)*D35</f>
        <v>0.792</v>
      </c>
    </row>
    <row r="36" spans="1:5" ht="12.75">
      <c r="A36" s="376">
        <v>209</v>
      </c>
      <c r="B36" s="377" t="s">
        <v>639</v>
      </c>
      <c r="C36" s="378">
        <v>6.24</v>
      </c>
      <c r="D36" s="377">
        <v>1</v>
      </c>
      <c r="E36" s="379">
        <f>(C36/5)*D36</f>
        <v>1.248</v>
      </c>
    </row>
    <row r="37" spans="1:5" ht="12.75">
      <c r="A37" s="376" t="s">
        <v>640</v>
      </c>
      <c r="B37" s="377" t="s">
        <v>13</v>
      </c>
      <c r="C37" s="378">
        <v>19.8</v>
      </c>
      <c r="D37" s="377">
        <v>1</v>
      </c>
      <c r="E37" s="379">
        <f>(C37/5)*D37</f>
        <v>3.96</v>
      </c>
    </row>
    <row r="38" spans="1:5" ht="12.75">
      <c r="A38" s="376" t="s">
        <v>10</v>
      </c>
      <c r="B38" s="377" t="s">
        <v>641</v>
      </c>
      <c r="C38" s="378">
        <v>27.63</v>
      </c>
      <c r="D38" s="377">
        <v>1</v>
      </c>
      <c r="E38" s="379">
        <f>(C38/5)*D38</f>
        <v>5.526</v>
      </c>
    </row>
    <row r="39" spans="1:5" s="4" customFormat="1" ht="16.5" customHeight="1">
      <c r="A39" s="473" t="s">
        <v>11</v>
      </c>
      <c r="B39" s="473"/>
      <c r="C39" s="366">
        <f>SUM(C37:C38)</f>
        <v>47.43</v>
      </c>
      <c r="D39" s="367"/>
      <c r="E39" s="367">
        <f>SUM(E34:E38)</f>
        <v>13.146</v>
      </c>
    </row>
    <row r="40" spans="1:5" ht="12.75">
      <c r="A40" s="241"/>
      <c r="B40" s="242"/>
      <c r="C40" s="245"/>
      <c r="D40" s="242"/>
      <c r="E40" s="244"/>
    </row>
    <row r="41" spans="1:5" ht="38.25">
      <c r="A41" s="236" t="s">
        <v>1</v>
      </c>
      <c r="B41" s="237" t="s">
        <v>14</v>
      </c>
      <c r="C41" s="236" t="s">
        <v>3</v>
      </c>
      <c r="D41" s="237" t="s">
        <v>4</v>
      </c>
      <c r="E41" s="237" t="s">
        <v>5</v>
      </c>
    </row>
    <row r="42" spans="1:5" ht="12.75">
      <c r="A42" s="376" t="s">
        <v>10</v>
      </c>
      <c r="B42" s="377" t="s">
        <v>642</v>
      </c>
      <c r="C42" s="378">
        <v>48</v>
      </c>
      <c r="D42" s="377">
        <v>5</v>
      </c>
      <c r="E42" s="379">
        <f aca="true" t="shared" si="1" ref="E42:E48">(C42/5)*D42</f>
        <v>48</v>
      </c>
    </row>
    <row r="43" spans="1:5" ht="12.75">
      <c r="A43" s="376" t="s">
        <v>10</v>
      </c>
      <c r="B43" s="377" t="s">
        <v>643</v>
      </c>
      <c r="C43" s="378">
        <v>48</v>
      </c>
      <c r="D43" s="377">
        <v>5</v>
      </c>
      <c r="E43" s="379">
        <f t="shared" si="1"/>
        <v>48</v>
      </c>
    </row>
    <row r="44" spans="1:5" ht="12.75">
      <c r="A44" s="376" t="s">
        <v>10</v>
      </c>
      <c r="B44" s="377" t="s">
        <v>644</v>
      </c>
      <c r="C44" s="378">
        <v>47</v>
      </c>
      <c r="D44" s="377">
        <v>5</v>
      </c>
      <c r="E44" s="379">
        <f t="shared" si="1"/>
        <v>47</v>
      </c>
    </row>
    <row r="45" spans="1:5" ht="12.75">
      <c r="A45" s="376" t="s">
        <v>10</v>
      </c>
      <c r="B45" s="377" t="s">
        <v>645</v>
      </c>
      <c r="C45" s="378">
        <v>54</v>
      </c>
      <c r="D45" s="377">
        <v>5</v>
      </c>
      <c r="E45" s="379">
        <f t="shared" si="1"/>
        <v>54</v>
      </c>
    </row>
    <row r="46" spans="1:5" ht="12.75">
      <c r="A46" s="376">
        <v>201</v>
      </c>
      <c r="B46" s="377" t="s">
        <v>646</v>
      </c>
      <c r="C46" s="378">
        <v>68.46</v>
      </c>
      <c r="D46" s="377">
        <v>5</v>
      </c>
      <c r="E46" s="379">
        <f t="shared" si="1"/>
        <v>68.46</v>
      </c>
    </row>
    <row r="47" spans="1:5" ht="12.75">
      <c r="A47" s="376">
        <v>202</v>
      </c>
      <c r="B47" s="377" t="s">
        <v>647</v>
      </c>
      <c r="C47" s="378">
        <v>68.46</v>
      </c>
      <c r="D47" s="377">
        <v>5</v>
      </c>
      <c r="E47" s="379">
        <f t="shared" si="1"/>
        <v>68.46</v>
      </c>
    </row>
    <row r="48" spans="1:5" ht="12.75">
      <c r="A48" s="376">
        <v>115</v>
      </c>
      <c r="B48" s="377" t="s">
        <v>648</v>
      </c>
      <c r="C48" s="378">
        <v>69.03</v>
      </c>
      <c r="D48" s="377">
        <v>5</v>
      </c>
      <c r="E48" s="379">
        <f t="shared" si="1"/>
        <v>69.03</v>
      </c>
    </row>
    <row r="49" spans="1:5" ht="16.5" customHeight="1">
      <c r="A49" s="473" t="s">
        <v>11</v>
      </c>
      <c r="B49" s="473"/>
      <c r="C49" s="366">
        <f>SUM(C42:C48)</f>
        <v>402.94999999999993</v>
      </c>
      <c r="D49" s="367"/>
      <c r="E49" s="367">
        <f>SUM(E42:E48)</f>
        <v>402.94999999999993</v>
      </c>
    </row>
    <row r="50" spans="1:5" ht="12.75">
      <c r="A50" s="246"/>
      <c r="B50" s="247"/>
      <c r="C50" s="248"/>
      <c r="D50" s="247"/>
      <c r="E50" s="249"/>
    </row>
    <row r="51" spans="1:5" ht="12.75">
      <c r="A51" s="250"/>
      <c r="B51" s="251"/>
      <c r="C51" s="252"/>
      <c r="D51" s="251"/>
      <c r="E51" s="253"/>
    </row>
    <row r="52" spans="1:5" ht="38.25">
      <c r="A52" s="236" t="s">
        <v>1</v>
      </c>
      <c r="B52" s="237" t="s">
        <v>15</v>
      </c>
      <c r="C52" s="236" t="s">
        <v>3</v>
      </c>
      <c r="D52" s="237" t="s">
        <v>4</v>
      </c>
      <c r="E52" s="237" t="s">
        <v>5</v>
      </c>
    </row>
    <row r="53" spans="1:5" ht="12.75">
      <c r="A53" s="376"/>
      <c r="B53" s="377" t="s">
        <v>649</v>
      </c>
      <c r="C53" s="378">
        <v>24.18</v>
      </c>
      <c r="D53" s="377">
        <v>5</v>
      </c>
      <c r="E53" s="379">
        <f aca="true" t="shared" si="2" ref="E53:E65">(C53/5)*D53</f>
        <v>24.18</v>
      </c>
    </row>
    <row r="54" spans="1:5" ht="12.75">
      <c r="A54" s="376"/>
      <c r="B54" s="377" t="s">
        <v>650</v>
      </c>
      <c r="C54" s="378">
        <v>3.06</v>
      </c>
      <c r="D54" s="377">
        <v>2.5</v>
      </c>
      <c r="E54" s="379">
        <f t="shared" si="2"/>
        <v>1.53</v>
      </c>
    </row>
    <row r="55" spans="1:5" ht="12.75">
      <c r="A55" s="376"/>
      <c r="B55" s="377" t="s">
        <v>651</v>
      </c>
      <c r="C55" s="378">
        <v>24.18</v>
      </c>
      <c r="D55" s="377">
        <v>5</v>
      </c>
      <c r="E55" s="379">
        <f t="shared" si="2"/>
        <v>24.18</v>
      </c>
    </row>
    <row r="56" spans="1:5" ht="12.75">
      <c r="A56" s="376"/>
      <c r="B56" s="377" t="s">
        <v>652</v>
      </c>
      <c r="C56" s="378">
        <v>3.06</v>
      </c>
      <c r="D56" s="377">
        <v>2.5</v>
      </c>
      <c r="E56" s="379">
        <f t="shared" si="2"/>
        <v>1.53</v>
      </c>
    </row>
    <row r="57" spans="1:5" ht="12.75">
      <c r="A57" s="376"/>
      <c r="B57" s="377" t="s">
        <v>649</v>
      </c>
      <c r="C57" s="378">
        <v>24.18</v>
      </c>
      <c r="D57" s="377">
        <v>5</v>
      </c>
      <c r="E57" s="379">
        <f t="shared" si="2"/>
        <v>24.18</v>
      </c>
    </row>
    <row r="58" spans="1:5" ht="12.75">
      <c r="A58" s="376"/>
      <c r="B58" s="377" t="s">
        <v>650</v>
      </c>
      <c r="C58" s="378">
        <v>3.06</v>
      </c>
      <c r="D58" s="377">
        <v>2.5</v>
      </c>
      <c r="E58" s="379">
        <f t="shared" si="2"/>
        <v>1.53</v>
      </c>
    </row>
    <row r="59" spans="1:5" ht="12.75">
      <c r="A59" s="376"/>
      <c r="B59" s="377" t="s">
        <v>651</v>
      </c>
      <c r="C59" s="378">
        <v>24.18</v>
      </c>
      <c r="D59" s="377">
        <v>5</v>
      </c>
      <c r="E59" s="379">
        <f t="shared" si="2"/>
        <v>24.18</v>
      </c>
    </row>
    <row r="60" spans="1:5" ht="12.75">
      <c r="A60" s="376"/>
      <c r="B60" s="377" t="s">
        <v>652</v>
      </c>
      <c r="C60" s="378">
        <v>3.06</v>
      </c>
      <c r="D60" s="377">
        <v>2.5</v>
      </c>
      <c r="E60" s="379">
        <f t="shared" si="2"/>
        <v>1.53</v>
      </c>
    </row>
    <row r="61" spans="1:5" ht="12.75">
      <c r="A61" s="376"/>
      <c r="B61" s="377" t="s">
        <v>653</v>
      </c>
      <c r="C61" s="378">
        <v>25.3</v>
      </c>
      <c r="D61" s="377">
        <v>5</v>
      </c>
      <c r="E61" s="379">
        <f t="shared" si="2"/>
        <v>25.300000000000004</v>
      </c>
    </row>
    <row r="62" spans="1:5" ht="12.75">
      <c r="A62" s="376"/>
      <c r="B62" s="377" t="s">
        <v>654</v>
      </c>
      <c r="C62" s="378">
        <v>25.3</v>
      </c>
      <c r="D62" s="377">
        <v>5</v>
      </c>
      <c r="E62" s="379">
        <f t="shared" si="2"/>
        <v>25.300000000000004</v>
      </c>
    </row>
    <row r="63" spans="1:5" ht="12.75">
      <c r="A63" s="376"/>
      <c r="B63" s="377" t="s">
        <v>655</v>
      </c>
      <c r="C63" s="378">
        <v>3.68</v>
      </c>
      <c r="D63" s="377">
        <v>2.5</v>
      </c>
      <c r="E63" s="379">
        <f t="shared" si="2"/>
        <v>1.8399999999999999</v>
      </c>
    </row>
    <row r="64" spans="1:5" ht="12.75">
      <c r="A64" s="376"/>
      <c r="B64" s="377" t="s">
        <v>656</v>
      </c>
      <c r="C64" s="378">
        <v>3.68</v>
      </c>
      <c r="D64" s="377">
        <v>2.5</v>
      </c>
      <c r="E64" s="379">
        <f t="shared" si="2"/>
        <v>1.8399999999999999</v>
      </c>
    </row>
    <row r="65" spans="1:5" ht="12.75">
      <c r="A65" s="376"/>
      <c r="B65" s="377" t="s">
        <v>657</v>
      </c>
      <c r="C65" s="378">
        <v>3.96</v>
      </c>
      <c r="D65" s="377">
        <v>5</v>
      </c>
      <c r="E65" s="379">
        <f t="shared" si="2"/>
        <v>3.96</v>
      </c>
    </row>
    <row r="66" spans="1:5" ht="16.5" customHeight="1">
      <c r="A66" s="473" t="s">
        <v>11</v>
      </c>
      <c r="B66" s="473"/>
      <c r="C66" s="366">
        <f>SUM(C53:C65)</f>
        <v>170.88000000000005</v>
      </c>
      <c r="D66" s="367"/>
      <c r="E66" s="367">
        <f>SUM(E53:E65)</f>
        <v>161.08000000000004</v>
      </c>
    </row>
    <row r="67" spans="1:5" ht="12.75">
      <c r="A67" s="255"/>
      <c r="B67" s="247"/>
      <c r="C67" s="256"/>
      <c r="D67" s="247"/>
      <c r="E67" s="249"/>
    </row>
    <row r="68" spans="1:5" ht="12.75">
      <c r="A68" s="257"/>
      <c r="B68" s="251"/>
      <c r="C68" s="258"/>
      <c r="D68" s="251"/>
      <c r="E68" s="253"/>
    </row>
    <row r="69" spans="1:5" ht="38.25">
      <c r="A69" s="259"/>
      <c r="B69" s="237" t="s">
        <v>16</v>
      </c>
      <c r="C69" s="236" t="s">
        <v>3</v>
      </c>
      <c r="D69" s="237" t="s">
        <v>4</v>
      </c>
      <c r="E69" s="237" t="s">
        <v>5</v>
      </c>
    </row>
    <row r="70" spans="1:5" ht="12.75">
      <c r="A70" s="238"/>
      <c r="B70" s="377" t="s">
        <v>658</v>
      </c>
      <c r="C70" s="378">
        <v>23.8</v>
      </c>
      <c r="D70" s="377">
        <v>3</v>
      </c>
      <c r="E70" s="379">
        <f aca="true" t="shared" si="3" ref="E70:E77">(C70/5)*D70</f>
        <v>14.28</v>
      </c>
    </row>
    <row r="71" spans="1:5" ht="12.75">
      <c r="A71" s="238"/>
      <c r="B71" s="377" t="s">
        <v>659</v>
      </c>
      <c r="C71" s="378">
        <v>64.44</v>
      </c>
      <c r="D71" s="377">
        <v>3</v>
      </c>
      <c r="E71" s="379">
        <f t="shared" si="3"/>
        <v>38.664</v>
      </c>
    </row>
    <row r="72" spans="1:5" ht="12.75">
      <c r="A72" s="238"/>
      <c r="B72" s="377" t="s">
        <v>660</v>
      </c>
      <c r="C72" s="378">
        <v>54.8</v>
      </c>
      <c r="D72" s="377">
        <v>3</v>
      </c>
      <c r="E72" s="379">
        <f t="shared" si="3"/>
        <v>32.879999999999995</v>
      </c>
    </row>
    <row r="73" spans="1:5" ht="12.75">
      <c r="A73" s="238"/>
      <c r="B73" s="377" t="s">
        <v>661</v>
      </c>
      <c r="C73" s="378">
        <v>272.03</v>
      </c>
      <c r="D73" s="377">
        <v>3</v>
      </c>
      <c r="E73" s="379">
        <f t="shared" si="3"/>
        <v>163.21799999999996</v>
      </c>
    </row>
    <row r="74" spans="1:5" ht="12.75">
      <c r="A74" s="238"/>
      <c r="B74" s="377" t="s">
        <v>662</v>
      </c>
      <c r="C74" s="378">
        <v>152.74</v>
      </c>
      <c r="D74" s="377">
        <v>3</v>
      </c>
      <c r="E74" s="379">
        <f t="shared" si="3"/>
        <v>91.644</v>
      </c>
    </row>
    <row r="75" spans="1:5" ht="12.75">
      <c r="A75" s="238"/>
      <c r="B75" s="377" t="s">
        <v>663</v>
      </c>
      <c r="C75" s="378">
        <v>541.09</v>
      </c>
      <c r="D75" s="377">
        <v>3</v>
      </c>
      <c r="E75" s="379">
        <f t="shared" si="3"/>
        <v>324.654</v>
      </c>
    </row>
    <row r="76" spans="1:5" ht="12.75">
      <c r="A76" s="238"/>
      <c r="B76" s="377" t="s">
        <v>664</v>
      </c>
      <c r="C76" s="378">
        <v>18</v>
      </c>
      <c r="D76" s="377">
        <v>3</v>
      </c>
      <c r="E76" s="379">
        <f t="shared" si="3"/>
        <v>10.8</v>
      </c>
    </row>
    <row r="77" spans="1:5" ht="12.75">
      <c r="A77" s="238"/>
      <c r="B77" s="377" t="s">
        <v>664</v>
      </c>
      <c r="C77" s="378">
        <v>34.25</v>
      </c>
      <c r="D77" s="377">
        <v>3</v>
      </c>
      <c r="E77" s="379">
        <f t="shared" si="3"/>
        <v>20.549999999999997</v>
      </c>
    </row>
    <row r="78" spans="1:5" ht="12.75">
      <c r="A78" s="260"/>
      <c r="B78" s="261" t="s">
        <v>11</v>
      </c>
      <c r="C78" s="366">
        <f>SUM(C70:C77)</f>
        <v>1161.15</v>
      </c>
      <c r="D78" s="367"/>
      <c r="E78" s="367">
        <f>SUM(E70:E77)</f>
        <v>696.6899999999998</v>
      </c>
    </row>
    <row r="79" spans="1:5" ht="12.75">
      <c r="A79" s="241"/>
      <c r="B79" s="242"/>
      <c r="C79" s="245"/>
      <c r="D79" s="242"/>
      <c r="E79" s="244"/>
    </row>
    <row r="80" spans="1:5" ht="38.25">
      <c r="A80" s="259"/>
      <c r="B80" s="237" t="s">
        <v>17</v>
      </c>
      <c r="C80" s="236" t="s">
        <v>3</v>
      </c>
      <c r="D80" s="237" t="s">
        <v>4</v>
      </c>
      <c r="E80" s="237" t="s">
        <v>5</v>
      </c>
    </row>
    <row r="81" spans="1:5" ht="12.75">
      <c r="A81" s="238"/>
      <c r="B81" s="377" t="s">
        <v>665</v>
      </c>
      <c r="C81" s="378">
        <v>94.05</v>
      </c>
      <c r="D81" s="377">
        <v>1</v>
      </c>
      <c r="E81" s="379">
        <f>C81*D81</f>
        <v>94.05</v>
      </c>
    </row>
    <row r="82" spans="1:5" ht="12.75">
      <c r="A82" s="238"/>
      <c r="B82" s="377" t="s">
        <v>666</v>
      </c>
      <c r="C82" s="378">
        <v>94.05</v>
      </c>
      <c r="D82" s="377">
        <v>1</v>
      </c>
      <c r="E82" s="379">
        <f>C82*D82</f>
        <v>94.05</v>
      </c>
    </row>
    <row r="83" spans="1:5" ht="12.75">
      <c r="A83" s="260"/>
      <c r="B83" s="261" t="s">
        <v>11</v>
      </c>
      <c r="C83" s="366">
        <f>SUM(C81:C82)</f>
        <v>188.1</v>
      </c>
      <c r="D83" s="367"/>
      <c r="E83" s="367">
        <f>SUM(E81:E82)</f>
        <v>188.1</v>
      </c>
    </row>
    <row r="84" spans="1:5" ht="12.75">
      <c r="A84" s="241"/>
      <c r="B84" s="242"/>
      <c r="C84" s="245"/>
      <c r="D84" s="242"/>
      <c r="E84" s="244"/>
    </row>
    <row r="85" spans="1:5" ht="38.25">
      <c r="A85" s="259"/>
      <c r="B85" s="237" t="s">
        <v>18</v>
      </c>
      <c r="C85" s="236" t="s">
        <v>3</v>
      </c>
      <c r="D85" s="237" t="s">
        <v>19</v>
      </c>
      <c r="E85" s="237" t="s">
        <v>20</v>
      </c>
    </row>
    <row r="86" spans="1:5" ht="12.75">
      <c r="A86" s="238"/>
      <c r="B86" s="377" t="s">
        <v>21</v>
      </c>
      <c r="C86" s="378">
        <v>752.92</v>
      </c>
      <c r="D86" s="377">
        <v>0.25</v>
      </c>
      <c r="E86" s="379">
        <f>(C86/5)*D86</f>
        <v>37.646</v>
      </c>
    </row>
    <row r="87" spans="1:5" s="4" customFormat="1" ht="12.75">
      <c r="A87" s="260"/>
      <c r="B87" s="261" t="s">
        <v>11</v>
      </c>
      <c r="C87" s="368">
        <f>SUM(C86:C86)</f>
        <v>752.92</v>
      </c>
      <c r="D87" s="369"/>
      <c r="E87" s="369">
        <f>SUM(E86:E86)</f>
        <v>37.646</v>
      </c>
    </row>
    <row r="88" spans="1:5" ht="12.75">
      <c r="A88" s="241"/>
      <c r="B88" s="242"/>
      <c r="C88" s="245"/>
      <c r="D88" s="242"/>
      <c r="E88" s="244"/>
    </row>
    <row r="89" spans="1:5" ht="38.25">
      <c r="A89" s="259"/>
      <c r="B89" s="237" t="s">
        <v>22</v>
      </c>
      <c r="C89" s="236" t="s">
        <v>3</v>
      </c>
      <c r="D89" s="237" t="s">
        <v>4</v>
      </c>
      <c r="E89" s="237" t="s">
        <v>5</v>
      </c>
    </row>
    <row r="90" spans="1:5" ht="12.75">
      <c r="A90" s="238"/>
      <c r="B90" s="239"/>
      <c r="C90" s="254"/>
      <c r="D90" s="239"/>
      <c r="E90" s="240">
        <f>C90*D90</f>
        <v>0</v>
      </c>
    </row>
    <row r="91" spans="1:5" ht="12.75">
      <c r="A91" s="260"/>
      <c r="B91" s="261" t="s">
        <v>11</v>
      </c>
      <c r="C91" s="366">
        <f>SUM(C90:C90)</f>
        <v>0</v>
      </c>
      <c r="D91" s="367"/>
      <c r="E91" s="367">
        <f>SUM(E90:E90)</f>
        <v>0</v>
      </c>
    </row>
    <row r="92" spans="1:5" ht="12.75">
      <c r="A92" s="246"/>
      <c r="B92" s="247"/>
      <c r="C92" s="262"/>
      <c r="D92" s="247"/>
      <c r="E92" s="249"/>
    </row>
    <row r="93" spans="1:5" ht="12.75">
      <c r="A93" s="250"/>
      <c r="B93" s="251"/>
      <c r="C93" s="263"/>
      <c r="D93" s="251"/>
      <c r="E93" s="253"/>
    </row>
    <row r="94" spans="1:5" ht="38.25">
      <c r="A94" s="259"/>
      <c r="B94" s="237" t="s">
        <v>23</v>
      </c>
      <c r="C94" s="236" t="s">
        <v>3</v>
      </c>
      <c r="D94" s="237" t="s">
        <v>24</v>
      </c>
      <c r="E94" s="237" t="s">
        <v>25</v>
      </c>
    </row>
    <row r="95" spans="1:5" ht="12.75">
      <c r="A95" s="383"/>
      <c r="B95" s="377" t="s">
        <v>667</v>
      </c>
      <c r="C95" s="378">
        <v>24.2</v>
      </c>
      <c r="D95" s="377">
        <v>0.5</v>
      </c>
      <c r="E95" s="379">
        <f aca="true" t="shared" si="4" ref="E95:E104">C95*D95</f>
        <v>12.1</v>
      </c>
    </row>
    <row r="96" spans="1:5" ht="12.75">
      <c r="A96" s="383"/>
      <c r="B96" s="377" t="s">
        <v>668</v>
      </c>
      <c r="C96" s="378">
        <v>48.4</v>
      </c>
      <c r="D96" s="377">
        <v>0.5</v>
      </c>
      <c r="E96" s="379">
        <f t="shared" si="4"/>
        <v>24.2</v>
      </c>
    </row>
    <row r="97" spans="1:5" ht="12.75">
      <c r="A97" s="238"/>
      <c r="B97" s="377" t="s">
        <v>669</v>
      </c>
      <c r="C97" s="378">
        <v>1.89</v>
      </c>
      <c r="D97" s="377">
        <v>0.5</v>
      </c>
      <c r="E97" s="379">
        <f t="shared" si="4"/>
        <v>0.945</v>
      </c>
    </row>
    <row r="98" spans="1:5" ht="12.75">
      <c r="A98" s="238"/>
      <c r="B98" s="377" t="s">
        <v>670</v>
      </c>
      <c r="C98" s="378">
        <v>3.78</v>
      </c>
      <c r="D98" s="377">
        <v>0.5</v>
      </c>
      <c r="E98" s="379">
        <f t="shared" si="4"/>
        <v>1.89</v>
      </c>
    </row>
    <row r="99" spans="1:5" ht="12.75">
      <c r="A99" s="238"/>
      <c r="B99" s="377" t="s">
        <v>671</v>
      </c>
      <c r="C99" s="378">
        <v>15.4</v>
      </c>
      <c r="D99" s="377">
        <v>0.5</v>
      </c>
      <c r="E99" s="379">
        <f t="shared" si="4"/>
        <v>7.7</v>
      </c>
    </row>
    <row r="100" spans="1:5" ht="12.75">
      <c r="A100" s="238"/>
      <c r="B100" s="377" t="s">
        <v>672</v>
      </c>
      <c r="C100" s="378">
        <v>48.4</v>
      </c>
      <c r="D100" s="377">
        <v>0.5</v>
      </c>
      <c r="E100" s="379">
        <f t="shared" si="4"/>
        <v>24.2</v>
      </c>
    </row>
    <row r="101" spans="1:5" ht="12.75">
      <c r="A101" s="238"/>
      <c r="B101" s="377" t="s">
        <v>669</v>
      </c>
      <c r="C101" s="378">
        <v>3.78</v>
      </c>
      <c r="D101" s="377">
        <v>0.5</v>
      </c>
      <c r="E101" s="379">
        <f t="shared" si="4"/>
        <v>1.89</v>
      </c>
    </row>
    <row r="102" spans="1:5" ht="12.75">
      <c r="A102" s="238"/>
      <c r="B102" s="377" t="s">
        <v>670</v>
      </c>
      <c r="C102" s="378">
        <v>3.78</v>
      </c>
      <c r="D102" s="377">
        <v>0.5</v>
      </c>
      <c r="E102" s="379">
        <f t="shared" si="4"/>
        <v>1.89</v>
      </c>
    </row>
    <row r="103" spans="1:5" ht="12.75">
      <c r="A103" s="238"/>
      <c r="B103" s="380" t="s">
        <v>673</v>
      </c>
      <c r="C103" s="381">
        <v>602.54</v>
      </c>
      <c r="D103" s="380">
        <v>0.5</v>
      </c>
      <c r="E103" s="380">
        <f t="shared" si="4"/>
        <v>301.27</v>
      </c>
    </row>
    <row r="104" spans="1:5" ht="12.75">
      <c r="A104" s="238"/>
      <c r="B104" s="380" t="s">
        <v>674</v>
      </c>
      <c r="C104" s="381">
        <v>34.2</v>
      </c>
      <c r="D104" s="380">
        <v>0.5</v>
      </c>
      <c r="E104" s="380">
        <f t="shared" si="4"/>
        <v>17.1</v>
      </c>
    </row>
    <row r="105" spans="1:5" ht="12.75">
      <c r="A105" s="260"/>
      <c r="B105" s="261" t="s">
        <v>11</v>
      </c>
      <c r="C105" s="366">
        <f>SUM(C97:C104)</f>
        <v>713.77</v>
      </c>
      <c r="D105" s="367"/>
      <c r="E105" s="367">
        <f>SUM(E95:E104)</f>
        <v>393.185</v>
      </c>
    </row>
    <row r="106" spans="1:5" ht="12.75">
      <c r="A106" s="264"/>
      <c r="B106" s="264"/>
      <c r="C106" s="264"/>
      <c r="D106" s="264"/>
      <c r="E106" s="264"/>
    </row>
    <row r="107" spans="1:5" ht="38.25">
      <c r="A107" s="265"/>
      <c r="B107" s="237" t="s">
        <v>26</v>
      </c>
      <c r="C107" s="236" t="s">
        <v>3</v>
      </c>
      <c r="D107" s="237" t="s">
        <v>24</v>
      </c>
      <c r="E107" s="237" t="s">
        <v>25</v>
      </c>
    </row>
    <row r="108" spans="1:5" ht="12.75">
      <c r="A108" s="382"/>
      <c r="B108" s="377" t="s">
        <v>667</v>
      </c>
      <c r="C108" s="378">
        <v>24.2</v>
      </c>
      <c r="D108" s="377">
        <v>0.5</v>
      </c>
      <c r="E108" s="379">
        <f aca="true" t="shared" si="5" ref="E108:E117">C108*D108</f>
        <v>12.1</v>
      </c>
    </row>
    <row r="109" spans="1:5" ht="12.75">
      <c r="A109" s="382"/>
      <c r="B109" s="377" t="s">
        <v>668</v>
      </c>
      <c r="C109" s="378">
        <v>48.4</v>
      </c>
      <c r="D109" s="377">
        <v>0.5</v>
      </c>
      <c r="E109" s="379">
        <f t="shared" si="5"/>
        <v>24.2</v>
      </c>
    </row>
    <row r="110" spans="1:5" ht="12.75">
      <c r="A110" s="266"/>
      <c r="B110" s="377" t="s">
        <v>669</v>
      </c>
      <c r="C110" s="378">
        <v>1.89</v>
      </c>
      <c r="D110" s="377">
        <v>0.5</v>
      </c>
      <c r="E110" s="379">
        <f t="shared" si="5"/>
        <v>0.945</v>
      </c>
    </row>
    <row r="111" spans="1:5" ht="12.75">
      <c r="A111" s="266"/>
      <c r="B111" s="377" t="s">
        <v>670</v>
      </c>
      <c r="C111" s="378">
        <v>3.78</v>
      </c>
      <c r="D111" s="377">
        <v>0.5</v>
      </c>
      <c r="E111" s="379">
        <f t="shared" si="5"/>
        <v>1.89</v>
      </c>
    </row>
    <row r="112" spans="1:5" ht="12.75">
      <c r="A112" s="266"/>
      <c r="B112" s="377" t="s">
        <v>671</v>
      </c>
      <c r="C112" s="378">
        <v>15.4</v>
      </c>
      <c r="D112" s="377">
        <v>0.5</v>
      </c>
      <c r="E112" s="379">
        <f t="shared" si="5"/>
        <v>7.7</v>
      </c>
    </row>
    <row r="113" spans="1:5" ht="12.75">
      <c r="A113" s="266"/>
      <c r="B113" s="377" t="s">
        <v>672</v>
      </c>
      <c r="C113" s="378">
        <v>48.4</v>
      </c>
      <c r="D113" s="377">
        <v>0.5</v>
      </c>
      <c r="E113" s="379">
        <f t="shared" si="5"/>
        <v>24.2</v>
      </c>
    </row>
    <row r="114" spans="1:5" ht="12.75">
      <c r="A114" s="266"/>
      <c r="B114" s="377" t="s">
        <v>669</v>
      </c>
      <c r="C114" s="378">
        <v>3.78</v>
      </c>
      <c r="D114" s="377">
        <v>0.5</v>
      </c>
      <c r="E114" s="379">
        <f t="shared" si="5"/>
        <v>1.89</v>
      </c>
    </row>
    <row r="115" spans="1:5" ht="12.75">
      <c r="A115" s="266"/>
      <c r="B115" s="377" t="s">
        <v>670</v>
      </c>
      <c r="C115" s="378">
        <v>3.78</v>
      </c>
      <c r="D115" s="377">
        <v>0.5</v>
      </c>
      <c r="E115" s="379">
        <f t="shared" si="5"/>
        <v>1.89</v>
      </c>
    </row>
    <row r="116" spans="1:5" ht="12.75">
      <c r="A116" s="266"/>
      <c r="B116" s="380" t="s">
        <v>673</v>
      </c>
      <c r="C116" s="381">
        <v>602.54</v>
      </c>
      <c r="D116" s="380">
        <v>0.5</v>
      </c>
      <c r="E116" s="380">
        <f t="shared" si="5"/>
        <v>301.27</v>
      </c>
    </row>
    <row r="117" spans="1:5" ht="12.75">
      <c r="A117" s="266"/>
      <c r="B117" s="380" t="s">
        <v>674</v>
      </c>
      <c r="C117" s="381">
        <v>34.2</v>
      </c>
      <c r="D117" s="380">
        <v>0.5</v>
      </c>
      <c r="E117" s="380">
        <f t="shared" si="5"/>
        <v>17.1</v>
      </c>
    </row>
    <row r="118" spans="1:5" ht="12.75">
      <c r="A118" s="266"/>
      <c r="B118" s="261" t="s">
        <v>11</v>
      </c>
      <c r="C118" s="366">
        <f>SUM(C110:C117)</f>
        <v>713.77</v>
      </c>
      <c r="D118" s="367"/>
      <c r="E118" s="367">
        <f>SUM(E108:E117)</f>
        <v>393.185</v>
      </c>
    </row>
    <row r="119" spans="1:5" ht="12.75">
      <c r="A119" s="235"/>
      <c r="B119" s="235"/>
      <c r="C119" s="235"/>
      <c r="D119" s="235"/>
      <c r="E119" s="235"/>
    </row>
    <row r="121" ht="12.75">
      <c r="E121" s="374"/>
    </row>
    <row r="122" ht="12.75">
      <c r="E122" s="374"/>
    </row>
  </sheetData>
  <sheetProtection selectLockedCells="1" selectUnlockedCells="1"/>
  <mergeCells count="5">
    <mergeCell ref="A31:B31"/>
    <mergeCell ref="A39:B39"/>
    <mergeCell ref="A49:B49"/>
    <mergeCell ref="A66:B66"/>
    <mergeCell ref="A1:E1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91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B16">
      <selection activeCell="D3" sqref="D3"/>
    </sheetView>
  </sheetViews>
  <sheetFormatPr defaultColWidth="11.421875" defaultRowHeight="12.75"/>
  <cols>
    <col min="1" max="1" width="26.00390625" style="7" customWidth="1"/>
    <col min="2" max="2" width="18.7109375" style="7" customWidth="1"/>
    <col min="3" max="3" width="14.7109375" style="7" customWidth="1"/>
    <col min="4" max="4" width="13.140625" style="7" customWidth="1"/>
    <col min="5" max="6" width="12.7109375" style="7" customWidth="1"/>
    <col min="7" max="7" width="10.8515625" style="7" customWidth="1"/>
    <col min="8" max="8" width="13.421875" style="8" customWidth="1"/>
    <col min="9" max="9" width="3.8515625" style="7" customWidth="1"/>
    <col min="10" max="10" width="11.8515625" style="7" customWidth="1"/>
    <col min="11" max="11" width="2.8515625" style="7" customWidth="1"/>
    <col min="12" max="12" width="6.421875" style="7" customWidth="1"/>
    <col min="13" max="13" width="2.28125" style="7" customWidth="1"/>
    <col min="14" max="14" width="11.00390625" style="7" customWidth="1"/>
    <col min="15" max="15" width="9.8515625" style="7" customWidth="1"/>
    <col min="16" max="16" width="9.421875" style="7" customWidth="1"/>
  </cols>
  <sheetData>
    <row r="1" spans="1:16" ht="81" customHeight="1">
      <c r="A1" s="9" t="s">
        <v>29</v>
      </c>
      <c r="B1" s="370" t="s">
        <v>30</v>
      </c>
      <c r="C1" s="371" t="s">
        <v>31</v>
      </c>
      <c r="D1" s="371" t="s">
        <v>564</v>
      </c>
      <c r="E1" s="371" t="s">
        <v>32</v>
      </c>
      <c r="F1" s="371" t="s">
        <v>33</v>
      </c>
      <c r="G1" s="371" t="s">
        <v>34</v>
      </c>
      <c r="H1" s="371" t="s">
        <v>35</v>
      </c>
      <c r="I1" s="483" t="s">
        <v>36</v>
      </c>
      <c r="J1" s="483"/>
      <c r="K1" s="483"/>
      <c r="L1" s="483"/>
      <c r="M1" s="483"/>
      <c r="N1" s="483"/>
      <c r="O1" s="483"/>
      <c r="P1" s="483"/>
    </row>
    <row r="2" spans="1:16" ht="51">
      <c r="A2" s="484" t="s">
        <v>37</v>
      </c>
      <c r="B2" s="11" t="s">
        <v>38</v>
      </c>
      <c r="C2" s="12">
        <v>1200</v>
      </c>
      <c r="D2" s="13">
        <v>0</v>
      </c>
      <c r="E2" s="11">
        <f aca="true" t="shared" si="0" ref="E2:E14">D2/C2</f>
        <v>0</v>
      </c>
      <c r="F2" s="14">
        <f aca="true" t="shared" si="1" ref="F2:F19">TRUNC(E2,0)</f>
        <v>0</v>
      </c>
      <c r="G2" s="11">
        <f aca="true" t="shared" si="2" ref="G2:G19">E2-F2</f>
        <v>0</v>
      </c>
      <c r="H2" s="9">
        <f aca="true" t="shared" si="3" ref="H2:H19">G2*$C$23*60</f>
        <v>0</v>
      </c>
      <c r="I2" s="15">
        <f aca="true" t="shared" si="4" ref="I2:I19">F2</f>
        <v>0</v>
      </c>
      <c r="J2" s="10" t="s">
        <v>39</v>
      </c>
      <c r="K2" s="15">
        <f aca="true" t="shared" si="5" ref="K2:K19">$C$23</f>
        <v>8</v>
      </c>
      <c r="L2" s="10" t="s">
        <v>40</v>
      </c>
      <c r="M2" s="15">
        <v>1</v>
      </c>
      <c r="N2" s="10" t="s">
        <v>41</v>
      </c>
      <c r="O2" s="15">
        <f aca="true" t="shared" si="6" ref="O2:O19">H2</f>
        <v>0</v>
      </c>
      <c r="P2" s="10" t="s">
        <v>42</v>
      </c>
    </row>
    <row r="3" spans="1:16" ht="51">
      <c r="A3" s="484"/>
      <c r="B3" s="11" t="s">
        <v>43</v>
      </c>
      <c r="C3" s="12">
        <v>1200</v>
      </c>
      <c r="D3" s="13">
        <f>'Áreas Totais'!B4</f>
        <v>1303.95</v>
      </c>
      <c r="E3" s="16">
        <f t="shared" si="0"/>
        <v>1.086625</v>
      </c>
      <c r="F3" s="14">
        <f t="shared" si="1"/>
        <v>1</v>
      </c>
      <c r="G3" s="16">
        <f t="shared" si="2"/>
        <v>0.08662499999999995</v>
      </c>
      <c r="H3" s="17">
        <f t="shared" si="3"/>
        <v>41.57999999999998</v>
      </c>
      <c r="I3" s="15">
        <f t="shared" si="4"/>
        <v>1</v>
      </c>
      <c r="J3" s="10" t="s">
        <v>39</v>
      </c>
      <c r="K3" s="15">
        <f t="shared" si="5"/>
        <v>8</v>
      </c>
      <c r="L3" s="10" t="s">
        <v>40</v>
      </c>
      <c r="M3" s="15">
        <v>1</v>
      </c>
      <c r="N3" s="10" t="s">
        <v>41</v>
      </c>
      <c r="O3" s="18">
        <f t="shared" si="6"/>
        <v>41.57999999999998</v>
      </c>
      <c r="P3" s="10" t="s">
        <v>42</v>
      </c>
    </row>
    <row r="4" spans="1:16" ht="51">
      <c r="A4" s="484"/>
      <c r="B4" s="11" t="s">
        <v>44</v>
      </c>
      <c r="C4" s="12">
        <v>450</v>
      </c>
      <c r="D4" s="13">
        <f>'Áreas Totais'!B6</f>
        <v>402.94999999999993</v>
      </c>
      <c r="E4" s="16">
        <f t="shared" si="0"/>
        <v>0.8954444444444443</v>
      </c>
      <c r="F4" s="14">
        <f t="shared" si="1"/>
        <v>0</v>
      </c>
      <c r="G4" s="16">
        <f t="shared" si="2"/>
        <v>0.8954444444444443</v>
      </c>
      <c r="H4" s="17">
        <f t="shared" si="3"/>
        <v>429.8133333333333</v>
      </c>
      <c r="I4" s="15">
        <f t="shared" si="4"/>
        <v>0</v>
      </c>
      <c r="J4" s="10" t="s">
        <v>39</v>
      </c>
      <c r="K4" s="15">
        <f t="shared" si="5"/>
        <v>8</v>
      </c>
      <c r="L4" s="10" t="s">
        <v>40</v>
      </c>
      <c r="M4" s="15">
        <v>1</v>
      </c>
      <c r="N4" s="10" t="s">
        <v>41</v>
      </c>
      <c r="O4" s="18">
        <f t="shared" si="6"/>
        <v>429.8133333333333</v>
      </c>
      <c r="P4" s="10" t="s">
        <v>42</v>
      </c>
    </row>
    <row r="5" spans="1:16" ht="51">
      <c r="A5" s="484"/>
      <c r="B5" s="11" t="s">
        <v>45</v>
      </c>
      <c r="C5" s="12">
        <v>2500</v>
      </c>
      <c r="D5" s="13">
        <f>'Áreas Totais'!B5</f>
        <v>13.146</v>
      </c>
      <c r="E5" s="16">
        <f t="shared" si="0"/>
        <v>0.005258400000000001</v>
      </c>
      <c r="F5" s="14">
        <f t="shared" si="1"/>
        <v>0</v>
      </c>
      <c r="G5" s="16">
        <f t="shared" si="2"/>
        <v>0.005258400000000001</v>
      </c>
      <c r="H5" s="17">
        <f t="shared" si="3"/>
        <v>2.5240320000000005</v>
      </c>
      <c r="I5" s="15">
        <f t="shared" si="4"/>
        <v>0</v>
      </c>
      <c r="J5" s="10" t="s">
        <v>39</v>
      </c>
      <c r="K5" s="15">
        <f t="shared" si="5"/>
        <v>8</v>
      </c>
      <c r="L5" s="10" t="s">
        <v>40</v>
      </c>
      <c r="M5" s="15">
        <v>1</v>
      </c>
      <c r="N5" s="10" t="s">
        <v>41</v>
      </c>
      <c r="O5" s="18">
        <f t="shared" si="6"/>
        <v>2.5240320000000005</v>
      </c>
      <c r="P5" s="10" t="s">
        <v>42</v>
      </c>
    </row>
    <row r="6" spans="1:16" ht="51">
      <c r="A6" s="484"/>
      <c r="B6" s="11" t="s">
        <v>46</v>
      </c>
      <c r="C6" s="12">
        <v>1800</v>
      </c>
      <c r="D6" s="13">
        <v>0</v>
      </c>
      <c r="E6" s="11">
        <f t="shared" si="0"/>
        <v>0</v>
      </c>
      <c r="F6" s="14">
        <f t="shared" si="1"/>
        <v>0</v>
      </c>
      <c r="G6" s="16">
        <f t="shared" si="2"/>
        <v>0</v>
      </c>
      <c r="H6" s="17">
        <f t="shared" si="3"/>
        <v>0</v>
      </c>
      <c r="I6" s="15">
        <f t="shared" si="4"/>
        <v>0</v>
      </c>
      <c r="J6" s="10" t="s">
        <v>39</v>
      </c>
      <c r="K6" s="15">
        <f t="shared" si="5"/>
        <v>8</v>
      </c>
      <c r="L6" s="10" t="s">
        <v>40</v>
      </c>
      <c r="M6" s="15">
        <v>1</v>
      </c>
      <c r="N6" s="10" t="s">
        <v>41</v>
      </c>
      <c r="O6" s="18">
        <f t="shared" si="6"/>
        <v>0</v>
      </c>
      <c r="P6" s="10" t="s">
        <v>42</v>
      </c>
    </row>
    <row r="7" spans="1:16" ht="51">
      <c r="A7" s="484"/>
      <c r="B7" s="19" t="s">
        <v>47</v>
      </c>
      <c r="C7" s="12">
        <v>1500</v>
      </c>
      <c r="D7" s="13">
        <f>'Áreas Totais'!B8</f>
        <v>696.6899999999998</v>
      </c>
      <c r="E7" s="16">
        <f t="shared" si="0"/>
        <v>0.4644599999999999</v>
      </c>
      <c r="F7" s="14">
        <f t="shared" si="1"/>
        <v>0</v>
      </c>
      <c r="G7" s="16">
        <f t="shared" si="2"/>
        <v>0.4644599999999999</v>
      </c>
      <c r="H7" s="17">
        <f t="shared" si="3"/>
        <v>222.94079999999994</v>
      </c>
      <c r="I7" s="15">
        <f t="shared" si="4"/>
        <v>0</v>
      </c>
      <c r="J7" s="10" t="s">
        <v>39</v>
      </c>
      <c r="K7" s="15">
        <f t="shared" si="5"/>
        <v>8</v>
      </c>
      <c r="L7" s="10" t="s">
        <v>40</v>
      </c>
      <c r="M7" s="15">
        <v>1</v>
      </c>
      <c r="N7" s="10" t="s">
        <v>41</v>
      </c>
      <c r="O7" s="18">
        <f t="shared" si="6"/>
        <v>222.94079999999994</v>
      </c>
      <c r="P7" s="10" t="s">
        <v>42</v>
      </c>
    </row>
    <row r="8" spans="1:16" ht="51">
      <c r="A8" s="484"/>
      <c r="B8" s="20" t="s">
        <v>48</v>
      </c>
      <c r="C8" s="12">
        <v>300</v>
      </c>
      <c r="D8" s="13">
        <f>'Áreas Totais'!B7</f>
        <v>161.08000000000004</v>
      </c>
      <c r="E8" s="16">
        <f t="shared" si="0"/>
        <v>0.5369333333333335</v>
      </c>
      <c r="F8" s="14">
        <f t="shared" si="1"/>
        <v>0</v>
      </c>
      <c r="G8" s="16">
        <f t="shared" si="2"/>
        <v>0.5369333333333335</v>
      </c>
      <c r="H8" s="17">
        <f t="shared" si="3"/>
        <v>257.72800000000007</v>
      </c>
      <c r="I8" s="15">
        <f t="shared" si="4"/>
        <v>0</v>
      </c>
      <c r="J8" s="10" t="s">
        <v>39</v>
      </c>
      <c r="K8" s="15">
        <f t="shared" si="5"/>
        <v>8</v>
      </c>
      <c r="L8" s="10" t="s">
        <v>40</v>
      </c>
      <c r="M8" s="15">
        <v>1</v>
      </c>
      <c r="N8" s="10" t="s">
        <v>41</v>
      </c>
      <c r="O8" s="18">
        <f t="shared" si="6"/>
        <v>257.72800000000007</v>
      </c>
      <c r="P8" s="10" t="s">
        <v>42</v>
      </c>
    </row>
    <row r="9" spans="1:16" ht="51">
      <c r="A9" s="484" t="s">
        <v>49</v>
      </c>
      <c r="B9" s="19" t="s">
        <v>50</v>
      </c>
      <c r="C9" s="21">
        <v>2700</v>
      </c>
      <c r="D9" s="13">
        <f>'Áreas Totais'!B9</f>
        <v>188.1</v>
      </c>
      <c r="E9" s="16">
        <f t="shared" si="0"/>
        <v>0.06966666666666667</v>
      </c>
      <c r="F9" s="14">
        <f t="shared" si="1"/>
        <v>0</v>
      </c>
      <c r="G9" s="16">
        <f t="shared" si="2"/>
        <v>0.06966666666666667</v>
      </c>
      <c r="H9" s="17">
        <f t="shared" si="3"/>
        <v>33.44</v>
      </c>
      <c r="I9" s="15">
        <f t="shared" si="4"/>
        <v>0</v>
      </c>
      <c r="J9" s="10" t="s">
        <v>39</v>
      </c>
      <c r="K9" s="15">
        <f t="shared" si="5"/>
        <v>8</v>
      </c>
      <c r="L9" s="10" t="s">
        <v>40</v>
      </c>
      <c r="M9" s="15">
        <v>1</v>
      </c>
      <c r="N9" s="10" t="s">
        <v>41</v>
      </c>
      <c r="O9" s="18">
        <f t="shared" si="6"/>
        <v>33.44</v>
      </c>
      <c r="P9" s="10" t="s">
        <v>42</v>
      </c>
    </row>
    <row r="10" spans="1:16" ht="51">
      <c r="A10" s="484"/>
      <c r="B10" s="19" t="s">
        <v>51</v>
      </c>
      <c r="C10" s="21">
        <v>9000</v>
      </c>
      <c r="D10" s="13">
        <v>0</v>
      </c>
      <c r="E10" s="11">
        <f t="shared" si="0"/>
        <v>0</v>
      </c>
      <c r="F10" s="14">
        <f t="shared" si="1"/>
        <v>0</v>
      </c>
      <c r="G10" s="11">
        <f t="shared" si="2"/>
        <v>0</v>
      </c>
      <c r="H10" s="9">
        <f t="shared" si="3"/>
        <v>0</v>
      </c>
      <c r="I10" s="15">
        <f t="shared" si="4"/>
        <v>0</v>
      </c>
      <c r="J10" s="10" t="s">
        <v>39</v>
      </c>
      <c r="K10" s="15">
        <f t="shared" si="5"/>
        <v>8</v>
      </c>
      <c r="L10" s="10" t="s">
        <v>40</v>
      </c>
      <c r="M10" s="15">
        <v>1</v>
      </c>
      <c r="N10" s="10" t="s">
        <v>41</v>
      </c>
      <c r="O10" s="18">
        <f t="shared" si="6"/>
        <v>0</v>
      </c>
      <c r="P10" s="10" t="s">
        <v>42</v>
      </c>
    </row>
    <row r="11" spans="1:16" ht="51">
      <c r="A11" s="484"/>
      <c r="B11" s="19" t="s">
        <v>52</v>
      </c>
      <c r="C11" s="21">
        <v>2700</v>
      </c>
      <c r="D11" s="13">
        <v>0</v>
      </c>
      <c r="E11" s="11">
        <f t="shared" si="0"/>
        <v>0</v>
      </c>
      <c r="F11" s="14">
        <f t="shared" si="1"/>
        <v>0</v>
      </c>
      <c r="G11" s="11">
        <f t="shared" si="2"/>
        <v>0</v>
      </c>
      <c r="H11" s="9">
        <f t="shared" si="3"/>
        <v>0</v>
      </c>
      <c r="I11" s="15">
        <f t="shared" si="4"/>
        <v>0</v>
      </c>
      <c r="J11" s="10" t="s">
        <v>39</v>
      </c>
      <c r="K11" s="15">
        <f t="shared" si="5"/>
        <v>8</v>
      </c>
      <c r="L11" s="10" t="s">
        <v>40</v>
      </c>
      <c r="M11" s="15">
        <v>1</v>
      </c>
      <c r="N11" s="10" t="s">
        <v>41</v>
      </c>
      <c r="O11" s="18">
        <f t="shared" si="6"/>
        <v>0</v>
      </c>
      <c r="P11" s="10" t="s">
        <v>42</v>
      </c>
    </row>
    <row r="12" spans="1:16" ht="51">
      <c r="A12" s="484"/>
      <c r="B12" s="19" t="s">
        <v>53</v>
      </c>
      <c r="C12" s="21">
        <v>2700</v>
      </c>
      <c r="D12" s="13">
        <f>'Áreas Totais'!B11</f>
        <v>0</v>
      </c>
      <c r="E12" s="16">
        <f t="shared" si="0"/>
        <v>0</v>
      </c>
      <c r="F12" s="14">
        <f t="shared" si="1"/>
        <v>0</v>
      </c>
      <c r="G12" s="11">
        <f t="shared" si="2"/>
        <v>0</v>
      </c>
      <c r="H12" s="17">
        <f t="shared" si="3"/>
        <v>0</v>
      </c>
      <c r="I12" s="15">
        <f t="shared" si="4"/>
        <v>0</v>
      </c>
      <c r="J12" s="10" t="s">
        <v>39</v>
      </c>
      <c r="K12" s="15">
        <f t="shared" si="5"/>
        <v>8</v>
      </c>
      <c r="L12" s="10" t="s">
        <v>40</v>
      </c>
      <c r="M12" s="15">
        <v>1</v>
      </c>
      <c r="N12" s="10" t="s">
        <v>41</v>
      </c>
      <c r="O12" s="18">
        <f t="shared" si="6"/>
        <v>0</v>
      </c>
      <c r="P12" s="10" t="s">
        <v>42</v>
      </c>
    </row>
    <row r="13" spans="1:16" ht="51">
      <c r="A13" s="484"/>
      <c r="B13" s="19" t="s">
        <v>54</v>
      </c>
      <c r="C13" s="21">
        <v>2700</v>
      </c>
      <c r="D13" s="13">
        <v>0</v>
      </c>
      <c r="E13" s="11">
        <f t="shared" si="0"/>
        <v>0</v>
      </c>
      <c r="F13" s="14">
        <f t="shared" si="1"/>
        <v>0</v>
      </c>
      <c r="G13" s="11">
        <f t="shared" si="2"/>
        <v>0</v>
      </c>
      <c r="H13" s="9">
        <f t="shared" si="3"/>
        <v>0</v>
      </c>
      <c r="I13" s="15">
        <f t="shared" si="4"/>
        <v>0</v>
      </c>
      <c r="J13" s="10" t="s">
        <v>39</v>
      </c>
      <c r="K13" s="15">
        <f t="shared" si="5"/>
        <v>8</v>
      </c>
      <c r="L13" s="10" t="s">
        <v>40</v>
      </c>
      <c r="M13" s="15">
        <v>1</v>
      </c>
      <c r="N13" s="10" t="s">
        <v>41</v>
      </c>
      <c r="O13" s="18">
        <f t="shared" si="6"/>
        <v>0</v>
      </c>
      <c r="P13" s="10" t="s">
        <v>42</v>
      </c>
    </row>
    <row r="14" spans="1:16" ht="51">
      <c r="A14" s="484"/>
      <c r="B14" s="19" t="s">
        <v>55</v>
      </c>
      <c r="C14" s="21">
        <v>100000</v>
      </c>
      <c r="D14" s="13">
        <f>'Áreas Totais'!B10</f>
        <v>37.646</v>
      </c>
      <c r="E14" s="16">
        <f t="shared" si="0"/>
        <v>0.00037646</v>
      </c>
      <c r="F14" s="14">
        <f t="shared" si="1"/>
        <v>0</v>
      </c>
      <c r="G14" s="11">
        <f t="shared" si="2"/>
        <v>0.00037646</v>
      </c>
      <c r="H14" s="9">
        <f t="shared" si="3"/>
        <v>0.1807008</v>
      </c>
      <c r="I14" s="15">
        <f t="shared" si="4"/>
        <v>0</v>
      </c>
      <c r="J14" s="10" t="s">
        <v>39</v>
      </c>
      <c r="K14" s="15">
        <f t="shared" si="5"/>
        <v>8</v>
      </c>
      <c r="L14" s="10" t="s">
        <v>40</v>
      </c>
      <c r="M14" s="15">
        <v>1</v>
      </c>
      <c r="N14" s="10" t="s">
        <v>41</v>
      </c>
      <c r="O14" s="18">
        <f t="shared" si="6"/>
        <v>0.1807008</v>
      </c>
      <c r="P14" s="10" t="s">
        <v>42</v>
      </c>
    </row>
    <row r="15" spans="1:16" ht="36" customHeight="1">
      <c r="A15" s="485" t="s">
        <v>56</v>
      </c>
      <c r="B15" s="19" t="s">
        <v>57</v>
      </c>
      <c r="C15" s="21">
        <v>160</v>
      </c>
      <c r="D15" s="13">
        <v>0</v>
      </c>
      <c r="E15" s="11">
        <f>(D15/C15)*(16/188.76)</f>
        <v>0</v>
      </c>
      <c r="F15" s="14">
        <f t="shared" si="1"/>
        <v>0</v>
      </c>
      <c r="G15" s="11">
        <f t="shared" si="2"/>
        <v>0</v>
      </c>
      <c r="H15" s="9">
        <f t="shared" si="3"/>
        <v>0</v>
      </c>
      <c r="I15" s="15">
        <f t="shared" si="4"/>
        <v>0</v>
      </c>
      <c r="J15" s="10" t="s">
        <v>39</v>
      </c>
      <c r="K15" s="15">
        <f t="shared" si="5"/>
        <v>8</v>
      </c>
      <c r="L15" s="10" t="s">
        <v>40</v>
      </c>
      <c r="M15" s="15">
        <v>1</v>
      </c>
      <c r="N15" s="10" t="s">
        <v>41</v>
      </c>
      <c r="O15" s="18">
        <f t="shared" si="6"/>
        <v>0</v>
      </c>
      <c r="P15" s="10" t="s">
        <v>42</v>
      </c>
    </row>
    <row r="16" spans="1:16" ht="51">
      <c r="A16" s="485"/>
      <c r="B16" s="19" t="s">
        <v>58</v>
      </c>
      <c r="C16" s="21">
        <v>380</v>
      </c>
      <c r="D16" s="13">
        <f>'Áreas Totais'!B12</f>
        <v>393.185</v>
      </c>
      <c r="E16" s="16">
        <f>(D16/C16)*(16/188.76)</f>
        <v>0.08770479918805278</v>
      </c>
      <c r="F16" s="14">
        <f t="shared" si="1"/>
        <v>0</v>
      </c>
      <c r="G16" s="16">
        <f t="shared" si="2"/>
        <v>0.08770479918805278</v>
      </c>
      <c r="H16" s="17">
        <f t="shared" si="3"/>
        <v>42.09830361026533</v>
      </c>
      <c r="I16" s="15">
        <f t="shared" si="4"/>
        <v>0</v>
      </c>
      <c r="J16" s="10" t="s">
        <v>39</v>
      </c>
      <c r="K16" s="15">
        <f t="shared" si="5"/>
        <v>8</v>
      </c>
      <c r="L16" s="10" t="s">
        <v>40</v>
      </c>
      <c r="M16" s="15">
        <v>1</v>
      </c>
      <c r="N16" s="10" t="s">
        <v>41</v>
      </c>
      <c r="O16" s="18">
        <f t="shared" si="6"/>
        <v>42.09830361026533</v>
      </c>
      <c r="P16" s="10" t="s">
        <v>42</v>
      </c>
    </row>
    <row r="17" spans="1:16" ht="51">
      <c r="A17" s="485"/>
      <c r="B17" s="19" t="s">
        <v>59</v>
      </c>
      <c r="C17" s="21">
        <v>380</v>
      </c>
      <c r="D17" s="13">
        <f>'Áreas Totais'!B13</f>
        <v>393.185</v>
      </c>
      <c r="E17" s="16">
        <f>(D17/C17)*(16/188.76)</f>
        <v>0.08770479918805278</v>
      </c>
      <c r="F17" s="14">
        <f t="shared" si="1"/>
        <v>0</v>
      </c>
      <c r="G17" s="16">
        <f t="shared" si="2"/>
        <v>0.08770479918805278</v>
      </c>
      <c r="H17" s="17">
        <f t="shared" si="3"/>
        <v>42.09830361026533</v>
      </c>
      <c r="I17" s="15">
        <f t="shared" si="4"/>
        <v>0</v>
      </c>
      <c r="J17" s="10" t="s">
        <v>39</v>
      </c>
      <c r="K17" s="15">
        <f t="shared" si="5"/>
        <v>8</v>
      </c>
      <c r="L17" s="10" t="s">
        <v>40</v>
      </c>
      <c r="M17" s="15">
        <v>1</v>
      </c>
      <c r="N17" s="10" t="s">
        <v>41</v>
      </c>
      <c r="O17" s="18">
        <f t="shared" si="6"/>
        <v>42.09830361026533</v>
      </c>
      <c r="P17" s="10" t="s">
        <v>42</v>
      </c>
    </row>
    <row r="18" spans="1:16" ht="51">
      <c r="A18" s="19" t="s">
        <v>60</v>
      </c>
      <c r="B18" s="19" t="s">
        <v>61</v>
      </c>
      <c r="C18" s="11">
        <v>160</v>
      </c>
      <c r="D18" s="13">
        <v>0</v>
      </c>
      <c r="E18" s="11">
        <f>(D18/C18)*(8/1132.6)</f>
        <v>0</v>
      </c>
      <c r="F18" s="14">
        <f t="shared" si="1"/>
        <v>0</v>
      </c>
      <c r="G18" s="11">
        <f t="shared" si="2"/>
        <v>0</v>
      </c>
      <c r="H18" s="9">
        <f t="shared" si="3"/>
        <v>0</v>
      </c>
      <c r="I18" s="15">
        <f t="shared" si="4"/>
        <v>0</v>
      </c>
      <c r="J18" s="10" t="s">
        <v>39</v>
      </c>
      <c r="K18" s="15">
        <f t="shared" si="5"/>
        <v>8</v>
      </c>
      <c r="L18" s="10" t="s">
        <v>40</v>
      </c>
      <c r="M18" s="15">
        <v>1</v>
      </c>
      <c r="N18" s="10" t="s">
        <v>41</v>
      </c>
      <c r="O18" s="18">
        <f t="shared" si="6"/>
        <v>0</v>
      </c>
      <c r="P18" s="10" t="s">
        <v>42</v>
      </c>
    </row>
    <row r="19" spans="1:16" ht="51">
      <c r="A19" s="19" t="s">
        <v>62</v>
      </c>
      <c r="B19" s="19" t="s">
        <v>63</v>
      </c>
      <c r="C19" s="19">
        <v>450</v>
      </c>
      <c r="D19" s="13">
        <v>0</v>
      </c>
      <c r="E19" s="11">
        <f>0</f>
        <v>0</v>
      </c>
      <c r="F19" s="14">
        <f t="shared" si="1"/>
        <v>0</v>
      </c>
      <c r="G19" s="11">
        <f t="shared" si="2"/>
        <v>0</v>
      </c>
      <c r="H19" s="9">
        <f t="shared" si="3"/>
        <v>0</v>
      </c>
      <c r="I19" s="15">
        <f t="shared" si="4"/>
        <v>0</v>
      </c>
      <c r="J19" s="10" t="s">
        <v>39</v>
      </c>
      <c r="K19" s="15">
        <f t="shared" si="5"/>
        <v>8</v>
      </c>
      <c r="L19" s="10" t="s">
        <v>40</v>
      </c>
      <c r="M19" s="15">
        <v>1</v>
      </c>
      <c r="N19" s="10" t="s">
        <v>41</v>
      </c>
      <c r="O19" s="15">
        <f t="shared" si="6"/>
        <v>0</v>
      </c>
      <c r="P19" s="10" t="s">
        <v>42</v>
      </c>
    </row>
    <row r="20" spans="1:16" ht="15.75">
      <c r="A20" s="22"/>
      <c r="B20" s="22"/>
      <c r="C20" s="23"/>
      <c r="D20" s="24">
        <f>SUM(D2:D19)</f>
        <v>3589.932</v>
      </c>
      <c r="E20" s="25"/>
      <c r="F20" s="14"/>
      <c r="G20" s="26"/>
      <c r="H20" s="25"/>
      <c r="I20" s="27"/>
      <c r="J20" s="23"/>
      <c r="K20" s="27"/>
      <c r="L20" s="23"/>
      <c r="M20" s="27"/>
      <c r="N20" s="23"/>
      <c r="O20" s="27"/>
      <c r="P20" s="23"/>
    </row>
    <row r="21" spans="1:16" ht="36" customHeight="1">
      <c r="A21" s="486" t="s">
        <v>64</v>
      </c>
      <c r="B21" s="486"/>
      <c r="C21" s="486"/>
      <c r="D21" s="486"/>
      <c r="E21" s="16">
        <f>SUM(E2:E19)</f>
        <v>3.234173902820549</v>
      </c>
      <c r="F21" s="1">
        <f>TRUNC(E21,0)</f>
        <v>3</v>
      </c>
      <c r="G21" s="16">
        <f>E21-F21</f>
        <v>0.23417390282054917</v>
      </c>
      <c r="H21" s="17">
        <f>G21*$C$23*60</f>
        <v>112.4034733538636</v>
      </c>
      <c r="I21" s="28">
        <f>F21</f>
        <v>3</v>
      </c>
      <c r="J21" s="10" t="s">
        <v>39</v>
      </c>
      <c r="K21" s="15">
        <f>$C$23</f>
        <v>8</v>
      </c>
      <c r="L21" s="10" t="s">
        <v>40</v>
      </c>
      <c r="M21" s="28">
        <v>1</v>
      </c>
      <c r="N21" s="10" t="s">
        <v>41</v>
      </c>
      <c r="O21" s="28">
        <f>H21</f>
        <v>112.4034733538636</v>
      </c>
      <c r="P21" s="10" t="s">
        <v>42</v>
      </c>
    </row>
    <row r="22" spans="1:16" ht="15.75">
      <c r="A22" s="22"/>
      <c r="B22" s="22"/>
      <c r="C22" s="22"/>
      <c r="D22" s="29"/>
      <c r="E22" s="30"/>
      <c r="F22" s="31"/>
      <c r="G22" s="30"/>
      <c r="H22" s="32"/>
      <c r="I22" s="33"/>
      <c r="J22" s="23"/>
      <c r="K22" s="27"/>
      <c r="L22" s="23"/>
      <c r="M22" s="27"/>
      <c r="N22" s="23"/>
      <c r="O22" s="33"/>
      <c r="P22" s="23"/>
    </row>
    <row r="23" spans="1:8" ht="16.5" customHeight="1">
      <c r="A23" s="487" t="s">
        <v>65</v>
      </c>
      <c r="B23" s="487"/>
      <c r="C23" s="34">
        <v>8</v>
      </c>
      <c r="D23" s="34" t="s">
        <v>66</v>
      </c>
      <c r="E23" s="35" t="s">
        <v>67</v>
      </c>
      <c r="F23" s="35"/>
      <c r="G23" s="35"/>
      <c r="H23" s="34"/>
    </row>
    <row r="24" spans="1:16" ht="18.75" customHeight="1">
      <c r="A24" s="476" t="s">
        <v>68</v>
      </c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</row>
    <row r="25" spans="1:16" ht="15.75">
      <c r="A25" s="36" t="s">
        <v>69</v>
      </c>
      <c r="B25" s="35"/>
      <c r="C25" s="35"/>
      <c r="D25" s="35"/>
      <c r="E25" s="35"/>
      <c r="F25" s="35"/>
      <c r="G25" s="35"/>
      <c r="H25" s="34"/>
      <c r="I25" s="35"/>
      <c r="J25" s="35"/>
      <c r="K25" s="35"/>
      <c r="L25" s="35"/>
      <c r="M25" s="35"/>
      <c r="N25" s="35"/>
      <c r="O25" s="35"/>
      <c r="P25" s="35"/>
    </row>
    <row r="26" spans="1:16" ht="33.75" customHeight="1">
      <c r="A26" s="480" t="s">
        <v>70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</row>
    <row r="27" spans="1:16" ht="33.75" customHeight="1">
      <c r="A27" s="480" t="s">
        <v>71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</row>
    <row r="28" spans="1:16" ht="33.75" customHeight="1">
      <c r="A28" s="480" t="s">
        <v>72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</row>
    <row r="29" spans="1:16" ht="18">
      <c r="A29" s="37"/>
      <c r="B29" s="37"/>
      <c r="C29" s="37"/>
      <c r="D29" s="37"/>
      <c r="E29" s="37"/>
      <c r="F29" s="37"/>
      <c r="G29" s="37"/>
      <c r="H29" s="38"/>
      <c r="I29" s="37"/>
      <c r="J29" s="37"/>
      <c r="K29" s="37"/>
      <c r="L29" s="37"/>
      <c r="M29" s="37"/>
      <c r="N29" s="37"/>
      <c r="O29" s="37"/>
      <c r="P29" s="37"/>
    </row>
    <row r="30" spans="1:16" ht="18">
      <c r="A30" s="39" t="s">
        <v>73</v>
      </c>
      <c r="B30" s="37"/>
      <c r="C30" s="37"/>
      <c r="D30" s="37"/>
      <c r="E30" s="37"/>
      <c r="F30" s="37"/>
      <c r="G30" s="37"/>
      <c r="H30" s="38"/>
      <c r="I30" s="37"/>
      <c r="J30" s="37"/>
      <c r="K30" s="37"/>
      <c r="L30" s="37"/>
      <c r="M30" s="37"/>
      <c r="N30" s="37"/>
      <c r="O30" s="37"/>
      <c r="P30" s="37"/>
    </row>
    <row r="31" spans="1:16" ht="33.75" customHeight="1">
      <c r="A31" s="481" t="s">
        <v>74</v>
      </c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</row>
    <row r="32" spans="1:16" ht="18.75" customHeight="1">
      <c r="A32" s="482" t="s">
        <v>565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</row>
    <row r="33" spans="1:16" ht="18.75" customHeight="1">
      <c r="A33" s="477" t="s">
        <v>75</v>
      </c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</row>
    <row r="34" spans="1:16" ht="33.75" customHeight="1">
      <c r="A34" s="478" t="s">
        <v>76</v>
      </c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</row>
    <row r="35" spans="1:16" ht="18">
      <c r="A35" s="37"/>
      <c r="B35" s="37"/>
      <c r="C35" s="37"/>
      <c r="D35" s="37"/>
      <c r="E35" s="37"/>
      <c r="F35" s="37"/>
      <c r="G35" s="37"/>
      <c r="H35" s="38"/>
      <c r="I35" s="37"/>
      <c r="J35" s="37"/>
      <c r="K35" s="37"/>
      <c r="L35" s="37"/>
      <c r="M35" s="37"/>
      <c r="N35" s="37"/>
      <c r="O35" s="37"/>
      <c r="P35" s="37"/>
    </row>
    <row r="36" spans="1:16" ht="18">
      <c r="A36" s="37"/>
      <c r="B36" s="37"/>
      <c r="C36" s="37"/>
      <c r="D36" s="37"/>
      <c r="E36" s="37"/>
      <c r="F36" s="37"/>
      <c r="G36" s="37"/>
      <c r="H36" s="38"/>
      <c r="I36" s="37"/>
      <c r="J36" s="37"/>
      <c r="K36" s="37"/>
      <c r="L36" s="37"/>
      <c r="M36" s="37"/>
      <c r="N36" s="37"/>
      <c r="O36" s="37"/>
      <c r="P36" s="37"/>
    </row>
    <row r="37" spans="1:19" ht="18.75" customHeight="1">
      <c r="A37" s="479" t="s">
        <v>77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</row>
    <row r="38" spans="1:16" ht="18">
      <c r="A38" s="37"/>
      <c r="B38" s="37"/>
      <c r="C38" s="37"/>
      <c r="D38" s="37"/>
      <c r="E38" s="37"/>
      <c r="F38" s="37"/>
      <c r="G38" s="37"/>
      <c r="H38" s="38"/>
      <c r="I38" s="37"/>
      <c r="J38" s="37"/>
      <c r="K38" s="37"/>
      <c r="L38" s="37"/>
      <c r="M38" s="37"/>
      <c r="N38" s="37"/>
      <c r="O38" s="37"/>
      <c r="P38" s="37"/>
    </row>
    <row r="39" spans="1:19" ht="33.75" customHeight="1">
      <c r="A39" s="479" t="s">
        <v>78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</row>
    <row r="40" spans="1:16" ht="18">
      <c r="A40" s="37"/>
      <c r="B40" s="37"/>
      <c r="C40" s="37"/>
      <c r="D40" s="37"/>
      <c r="E40" s="37"/>
      <c r="F40" s="37"/>
      <c r="G40" s="37"/>
      <c r="H40" s="38"/>
      <c r="I40" s="37"/>
      <c r="J40" s="37"/>
      <c r="K40" s="37"/>
      <c r="L40" s="37"/>
      <c r="M40" s="37"/>
      <c r="N40" s="37"/>
      <c r="O40" s="37"/>
      <c r="P40" s="37"/>
    </row>
    <row r="41" spans="1:19" ht="18.75" customHeight="1">
      <c r="A41" s="479" t="s">
        <v>79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</row>
    <row r="42" spans="1:16" ht="18.75" customHeight="1">
      <c r="A42" s="479" t="s">
        <v>80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37"/>
    </row>
    <row r="43" spans="1:16" ht="33.75" customHeight="1">
      <c r="A43" s="476" t="s">
        <v>81</v>
      </c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37"/>
    </row>
  </sheetData>
  <sheetProtection selectLockedCells="1" selectUnlockedCells="1"/>
  <mergeCells count="19">
    <mergeCell ref="I1:P1"/>
    <mergeCell ref="A2:A8"/>
    <mergeCell ref="A9:A14"/>
    <mergeCell ref="A15:A17"/>
    <mergeCell ref="A21:D21"/>
    <mergeCell ref="A23:B23"/>
    <mergeCell ref="A24:P24"/>
    <mergeCell ref="A26:P26"/>
    <mergeCell ref="A27:P27"/>
    <mergeCell ref="A28:P28"/>
    <mergeCell ref="A31:P31"/>
    <mergeCell ref="A32:P32"/>
    <mergeCell ref="A43:O43"/>
    <mergeCell ref="A33:P33"/>
    <mergeCell ref="A34:P34"/>
    <mergeCell ref="A37:S37"/>
    <mergeCell ref="A39:S39"/>
    <mergeCell ref="A41:S41"/>
    <mergeCell ref="A42:O42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4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B16">
      <selection activeCell="D18" sqref="D18"/>
    </sheetView>
  </sheetViews>
  <sheetFormatPr defaultColWidth="9.140625" defaultRowHeight="12.75"/>
  <cols>
    <col min="1" max="1" width="26.140625" style="205" customWidth="1"/>
    <col min="2" max="2" width="20.00390625" style="205" customWidth="1"/>
    <col min="3" max="3" width="12.00390625" style="205" customWidth="1"/>
    <col min="4" max="4" width="12.28125" style="205" customWidth="1"/>
    <col min="5" max="5" width="12.8515625" style="274" customWidth="1"/>
    <col min="6" max="6" width="12.8515625" style="205" customWidth="1"/>
    <col min="7" max="7" width="11.00390625" style="274" customWidth="1"/>
    <col min="8" max="8" width="13.57421875" style="274" customWidth="1"/>
    <col min="9" max="9" width="4.00390625" style="205" customWidth="1"/>
    <col min="10" max="10" width="11.28125" style="205" customWidth="1"/>
    <col min="11" max="11" width="3.00390625" style="205" customWidth="1"/>
    <col min="12" max="12" width="6.57421875" style="205" customWidth="1"/>
    <col min="13" max="13" width="2.421875" style="205" customWidth="1"/>
    <col min="14" max="14" width="11.140625" style="205" customWidth="1"/>
    <col min="15" max="15" width="10.00390625" style="205" customWidth="1"/>
    <col min="16" max="16" width="9.57421875" style="205" customWidth="1"/>
    <col min="17" max="17" width="18.28125" style="205" customWidth="1"/>
    <col min="18" max="16384" width="9.140625" style="205" customWidth="1"/>
  </cols>
  <sheetData>
    <row r="1" spans="1:16" s="274" customFormat="1" ht="114.75" customHeight="1">
      <c r="A1" s="272" t="s">
        <v>29</v>
      </c>
      <c r="B1" s="272" t="s">
        <v>30</v>
      </c>
      <c r="C1" s="273" t="s">
        <v>552</v>
      </c>
      <c r="D1" s="273" t="s">
        <v>553</v>
      </c>
      <c r="E1" s="273" t="s">
        <v>554</v>
      </c>
      <c r="F1" s="273" t="s">
        <v>555</v>
      </c>
      <c r="G1" s="273" t="s">
        <v>34</v>
      </c>
      <c r="H1" s="273" t="s">
        <v>556</v>
      </c>
      <c r="I1" s="488" t="s">
        <v>557</v>
      </c>
      <c r="J1" s="488"/>
      <c r="K1" s="488"/>
      <c r="L1" s="488"/>
      <c r="M1" s="488"/>
      <c r="N1" s="488"/>
      <c r="O1" s="488"/>
      <c r="P1" s="488"/>
    </row>
    <row r="2" spans="1:18" ht="38.25">
      <c r="A2" s="489" t="s">
        <v>37</v>
      </c>
      <c r="B2" s="275" t="s">
        <v>38</v>
      </c>
      <c r="C2" s="276">
        <v>1000</v>
      </c>
      <c r="D2" s="277">
        <v>0</v>
      </c>
      <c r="E2" s="272">
        <f aca="true" t="shared" si="0" ref="E2:E14">D2/C2</f>
        <v>0</v>
      </c>
      <c r="F2" s="14">
        <f aca="true" t="shared" si="1" ref="F2:F19">TRUNC(E2,0)</f>
        <v>0</v>
      </c>
      <c r="G2" s="272">
        <f aca="true" t="shared" si="2" ref="G2:G19">E2-F2</f>
        <v>0</v>
      </c>
      <c r="H2" s="272">
        <f aca="true" t="shared" si="3" ref="H2:H19">G2*$C$23*60</f>
        <v>0</v>
      </c>
      <c r="I2" s="15">
        <f aca="true" t="shared" si="4" ref="I2:I19">F2</f>
        <v>0</v>
      </c>
      <c r="J2" s="273" t="s">
        <v>39</v>
      </c>
      <c r="K2" s="15">
        <f aca="true" t="shared" si="5" ref="K2:K19">$C$23</f>
        <v>8</v>
      </c>
      <c r="L2" s="273" t="s">
        <v>40</v>
      </c>
      <c r="M2" s="15">
        <v>1</v>
      </c>
      <c r="N2" s="273" t="s">
        <v>41</v>
      </c>
      <c r="O2" s="15">
        <f aca="true" t="shared" si="6" ref="O2:O19">H2</f>
        <v>0</v>
      </c>
      <c r="P2" s="273" t="s">
        <v>42</v>
      </c>
      <c r="Q2" s="278"/>
      <c r="R2" s="279"/>
    </row>
    <row r="3" spans="1:16" ht="38.25">
      <c r="A3" s="489"/>
      <c r="B3" s="275" t="s">
        <v>43</v>
      </c>
      <c r="C3" s="276">
        <v>1200</v>
      </c>
      <c r="D3" s="277">
        <f>'Áreas Totais'!D4</f>
        <v>1069.239</v>
      </c>
      <c r="E3" s="272">
        <f t="shared" si="0"/>
        <v>0.8910325</v>
      </c>
      <c r="F3" s="14">
        <f t="shared" si="1"/>
        <v>0</v>
      </c>
      <c r="G3" s="272">
        <f t="shared" si="2"/>
        <v>0.8910325</v>
      </c>
      <c r="H3" s="272">
        <f t="shared" si="3"/>
        <v>427.6956</v>
      </c>
      <c r="I3" s="15">
        <f t="shared" si="4"/>
        <v>0</v>
      </c>
      <c r="J3" s="273" t="s">
        <v>39</v>
      </c>
      <c r="K3" s="15">
        <f t="shared" si="5"/>
        <v>8</v>
      </c>
      <c r="L3" s="273" t="s">
        <v>40</v>
      </c>
      <c r="M3" s="15">
        <v>1</v>
      </c>
      <c r="N3" s="273" t="s">
        <v>41</v>
      </c>
      <c r="O3" s="15">
        <f t="shared" si="6"/>
        <v>427.6956</v>
      </c>
      <c r="P3" s="273" t="s">
        <v>42</v>
      </c>
    </row>
    <row r="4" spans="1:16" ht="38.25">
      <c r="A4" s="489"/>
      <c r="B4" s="275" t="s">
        <v>44</v>
      </c>
      <c r="C4" s="276">
        <v>450</v>
      </c>
      <c r="D4" s="277">
        <f>'Áreas Totais'!D6</f>
        <v>330.4189999999999</v>
      </c>
      <c r="E4" s="272">
        <f t="shared" si="0"/>
        <v>0.7342644444444443</v>
      </c>
      <c r="F4" s="14">
        <f t="shared" si="1"/>
        <v>0</v>
      </c>
      <c r="G4" s="272">
        <f t="shared" si="2"/>
        <v>0.7342644444444443</v>
      </c>
      <c r="H4" s="272">
        <f t="shared" si="3"/>
        <v>352.4469333333333</v>
      </c>
      <c r="I4" s="15">
        <f t="shared" si="4"/>
        <v>0</v>
      </c>
      <c r="J4" s="273" t="s">
        <v>39</v>
      </c>
      <c r="K4" s="15">
        <f t="shared" si="5"/>
        <v>8</v>
      </c>
      <c r="L4" s="273" t="s">
        <v>40</v>
      </c>
      <c r="M4" s="15">
        <v>1</v>
      </c>
      <c r="N4" s="273" t="s">
        <v>41</v>
      </c>
      <c r="O4" s="15">
        <f t="shared" si="6"/>
        <v>352.4469333333333</v>
      </c>
      <c r="P4" s="273" t="s">
        <v>42</v>
      </c>
    </row>
    <row r="5" spans="1:16" ht="38.25">
      <c r="A5" s="489"/>
      <c r="B5" s="280" t="s">
        <v>519</v>
      </c>
      <c r="C5" s="276">
        <v>2500</v>
      </c>
      <c r="D5" s="277">
        <f>'Áreas Totais'!D5</f>
        <v>10.779720000000001</v>
      </c>
      <c r="E5" s="272">
        <f t="shared" si="0"/>
        <v>0.004311888000000001</v>
      </c>
      <c r="F5" s="14">
        <f t="shared" si="1"/>
        <v>0</v>
      </c>
      <c r="G5" s="272">
        <f t="shared" si="2"/>
        <v>0.004311888000000001</v>
      </c>
      <c r="H5" s="272">
        <f t="shared" si="3"/>
        <v>2.0697062400000004</v>
      </c>
      <c r="I5" s="15">
        <f t="shared" si="4"/>
        <v>0</v>
      </c>
      <c r="J5" s="273" t="s">
        <v>39</v>
      </c>
      <c r="K5" s="15">
        <f t="shared" si="5"/>
        <v>8</v>
      </c>
      <c r="L5" s="273" t="s">
        <v>40</v>
      </c>
      <c r="M5" s="15">
        <v>1</v>
      </c>
      <c r="N5" s="273" t="s">
        <v>41</v>
      </c>
      <c r="O5" s="15">
        <f t="shared" si="6"/>
        <v>2.0697062400000004</v>
      </c>
      <c r="P5" s="273" t="s">
        <v>42</v>
      </c>
    </row>
    <row r="6" spans="1:16" ht="38.25">
      <c r="A6" s="489"/>
      <c r="B6" s="275" t="s">
        <v>46</v>
      </c>
      <c r="C6" s="276">
        <v>1800</v>
      </c>
      <c r="D6" s="277">
        <v>0</v>
      </c>
      <c r="E6" s="272">
        <f t="shared" si="0"/>
        <v>0</v>
      </c>
      <c r="F6" s="14">
        <f t="shared" si="1"/>
        <v>0</v>
      </c>
      <c r="G6" s="272">
        <f t="shared" si="2"/>
        <v>0</v>
      </c>
      <c r="H6" s="272">
        <f t="shared" si="3"/>
        <v>0</v>
      </c>
      <c r="I6" s="15">
        <f t="shared" si="4"/>
        <v>0</v>
      </c>
      <c r="J6" s="273" t="s">
        <v>39</v>
      </c>
      <c r="K6" s="15">
        <f t="shared" si="5"/>
        <v>8</v>
      </c>
      <c r="L6" s="273" t="s">
        <v>40</v>
      </c>
      <c r="M6" s="15">
        <v>1</v>
      </c>
      <c r="N6" s="273" t="s">
        <v>41</v>
      </c>
      <c r="O6" s="15">
        <f t="shared" si="6"/>
        <v>0</v>
      </c>
      <c r="P6" s="273" t="s">
        <v>42</v>
      </c>
    </row>
    <row r="7" spans="1:16" ht="38.25">
      <c r="A7" s="489"/>
      <c r="B7" s="280" t="s">
        <v>47</v>
      </c>
      <c r="C7" s="276">
        <v>1500</v>
      </c>
      <c r="D7" s="277">
        <f>'Áreas Totais'!D8</f>
        <v>571.2857999999999</v>
      </c>
      <c r="E7" s="272">
        <f t="shared" si="0"/>
        <v>0.3808571999999999</v>
      </c>
      <c r="F7" s="14">
        <f t="shared" si="1"/>
        <v>0</v>
      </c>
      <c r="G7" s="272">
        <f t="shared" si="2"/>
        <v>0.3808571999999999</v>
      </c>
      <c r="H7" s="272">
        <f t="shared" si="3"/>
        <v>182.81145599999996</v>
      </c>
      <c r="I7" s="15">
        <f t="shared" si="4"/>
        <v>0</v>
      </c>
      <c r="J7" s="273" t="s">
        <v>39</v>
      </c>
      <c r="K7" s="15">
        <f t="shared" si="5"/>
        <v>8</v>
      </c>
      <c r="L7" s="273" t="s">
        <v>40</v>
      </c>
      <c r="M7" s="15">
        <v>1</v>
      </c>
      <c r="N7" s="273" t="s">
        <v>41</v>
      </c>
      <c r="O7" s="15">
        <f t="shared" si="6"/>
        <v>182.81145599999996</v>
      </c>
      <c r="P7" s="273" t="s">
        <v>42</v>
      </c>
    </row>
    <row r="8" spans="1:16" ht="38.25">
      <c r="A8" s="489"/>
      <c r="B8" s="20" t="s">
        <v>48</v>
      </c>
      <c r="C8" s="276">
        <v>300</v>
      </c>
      <c r="D8" s="277">
        <v>0</v>
      </c>
      <c r="E8" s="272">
        <f t="shared" si="0"/>
        <v>0</v>
      </c>
      <c r="F8" s="14">
        <f t="shared" si="1"/>
        <v>0</v>
      </c>
      <c r="G8" s="272">
        <f t="shared" si="2"/>
        <v>0</v>
      </c>
      <c r="H8" s="272">
        <f t="shared" si="3"/>
        <v>0</v>
      </c>
      <c r="I8" s="15">
        <f t="shared" si="4"/>
        <v>0</v>
      </c>
      <c r="J8" s="273" t="s">
        <v>39</v>
      </c>
      <c r="K8" s="15">
        <f t="shared" si="5"/>
        <v>8</v>
      </c>
      <c r="L8" s="273" t="s">
        <v>40</v>
      </c>
      <c r="M8" s="15">
        <v>1</v>
      </c>
      <c r="N8" s="273" t="s">
        <v>41</v>
      </c>
      <c r="O8" s="15">
        <f t="shared" si="6"/>
        <v>0</v>
      </c>
      <c r="P8" s="273" t="s">
        <v>42</v>
      </c>
    </row>
    <row r="9" spans="1:16" ht="38.25">
      <c r="A9" s="489" t="s">
        <v>49</v>
      </c>
      <c r="B9" s="280" t="s">
        <v>50</v>
      </c>
      <c r="C9" s="276">
        <v>2700</v>
      </c>
      <c r="D9" s="277">
        <f>'Áreas Totais'!D9</f>
        <v>154.242</v>
      </c>
      <c r="E9" s="272">
        <f t="shared" si="0"/>
        <v>0.057126666666666666</v>
      </c>
      <c r="F9" s="14">
        <f t="shared" si="1"/>
        <v>0</v>
      </c>
      <c r="G9" s="272">
        <f t="shared" si="2"/>
        <v>0.057126666666666666</v>
      </c>
      <c r="H9" s="272">
        <f t="shared" si="3"/>
        <v>27.4208</v>
      </c>
      <c r="I9" s="15">
        <f t="shared" si="4"/>
        <v>0</v>
      </c>
      <c r="J9" s="273" t="s">
        <v>39</v>
      </c>
      <c r="K9" s="15">
        <f t="shared" si="5"/>
        <v>8</v>
      </c>
      <c r="L9" s="273" t="s">
        <v>40</v>
      </c>
      <c r="M9" s="15">
        <v>1</v>
      </c>
      <c r="N9" s="273" t="s">
        <v>41</v>
      </c>
      <c r="O9" s="15">
        <f t="shared" si="6"/>
        <v>27.4208</v>
      </c>
      <c r="P9" s="273" t="s">
        <v>42</v>
      </c>
    </row>
    <row r="10" spans="1:16" ht="38.25">
      <c r="A10" s="489"/>
      <c r="B10" s="280" t="s">
        <v>51</v>
      </c>
      <c r="C10" s="276">
        <v>9000</v>
      </c>
      <c r="D10" s="277">
        <v>0</v>
      </c>
      <c r="E10" s="272">
        <f t="shared" si="0"/>
        <v>0</v>
      </c>
      <c r="F10" s="14">
        <f t="shared" si="1"/>
        <v>0</v>
      </c>
      <c r="G10" s="272">
        <f t="shared" si="2"/>
        <v>0</v>
      </c>
      <c r="H10" s="272">
        <f t="shared" si="3"/>
        <v>0</v>
      </c>
      <c r="I10" s="15">
        <f t="shared" si="4"/>
        <v>0</v>
      </c>
      <c r="J10" s="273" t="s">
        <v>39</v>
      </c>
      <c r="K10" s="15">
        <f t="shared" si="5"/>
        <v>8</v>
      </c>
      <c r="L10" s="273" t="s">
        <v>40</v>
      </c>
      <c r="M10" s="15">
        <v>1</v>
      </c>
      <c r="N10" s="273" t="s">
        <v>41</v>
      </c>
      <c r="O10" s="15">
        <f t="shared" si="6"/>
        <v>0</v>
      </c>
      <c r="P10" s="273" t="s">
        <v>42</v>
      </c>
    </row>
    <row r="11" spans="1:16" ht="38.25">
      <c r="A11" s="489"/>
      <c r="B11" s="280" t="s">
        <v>52</v>
      </c>
      <c r="C11" s="276">
        <v>2700</v>
      </c>
      <c r="D11" s="277">
        <v>0</v>
      </c>
      <c r="E11" s="272">
        <f t="shared" si="0"/>
        <v>0</v>
      </c>
      <c r="F11" s="14">
        <f t="shared" si="1"/>
        <v>0</v>
      </c>
      <c r="G11" s="272">
        <f t="shared" si="2"/>
        <v>0</v>
      </c>
      <c r="H11" s="272">
        <f t="shared" si="3"/>
        <v>0</v>
      </c>
      <c r="I11" s="15">
        <f t="shared" si="4"/>
        <v>0</v>
      </c>
      <c r="J11" s="273" t="s">
        <v>39</v>
      </c>
      <c r="K11" s="15">
        <f t="shared" si="5"/>
        <v>8</v>
      </c>
      <c r="L11" s="273" t="s">
        <v>40</v>
      </c>
      <c r="M11" s="15">
        <v>1</v>
      </c>
      <c r="N11" s="273" t="s">
        <v>41</v>
      </c>
      <c r="O11" s="15">
        <f t="shared" si="6"/>
        <v>0</v>
      </c>
      <c r="P11" s="273" t="s">
        <v>42</v>
      </c>
    </row>
    <row r="12" spans="1:16" ht="38.25">
      <c r="A12" s="489"/>
      <c r="B12" s="280" t="s">
        <v>53</v>
      </c>
      <c r="C12" s="276">
        <v>2700</v>
      </c>
      <c r="D12" s="277">
        <v>0</v>
      </c>
      <c r="E12" s="272">
        <f t="shared" si="0"/>
        <v>0</v>
      </c>
      <c r="F12" s="14">
        <f t="shared" si="1"/>
        <v>0</v>
      </c>
      <c r="G12" s="272">
        <f t="shared" si="2"/>
        <v>0</v>
      </c>
      <c r="H12" s="272">
        <f t="shared" si="3"/>
        <v>0</v>
      </c>
      <c r="I12" s="15">
        <f t="shared" si="4"/>
        <v>0</v>
      </c>
      <c r="J12" s="273" t="s">
        <v>39</v>
      </c>
      <c r="K12" s="15">
        <f t="shared" si="5"/>
        <v>8</v>
      </c>
      <c r="L12" s="273" t="s">
        <v>40</v>
      </c>
      <c r="M12" s="15">
        <v>1</v>
      </c>
      <c r="N12" s="273" t="s">
        <v>41</v>
      </c>
      <c r="O12" s="15">
        <f t="shared" si="6"/>
        <v>0</v>
      </c>
      <c r="P12" s="273" t="s">
        <v>42</v>
      </c>
    </row>
    <row r="13" spans="1:16" ht="38.25">
      <c r="A13" s="489"/>
      <c r="B13" s="280" t="s">
        <v>54</v>
      </c>
      <c r="C13" s="276">
        <v>2250</v>
      </c>
      <c r="D13" s="277">
        <v>0</v>
      </c>
      <c r="E13" s="272">
        <f t="shared" si="0"/>
        <v>0</v>
      </c>
      <c r="F13" s="14">
        <f t="shared" si="1"/>
        <v>0</v>
      </c>
      <c r="G13" s="272">
        <f t="shared" si="2"/>
        <v>0</v>
      </c>
      <c r="H13" s="272">
        <f t="shared" si="3"/>
        <v>0</v>
      </c>
      <c r="I13" s="15">
        <f t="shared" si="4"/>
        <v>0</v>
      </c>
      <c r="J13" s="273" t="s">
        <v>39</v>
      </c>
      <c r="K13" s="15">
        <f t="shared" si="5"/>
        <v>8</v>
      </c>
      <c r="L13" s="273" t="s">
        <v>40</v>
      </c>
      <c r="M13" s="15">
        <v>1</v>
      </c>
      <c r="N13" s="273" t="s">
        <v>41</v>
      </c>
      <c r="O13" s="15">
        <f t="shared" si="6"/>
        <v>0</v>
      </c>
      <c r="P13" s="273" t="s">
        <v>42</v>
      </c>
    </row>
    <row r="14" spans="1:16" ht="38.25">
      <c r="A14" s="489"/>
      <c r="B14" s="280" t="s">
        <v>55</v>
      </c>
      <c r="C14" s="276">
        <v>100000</v>
      </c>
      <c r="D14" s="277">
        <f>'Áreas Totais'!D10</f>
        <v>30.86972</v>
      </c>
      <c r="E14" s="272">
        <f t="shared" si="0"/>
        <v>0.0003086972</v>
      </c>
      <c r="F14" s="14">
        <f t="shared" si="1"/>
        <v>0</v>
      </c>
      <c r="G14" s="272">
        <f t="shared" si="2"/>
        <v>0.0003086972</v>
      </c>
      <c r="H14" s="272">
        <f t="shared" si="3"/>
        <v>0.148174656</v>
      </c>
      <c r="I14" s="15">
        <f t="shared" si="4"/>
        <v>0</v>
      </c>
      <c r="J14" s="273" t="s">
        <v>39</v>
      </c>
      <c r="K14" s="15">
        <f t="shared" si="5"/>
        <v>8</v>
      </c>
      <c r="L14" s="273" t="s">
        <v>40</v>
      </c>
      <c r="M14" s="15">
        <v>1</v>
      </c>
      <c r="N14" s="273" t="s">
        <v>41</v>
      </c>
      <c r="O14" s="15">
        <f t="shared" si="6"/>
        <v>0.148174656</v>
      </c>
      <c r="P14" s="273" t="s">
        <v>42</v>
      </c>
    </row>
    <row r="15" spans="1:16" ht="38.25" customHeight="1">
      <c r="A15" s="488" t="s">
        <v>56</v>
      </c>
      <c r="B15" s="280" t="s">
        <v>57</v>
      </c>
      <c r="C15" s="276">
        <v>160</v>
      </c>
      <c r="D15" s="277">
        <v>0</v>
      </c>
      <c r="E15" s="272">
        <f>(D15/C15)*(16/188.76)</f>
        <v>0</v>
      </c>
      <c r="F15" s="14">
        <f t="shared" si="1"/>
        <v>0</v>
      </c>
      <c r="G15" s="272">
        <f t="shared" si="2"/>
        <v>0</v>
      </c>
      <c r="H15" s="272">
        <f t="shared" si="3"/>
        <v>0</v>
      </c>
      <c r="I15" s="15">
        <f t="shared" si="4"/>
        <v>0</v>
      </c>
      <c r="J15" s="273" t="s">
        <v>39</v>
      </c>
      <c r="K15" s="15">
        <f t="shared" si="5"/>
        <v>8</v>
      </c>
      <c r="L15" s="273" t="s">
        <v>40</v>
      </c>
      <c r="M15" s="15">
        <v>1</v>
      </c>
      <c r="N15" s="273" t="s">
        <v>41</v>
      </c>
      <c r="O15" s="15">
        <f t="shared" si="6"/>
        <v>0</v>
      </c>
      <c r="P15" s="273" t="s">
        <v>42</v>
      </c>
    </row>
    <row r="16" spans="1:16" ht="38.25">
      <c r="A16" s="488"/>
      <c r="B16" s="280" t="s">
        <v>58</v>
      </c>
      <c r="C16" s="276">
        <v>380</v>
      </c>
      <c r="D16" s="277">
        <f>'Áreas Totais'!D12</f>
        <v>322.4117</v>
      </c>
      <c r="E16" s="272">
        <f>(D16/C16)*(16/188.76)</f>
        <v>0.07191793533420328</v>
      </c>
      <c r="F16" s="14">
        <f t="shared" si="1"/>
        <v>0</v>
      </c>
      <c r="G16" s="272">
        <f t="shared" si="2"/>
        <v>0.07191793533420328</v>
      </c>
      <c r="H16" s="272">
        <f t="shared" si="3"/>
        <v>34.520608960417576</v>
      </c>
      <c r="I16" s="15">
        <f t="shared" si="4"/>
        <v>0</v>
      </c>
      <c r="J16" s="273" t="s">
        <v>39</v>
      </c>
      <c r="K16" s="15">
        <f t="shared" si="5"/>
        <v>8</v>
      </c>
      <c r="L16" s="273" t="s">
        <v>40</v>
      </c>
      <c r="M16" s="15">
        <v>1</v>
      </c>
      <c r="N16" s="273" t="s">
        <v>41</v>
      </c>
      <c r="O16" s="15">
        <f t="shared" si="6"/>
        <v>34.520608960417576</v>
      </c>
      <c r="P16" s="273" t="s">
        <v>42</v>
      </c>
    </row>
    <row r="17" spans="1:16" ht="38.25">
      <c r="A17" s="488"/>
      <c r="B17" s="280" t="s">
        <v>59</v>
      </c>
      <c r="C17" s="276">
        <v>380</v>
      </c>
      <c r="D17" s="277">
        <f>'Áreas Totais'!D13</f>
        <v>322.4117</v>
      </c>
      <c r="E17" s="272">
        <f>(D17/C17)*(16/188.76)</f>
        <v>0.07191793533420328</v>
      </c>
      <c r="F17" s="14">
        <f t="shared" si="1"/>
        <v>0</v>
      </c>
      <c r="G17" s="272">
        <f t="shared" si="2"/>
        <v>0.07191793533420328</v>
      </c>
      <c r="H17" s="272">
        <f t="shared" si="3"/>
        <v>34.520608960417576</v>
      </c>
      <c r="I17" s="15">
        <f t="shared" si="4"/>
        <v>0</v>
      </c>
      <c r="J17" s="273" t="s">
        <v>39</v>
      </c>
      <c r="K17" s="15">
        <f t="shared" si="5"/>
        <v>8</v>
      </c>
      <c r="L17" s="273" t="s">
        <v>40</v>
      </c>
      <c r="M17" s="15">
        <v>1</v>
      </c>
      <c r="N17" s="273" t="s">
        <v>41</v>
      </c>
      <c r="O17" s="15">
        <f t="shared" si="6"/>
        <v>34.520608960417576</v>
      </c>
      <c r="P17" s="273" t="s">
        <v>42</v>
      </c>
    </row>
    <row r="18" spans="1:16" ht="38.25">
      <c r="A18" s="280" t="s">
        <v>60</v>
      </c>
      <c r="B18" s="280" t="s">
        <v>61</v>
      </c>
      <c r="C18" s="281">
        <v>160</v>
      </c>
      <c r="D18" s="277">
        <v>0</v>
      </c>
      <c r="E18" s="272">
        <f>(D18/C18)*(8/1132.6)</f>
        <v>0</v>
      </c>
      <c r="F18" s="14">
        <f t="shared" si="1"/>
        <v>0</v>
      </c>
      <c r="G18" s="272">
        <f t="shared" si="2"/>
        <v>0</v>
      </c>
      <c r="H18" s="272">
        <f t="shared" si="3"/>
        <v>0</v>
      </c>
      <c r="I18" s="15">
        <f t="shared" si="4"/>
        <v>0</v>
      </c>
      <c r="J18" s="273" t="s">
        <v>39</v>
      </c>
      <c r="K18" s="15">
        <f t="shared" si="5"/>
        <v>8</v>
      </c>
      <c r="L18" s="273" t="s">
        <v>40</v>
      </c>
      <c r="M18" s="15">
        <v>1</v>
      </c>
      <c r="N18" s="273" t="s">
        <v>41</v>
      </c>
      <c r="O18" s="15">
        <f t="shared" si="6"/>
        <v>0</v>
      </c>
      <c r="P18" s="273" t="s">
        <v>42</v>
      </c>
    </row>
    <row r="19" spans="1:16" ht="38.25">
      <c r="A19" s="280" t="s">
        <v>62</v>
      </c>
      <c r="B19" s="280" t="s">
        <v>63</v>
      </c>
      <c r="C19" s="282">
        <v>405</v>
      </c>
      <c r="D19" s="277">
        <v>0</v>
      </c>
      <c r="E19" s="272">
        <f>0</f>
        <v>0</v>
      </c>
      <c r="F19" s="14">
        <f t="shared" si="1"/>
        <v>0</v>
      </c>
      <c r="G19" s="272">
        <f t="shared" si="2"/>
        <v>0</v>
      </c>
      <c r="H19" s="272">
        <f t="shared" si="3"/>
        <v>0</v>
      </c>
      <c r="I19" s="15">
        <f t="shared" si="4"/>
        <v>0</v>
      </c>
      <c r="J19" s="273" t="s">
        <v>39</v>
      </c>
      <c r="K19" s="15">
        <f t="shared" si="5"/>
        <v>8</v>
      </c>
      <c r="L19" s="273" t="s">
        <v>40</v>
      </c>
      <c r="M19" s="15">
        <v>1</v>
      </c>
      <c r="N19" s="273" t="s">
        <v>41</v>
      </c>
      <c r="O19" s="15">
        <f t="shared" si="6"/>
        <v>0</v>
      </c>
      <c r="P19" s="273" t="s">
        <v>42</v>
      </c>
    </row>
    <row r="20" spans="1:16" ht="15.75">
      <c r="A20" s="278"/>
      <c r="B20" s="278"/>
      <c r="C20" s="283"/>
      <c r="D20" s="284">
        <f>SUM(D2:D19)</f>
        <v>2811.65864</v>
      </c>
      <c r="E20" s="285"/>
      <c r="F20" s="14"/>
      <c r="G20" s="285"/>
      <c r="H20" s="285"/>
      <c r="I20" s="286"/>
      <c r="J20" s="283"/>
      <c r="K20" s="286"/>
      <c r="L20" s="283"/>
      <c r="M20" s="286"/>
      <c r="N20" s="283"/>
      <c r="O20" s="286"/>
      <c r="P20" s="283"/>
    </row>
    <row r="21" spans="1:18" ht="52.5" customHeight="1">
      <c r="A21" s="490" t="s">
        <v>64</v>
      </c>
      <c r="B21" s="490"/>
      <c r="C21" s="490"/>
      <c r="D21" s="490"/>
      <c r="E21" s="272">
        <f>SUM(E2:E19)</f>
        <v>2.2117372669795174</v>
      </c>
      <c r="F21" s="1">
        <f>TRUNC(E21,0)</f>
        <v>2</v>
      </c>
      <c r="G21" s="272">
        <f>E21-F21</f>
        <v>0.21173726697951745</v>
      </c>
      <c r="H21" s="272">
        <f>G21*$C$23*60</f>
        <v>101.63388815016837</v>
      </c>
      <c r="I21" s="28">
        <f>F21</f>
        <v>2</v>
      </c>
      <c r="J21" s="273" t="s">
        <v>39</v>
      </c>
      <c r="K21" s="15">
        <f>$C$23</f>
        <v>8</v>
      </c>
      <c r="L21" s="273" t="s">
        <v>40</v>
      </c>
      <c r="M21" s="28">
        <v>1</v>
      </c>
      <c r="N21" s="273" t="s">
        <v>41</v>
      </c>
      <c r="O21" s="28">
        <f>H21</f>
        <v>101.63388815016837</v>
      </c>
      <c r="P21" s="273" t="s">
        <v>42</v>
      </c>
      <c r="Q21" s="287" t="s">
        <v>605</v>
      </c>
      <c r="R21" s="288"/>
    </row>
    <row r="22" spans="1:16" ht="15.75">
      <c r="A22" s="278"/>
      <c r="B22" s="278"/>
      <c r="C22" s="278"/>
      <c r="D22" s="289"/>
      <c r="F22" s="290"/>
      <c r="I22" s="35"/>
      <c r="J22" s="283"/>
      <c r="K22" s="286"/>
      <c r="L22" s="283"/>
      <c r="M22" s="286"/>
      <c r="N22" s="283"/>
      <c r="O22" s="35"/>
      <c r="P22" s="283"/>
    </row>
    <row r="23" spans="1:14" ht="20.25" customHeight="1">
      <c r="A23" s="491" t="s">
        <v>65</v>
      </c>
      <c r="B23" s="491"/>
      <c r="C23" s="291">
        <v>8</v>
      </c>
      <c r="D23" s="292" t="s">
        <v>66</v>
      </c>
      <c r="E23" s="492" t="s">
        <v>558</v>
      </c>
      <c r="F23" s="492"/>
      <c r="G23" s="492"/>
      <c r="H23" s="492"/>
      <c r="I23" s="492"/>
      <c r="J23" s="492"/>
      <c r="K23" s="492"/>
      <c r="L23" s="493">
        <f>F21+G21</f>
        <v>2.2117372669795174</v>
      </c>
      <c r="M23" s="493"/>
      <c r="N23" s="493"/>
    </row>
    <row r="24" spans="1:8" ht="15">
      <c r="A24" s="293"/>
      <c r="B24" s="293"/>
      <c r="C24" s="34"/>
      <c r="D24" s="34"/>
      <c r="E24" s="34"/>
      <c r="F24" s="35"/>
      <c r="G24" s="34"/>
      <c r="H24" s="34"/>
    </row>
    <row r="25" spans="1:16" ht="18.75" customHeight="1">
      <c r="A25" s="494" t="s">
        <v>559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</row>
    <row r="26" spans="1:16" s="35" customFormat="1" ht="18.75" customHeight="1">
      <c r="A26" s="494" t="s">
        <v>69</v>
      </c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</row>
    <row r="27" spans="1:19" s="35" customFormat="1" ht="35.25" customHeight="1">
      <c r="A27" s="495" t="s">
        <v>70</v>
      </c>
      <c r="B27" s="495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37"/>
      <c r="R27" s="37"/>
      <c r="S27" s="37"/>
    </row>
    <row r="28" spans="1:19" s="35" customFormat="1" ht="36" customHeight="1">
      <c r="A28" s="495" t="s">
        <v>71</v>
      </c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37"/>
      <c r="R28" s="37"/>
      <c r="S28" s="37"/>
    </row>
    <row r="29" spans="1:19" s="35" customFormat="1" ht="36" customHeight="1">
      <c r="A29" s="495" t="s">
        <v>72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37"/>
      <c r="R29" s="37"/>
      <c r="S29" s="37"/>
    </row>
    <row r="30" spans="1:19" s="35" customFormat="1" ht="18.75" customHeight="1">
      <c r="A30" s="495"/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37"/>
      <c r="R30" s="37"/>
      <c r="S30" s="37"/>
    </row>
    <row r="31" spans="1:19" s="35" customFormat="1" ht="18.75" customHeight="1">
      <c r="A31" s="498" t="s">
        <v>73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37"/>
      <c r="R31" s="37"/>
      <c r="S31" s="37"/>
    </row>
    <row r="32" spans="1:19" s="35" customFormat="1" ht="36" customHeight="1">
      <c r="A32" s="498" t="s">
        <v>74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37"/>
      <c r="R32" s="37"/>
      <c r="S32" s="37"/>
    </row>
    <row r="33" spans="1:19" s="35" customFormat="1" ht="18">
      <c r="A33" s="499" t="s">
        <v>560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37"/>
      <c r="R33" s="37"/>
      <c r="S33" s="37"/>
    </row>
    <row r="34" spans="1:19" s="35" customFormat="1" ht="18">
      <c r="A34" s="500" t="s">
        <v>75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37"/>
      <c r="R34" s="37"/>
      <c r="S34" s="37"/>
    </row>
    <row r="35" spans="1:19" s="35" customFormat="1" ht="36" customHeight="1">
      <c r="A35" s="501" t="s">
        <v>76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37"/>
      <c r="R35" s="37"/>
      <c r="S35" s="37"/>
    </row>
    <row r="36" spans="1:19" s="35" customFormat="1" ht="18">
      <c r="A36" s="37"/>
      <c r="B36" s="37"/>
      <c r="C36" s="37"/>
      <c r="D36" s="37"/>
      <c r="E36" s="38"/>
      <c r="F36" s="37"/>
      <c r="G36" s="38"/>
      <c r="H36" s="3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35" customFormat="1" ht="18">
      <c r="A37" s="37"/>
      <c r="B37" s="37"/>
      <c r="C37" s="37"/>
      <c r="D37" s="37"/>
      <c r="E37" s="38"/>
      <c r="F37" s="37"/>
      <c r="G37" s="38"/>
      <c r="H37" s="3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35" customFormat="1" ht="18.75" customHeight="1">
      <c r="A38" s="496" t="s">
        <v>77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</row>
    <row r="39" spans="1:19" s="35" customFormat="1" ht="18">
      <c r="A39" s="37"/>
      <c r="B39" s="37"/>
      <c r="C39" s="37"/>
      <c r="D39" s="37"/>
      <c r="E39" s="38"/>
      <c r="F39" s="37"/>
      <c r="G39" s="38"/>
      <c r="H39" s="38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s="35" customFormat="1" ht="36" customHeight="1">
      <c r="A40" s="496" t="s">
        <v>78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</row>
    <row r="41" spans="1:19" s="35" customFormat="1" ht="18">
      <c r="A41" s="37"/>
      <c r="B41" s="37"/>
      <c r="C41" s="37"/>
      <c r="D41" s="37"/>
      <c r="E41" s="38"/>
      <c r="F41" s="37"/>
      <c r="G41" s="38"/>
      <c r="H41" s="3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35" customFormat="1" ht="18.75" customHeight="1">
      <c r="A42" s="496" t="s">
        <v>79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</row>
    <row r="43" spans="1:19" s="35" customFormat="1" ht="18.75" customHeight="1">
      <c r="A43" s="496" t="s">
        <v>80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37"/>
      <c r="Q43" s="37"/>
      <c r="R43" s="37"/>
      <c r="S43" s="37"/>
    </row>
    <row r="44" spans="1:19" s="35" customFormat="1" ht="35.25" customHeight="1">
      <c r="A44" s="497" t="s">
        <v>81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37"/>
      <c r="R44" s="37"/>
      <c r="S44" s="37"/>
    </row>
  </sheetData>
  <sheetProtection/>
  <mergeCells count="24">
    <mergeCell ref="A40:S40"/>
    <mergeCell ref="A42:S42"/>
    <mergeCell ref="A43:O43"/>
    <mergeCell ref="A44:P44"/>
    <mergeCell ref="A31:P31"/>
    <mergeCell ref="A32:P32"/>
    <mergeCell ref="A33:P33"/>
    <mergeCell ref="A34:P34"/>
    <mergeCell ref="A35:P35"/>
    <mergeCell ref="A38:S38"/>
    <mergeCell ref="A25:P25"/>
    <mergeCell ref="A26:P26"/>
    <mergeCell ref="A27:P27"/>
    <mergeCell ref="A28:P28"/>
    <mergeCell ref="A29:P29"/>
    <mergeCell ref="A30:P30"/>
    <mergeCell ref="I1:P1"/>
    <mergeCell ref="A2:A8"/>
    <mergeCell ref="A9:A14"/>
    <mergeCell ref="A15:A17"/>
    <mergeCell ref="A21:D21"/>
    <mergeCell ref="A23:B23"/>
    <mergeCell ref="E23:K23"/>
    <mergeCell ref="L23:N23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B16">
      <selection activeCell="R19" sqref="R18:R19"/>
    </sheetView>
  </sheetViews>
  <sheetFormatPr defaultColWidth="9.140625" defaultRowHeight="12.75"/>
  <cols>
    <col min="1" max="1" width="26.140625" style="205" customWidth="1"/>
    <col min="2" max="2" width="20.00390625" style="205" customWidth="1"/>
    <col min="3" max="3" width="12.00390625" style="205" customWidth="1"/>
    <col min="4" max="4" width="12.28125" style="205" customWidth="1"/>
    <col min="5" max="5" width="12.8515625" style="274" customWidth="1"/>
    <col min="6" max="6" width="12.8515625" style="205" customWidth="1"/>
    <col min="7" max="7" width="11.00390625" style="274" customWidth="1"/>
    <col min="8" max="8" width="13.57421875" style="274" customWidth="1"/>
    <col min="9" max="9" width="4.00390625" style="205" customWidth="1"/>
    <col min="10" max="10" width="11.28125" style="205" customWidth="1"/>
    <col min="11" max="11" width="3.00390625" style="205" customWidth="1"/>
    <col min="12" max="12" width="6.57421875" style="205" customWidth="1"/>
    <col min="13" max="13" width="2.421875" style="205" customWidth="1"/>
    <col min="14" max="14" width="11.140625" style="205" customWidth="1"/>
    <col min="15" max="15" width="10.00390625" style="205" customWidth="1"/>
    <col min="16" max="16" width="9.57421875" style="205" customWidth="1"/>
    <col min="17" max="17" width="18.00390625" style="205" customWidth="1"/>
    <col min="18" max="16384" width="9.140625" style="205" customWidth="1"/>
  </cols>
  <sheetData>
    <row r="1" spans="1:16" s="274" customFormat="1" ht="114.75" customHeight="1">
      <c r="A1" s="272" t="s">
        <v>29</v>
      </c>
      <c r="B1" s="272" t="s">
        <v>30</v>
      </c>
      <c r="C1" s="273" t="s">
        <v>552</v>
      </c>
      <c r="D1" s="273" t="s">
        <v>553</v>
      </c>
      <c r="E1" s="273" t="s">
        <v>554</v>
      </c>
      <c r="F1" s="273" t="s">
        <v>555</v>
      </c>
      <c r="G1" s="273" t="s">
        <v>34</v>
      </c>
      <c r="H1" s="273" t="s">
        <v>556</v>
      </c>
      <c r="I1" s="488" t="s">
        <v>557</v>
      </c>
      <c r="J1" s="488"/>
      <c r="K1" s="488"/>
      <c r="L1" s="488"/>
      <c r="M1" s="488"/>
      <c r="N1" s="488"/>
      <c r="O1" s="488"/>
      <c r="P1" s="488"/>
    </row>
    <row r="2" spans="1:18" ht="38.25">
      <c r="A2" s="489" t="s">
        <v>37</v>
      </c>
      <c r="B2" s="275" t="s">
        <v>38</v>
      </c>
      <c r="C2" s="276">
        <v>1000</v>
      </c>
      <c r="D2" s="277">
        <v>0</v>
      </c>
      <c r="E2" s="272">
        <f aca="true" t="shared" si="0" ref="E2:E14">D2/C2</f>
        <v>0</v>
      </c>
      <c r="F2" s="14">
        <f aca="true" t="shared" si="1" ref="F2:F19">TRUNC(E2,0)</f>
        <v>0</v>
      </c>
      <c r="G2" s="272">
        <f aca="true" t="shared" si="2" ref="G2:G19">E2-F2</f>
        <v>0</v>
      </c>
      <c r="H2" s="272">
        <f aca="true" t="shared" si="3" ref="H2:H19">G2*$C$23*60</f>
        <v>0</v>
      </c>
      <c r="I2" s="15">
        <f aca="true" t="shared" si="4" ref="I2:I19">F2</f>
        <v>0</v>
      </c>
      <c r="J2" s="273" t="s">
        <v>39</v>
      </c>
      <c r="K2" s="15">
        <f aca="true" t="shared" si="5" ref="K2:K19">$C$23</f>
        <v>8</v>
      </c>
      <c r="L2" s="273" t="s">
        <v>40</v>
      </c>
      <c r="M2" s="15">
        <v>1</v>
      </c>
      <c r="N2" s="273" t="s">
        <v>41</v>
      </c>
      <c r="O2" s="15">
        <f aca="true" t="shared" si="6" ref="O2:O19">H2</f>
        <v>0</v>
      </c>
      <c r="P2" s="273" t="s">
        <v>42</v>
      </c>
      <c r="Q2" s="278"/>
      <c r="R2" s="279"/>
    </row>
    <row r="3" spans="1:16" ht="38.25">
      <c r="A3" s="489"/>
      <c r="B3" s="275" t="s">
        <v>43</v>
      </c>
      <c r="C3" s="276">
        <v>1200</v>
      </c>
      <c r="D3" s="277">
        <f>'Áreas Totais'!C4</f>
        <v>234.711</v>
      </c>
      <c r="E3" s="272">
        <f t="shared" si="0"/>
        <v>0.1955925</v>
      </c>
      <c r="F3" s="14">
        <f t="shared" si="1"/>
        <v>0</v>
      </c>
      <c r="G3" s="272">
        <f t="shared" si="2"/>
        <v>0.1955925</v>
      </c>
      <c r="H3" s="272">
        <f t="shared" si="3"/>
        <v>93.8844</v>
      </c>
      <c r="I3" s="15">
        <f t="shared" si="4"/>
        <v>0</v>
      </c>
      <c r="J3" s="273" t="s">
        <v>39</v>
      </c>
      <c r="K3" s="15">
        <f t="shared" si="5"/>
        <v>8</v>
      </c>
      <c r="L3" s="273" t="s">
        <v>40</v>
      </c>
      <c r="M3" s="15">
        <v>1</v>
      </c>
      <c r="N3" s="273" t="s">
        <v>41</v>
      </c>
      <c r="O3" s="15">
        <f t="shared" si="6"/>
        <v>93.8844</v>
      </c>
      <c r="P3" s="273" t="s">
        <v>42</v>
      </c>
    </row>
    <row r="4" spans="1:16" ht="38.25">
      <c r="A4" s="489"/>
      <c r="B4" s="275" t="s">
        <v>44</v>
      </c>
      <c r="C4" s="276">
        <v>450</v>
      </c>
      <c r="D4" s="277">
        <f>'Áreas Totais'!C6</f>
        <v>72.53099999999999</v>
      </c>
      <c r="E4" s="272">
        <f t="shared" si="0"/>
        <v>0.16118</v>
      </c>
      <c r="F4" s="14">
        <f t="shared" si="1"/>
        <v>0</v>
      </c>
      <c r="G4" s="272">
        <f t="shared" si="2"/>
        <v>0.16118</v>
      </c>
      <c r="H4" s="272">
        <f t="shared" si="3"/>
        <v>77.3664</v>
      </c>
      <c r="I4" s="15">
        <f t="shared" si="4"/>
        <v>0</v>
      </c>
      <c r="J4" s="273" t="s">
        <v>39</v>
      </c>
      <c r="K4" s="15">
        <f t="shared" si="5"/>
        <v>8</v>
      </c>
      <c r="L4" s="273" t="s">
        <v>40</v>
      </c>
      <c r="M4" s="15">
        <v>1</v>
      </c>
      <c r="N4" s="273" t="s">
        <v>41</v>
      </c>
      <c r="O4" s="15">
        <f t="shared" si="6"/>
        <v>77.3664</v>
      </c>
      <c r="P4" s="273" t="s">
        <v>42</v>
      </c>
    </row>
    <row r="5" spans="1:16" ht="38.25">
      <c r="A5" s="489"/>
      <c r="B5" s="280" t="s">
        <v>519</v>
      </c>
      <c r="C5" s="276">
        <v>2500</v>
      </c>
      <c r="D5" s="277">
        <f>'Áreas Totais'!C5</f>
        <v>2.36628</v>
      </c>
      <c r="E5" s="272">
        <f t="shared" si="0"/>
        <v>0.000946512</v>
      </c>
      <c r="F5" s="14">
        <f t="shared" si="1"/>
        <v>0</v>
      </c>
      <c r="G5" s="272">
        <f t="shared" si="2"/>
        <v>0.000946512</v>
      </c>
      <c r="H5" s="272">
        <f t="shared" si="3"/>
        <v>0.45432576</v>
      </c>
      <c r="I5" s="15">
        <f t="shared" si="4"/>
        <v>0</v>
      </c>
      <c r="J5" s="273" t="s">
        <v>39</v>
      </c>
      <c r="K5" s="15">
        <f t="shared" si="5"/>
        <v>8</v>
      </c>
      <c r="L5" s="273" t="s">
        <v>40</v>
      </c>
      <c r="M5" s="15">
        <v>1</v>
      </c>
      <c r="N5" s="273" t="s">
        <v>41</v>
      </c>
      <c r="O5" s="15">
        <f t="shared" si="6"/>
        <v>0.45432576</v>
      </c>
      <c r="P5" s="273" t="s">
        <v>42</v>
      </c>
    </row>
    <row r="6" spans="1:16" ht="38.25">
      <c r="A6" s="489"/>
      <c r="B6" s="275" t="s">
        <v>46</v>
      </c>
      <c r="C6" s="276">
        <v>1800</v>
      </c>
      <c r="D6" s="277">
        <v>0</v>
      </c>
      <c r="E6" s="272">
        <f t="shared" si="0"/>
        <v>0</v>
      </c>
      <c r="F6" s="14">
        <f t="shared" si="1"/>
        <v>0</v>
      </c>
      <c r="G6" s="272">
        <f t="shared" si="2"/>
        <v>0</v>
      </c>
      <c r="H6" s="272">
        <f t="shared" si="3"/>
        <v>0</v>
      </c>
      <c r="I6" s="15">
        <f t="shared" si="4"/>
        <v>0</v>
      </c>
      <c r="J6" s="273" t="s">
        <v>39</v>
      </c>
      <c r="K6" s="15">
        <f t="shared" si="5"/>
        <v>8</v>
      </c>
      <c r="L6" s="273" t="s">
        <v>40</v>
      </c>
      <c r="M6" s="15">
        <v>1</v>
      </c>
      <c r="N6" s="273" t="s">
        <v>41</v>
      </c>
      <c r="O6" s="15">
        <f t="shared" si="6"/>
        <v>0</v>
      </c>
      <c r="P6" s="273" t="s">
        <v>42</v>
      </c>
    </row>
    <row r="7" spans="1:16" ht="38.25">
      <c r="A7" s="489"/>
      <c r="B7" s="280" t="s">
        <v>47</v>
      </c>
      <c r="C7" s="276">
        <v>1500</v>
      </c>
      <c r="D7" s="277">
        <f>'Áreas Totais'!C8</f>
        <v>125.40419999999996</v>
      </c>
      <c r="E7" s="272">
        <f t="shared" si="0"/>
        <v>0.08360279999999998</v>
      </c>
      <c r="F7" s="14">
        <f t="shared" si="1"/>
        <v>0</v>
      </c>
      <c r="G7" s="272">
        <f t="shared" si="2"/>
        <v>0.08360279999999998</v>
      </c>
      <c r="H7" s="272">
        <f t="shared" si="3"/>
        <v>40.12934399999999</v>
      </c>
      <c r="I7" s="15">
        <f t="shared" si="4"/>
        <v>0</v>
      </c>
      <c r="J7" s="273" t="s">
        <v>39</v>
      </c>
      <c r="K7" s="15">
        <f t="shared" si="5"/>
        <v>8</v>
      </c>
      <c r="L7" s="273" t="s">
        <v>40</v>
      </c>
      <c r="M7" s="15">
        <v>1</v>
      </c>
      <c r="N7" s="273" t="s">
        <v>41</v>
      </c>
      <c r="O7" s="15">
        <f t="shared" si="6"/>
        <v>40.12934399999999</v>
      </c>
      <c r="P7" s="273" t="s">
        <v>42</v>
      </c>
    </row>
    <row r="8" spans="1:16" ht="38.25">
      <c r="A8" s="489"/>
      <c r="B8" s="20" t="s">
        <v>48</v>
      </c>
      <c r="C8" s="276">
        <v>300</v>
      </c>
      <c r="D8" s="277">
        <f>'Áreas Totais'!C7</f>
        <v>186.2</v>
      </c>
      <c r="E8" s="272">
        <f t="shared" si="0"/>
        <v>0.6206666666666666</v>
      </c>
      <c r="F8" s="14">
        <f t="shared" si="1"/>
        <v>0</v>
      </c>
      <c r="G8" s="272">
        <f t="shared" si="2"/>
        <v>0.6206666666666666</v>
      </c>
      <c r="H8" s="272">
        <f t="shared" si="3"/>
        <v>297.91999999999996</v>
      </c>
      <c r="I8" s="15">
        <f t="shared" si="4"/>
        <v>0</v>
      </c>
      <c r="J8" s="273" t="s">
        <v>39</v>
      </c>
      <c r="K8" s="15">
        <f t="shared" si="5"/>
        <v>8</v>
      </c>
      <c r="L8" s="273" t="s">
        <v>40</v>
      </c>
      <c r="M8" s="15">
        <v>1</v>
      </c>
      <c r="N8" s="273" t="s">
        <v>41</v>
      </c>
      <c r="O8" s="15">
        <f t="shared" si="6"/>
        <v>297.91999999999996</v>
      </c>
      <c r="P8" s="273" t="s">
        <v>42</v>
      </c>
    </row>
    <row r="9" spans="1:16" ht="38.25">
      <c r="A9" s="489" t="s">
        <v>49</v>
      </c>
      <c r="B9" s="280" t="s">
        <v>50</v>
      </c>
      <c r="C9" s="276">
        <v>2700</v>
      </c>
      <c r="D9" s="277">
        <f>'Áreas Totais'!C9</f>
        <v>33.858</v>
      </c>
      <c r="E9" s="272">
        <f t="shared" si="0"/>
        <v>0.012539999999999999</v>
      </c>
      <c r="F9" s="14">
        <f t="shared" si="1"/>
        <v>0</v>
      </c>
      <c r="G9" s="272">
        <f t="shared" si="2"/>
        <v>0.012539999999999999</v>
      </c>
      <c r="H9" s="272">
        <f t="shared" si="3"/>
        <v>6.0192</v>
      </c>
      <c r="I9" s="15">
        <f t="shared" si="4"/>
        <v>0</v>
      </c>
      <c r="J9" s="273" t="s">
        <v>39</v>
      </c>
      <c r="K9" s="15">
        <f t="shared" si="5"/>
        <v>8</v>
      </c>
      <c r="L9" s="273" t="s">
        <v>40</v>
      </c>
      <c r="M9" s="15">
        <v>1</v>
      </c>
      <c r="N9" s="273" t="s">
        <v>41</v>
      </c>
      <c r="O9" s="15">
        <f t="shared" si="6"/>
        <v>6.0192</v>
      </c>
      <c r="P9" s="273" t="s">
        <v>42</v>
      </c>
    </row>
    <row r="10" spans="1:16" ht="38.25">
      <c r="A10" s="489"/>
      <c r="B10" s="280" t="s">
        <v>51</v>
      </c>
      <c r="C10" s="276">
        <v>9000</v>
      </c>
      <c r="D10" s="277">
        <v>0</v>
      </c>
      <c r="E10" s="272">
        <f t="shared" si="0"/>
        <v>0</v>
      </c>
      <c r="F10" s="14">
        <f t="shared" si="1"/>
        <v>0</v>
      </c>
      <c r="G10" s="272">
        <f t="shared" si="2"/>
        <v>0</v>
      </c>
      <c r="H10" s="272">
        <f t="shared" si="3"/>
        <v>0</v>
      </c>
      <c r="I10" s="15">
        <f t="shared" si="4"/>
        <v>0</v>
      </c>
      <c r="J10" s="273" t="s">
        <v>39</v>
      </c>
      <c r="K10" s="15">
        <f t="shared" si="5"/>
        <v>8</v>
      </c>
      <c r="L10" s="273" t="s">
        <v>40</v>
      </c>
      <c r="M10" s="15">
        <v>1</v>
      </c>
      <c r="N10" s="273" t="s">
        <v>41</v>
      </c>
      <c r="O10" s="15">
        <f t="shared" si="6"/>
        <v>0</v>
      </c>
      <c r="P10" s="273" t="s">
        <v>42</v>
      </c>
    </row>
    <row r="11" spans="1:16" ht="38.25">
      <c r="A11" s="489"/>
      <c r="B11" s="280" t="s">
        <v>52</v>
      </c>
      <c r="C11" s="276">
        <v>2700</v>
      </c>
      <c r="D11" s="277">
        <v>0</v>
      </c>
      <c r="E11" s="272">
        <f t="shared" si="0"/>
        <v>0</v>
      </c>
      <c r="F11" s="14">
        <f t="shared" si="1"/>
        <v>0</v>
      </c>
      <c r="G11" s="272">
        <f t="shared" si="2"/>
        <v>0</v>
      </c>
      <c r="H11" s="272">
        <f t="shared" si="3"/>
        <v>0</v>
      </c>
      <c r="I11" s="15">
        <f t="shared" si="4"/>
        <v>0</v>
      </c>
      <c r="J11" s="273" t="s">
        <v>39</v>
      </c>
      <c r="K11" s="15">
        <f t="shared" si="5"/>
        <v>8</v>
      </c>
      <c r="L11" s="273" t="s">
        <v>40</v>
      </c>
      <c r="M11" s="15">
        <v>1</v>
      </c>
      <c r="N11" s="273" t="s">
        <v>41</v>
      </c>
      <c r="O11" s="15">
        <f t="shared" si="6"/>
        <v>0</v>
      </c>
      <c r="P11" s="273" t="s">
        <v>42</v>
      </c>
    </row>
    <row r="12" spans="1:16" ht="38.25">
      <c r="A12" s="489"/>
      <c r="B12" s="280" t="s">
        <v>53</v>
      </c>
      <c r="C12" s="276">
        <v>2700</v>
      </c>
      <c r="D12" s="277">
        <v>0</v>
      </c>
      <c r="E12" s="272">
        <f t="shared" si="0"/>
        <v>0</v>
      </c>
      <c r="F12" s="14">
        <f t="shared" si="1"/>
        <v>0</v>
      </c>
      <c r="G12" s="272">
        <f t="shared" si="2"/>
        <v>0</v>
      </c>
      <c r="H12" s="272">
        <f t="shared" si="3"/>
        <v>0</v>
      </c>
      <c r="I12" s="15">
        <f t="shared" si="4"/>
        <v>0</v>
      </c>
      <c r="J12" s="273" t="s">
        <v>39</v>
      </c>
      <c r="K12" s="15">
        <f t="shared" si="5"/>
        <v>8</v>
      </c>
      <c r="L12" s="273" t="s">
        <v>40</v>
      </c>
      <c r="M12" s="15">
        <v>1</v>
      </c>
      <c r="N12" s="273" t="s">
        <v>41</v>
      </c>
      <c r="O12" s="15">
        <f t="shared" si="6"/>
        <v>0</v>
      </c>
      <c r="P12" s="273" t="s">
        <v>42</v>
      </c>
    </row>
    <row r="13" spans="1:16" ht="38.25">
      <c r="A13" s="489"/>
      <c r="B13" s="280" t="s">
        <v>54</v>
      </c>
      <c r="C13" s="276">
        <v>2250</v>
      </c>
      <c r="D13" s="277">
        <v>0</v>
      </c>
      <c r="E13" s="272">
        <f t="shared" si="0"/>
        <v>0</v>
      </c>
      <c r="F13" s="14">
        <f t="shared" si="1"/>
        <v>0</v>
      </c>
      <c r="G13" s="272">
        <f t="shared" si="2"/>
        <v>0</v>
      </c>
      <c r="H13" s="272">
        <f t="shared" si="3"/>
        <v>0</v>
      </c>
      <c r="I13" s="15">
        <f t="shared" si="4"/>
        <v>0</v>
      </c>
      <c r="J13" s="273" t="s">
        <v>39</v>
      </c>
      <c r="K13" s="15">
        <f t="shared" si="5"/>
        <v>8</v>
      </c>
      <c r="L13" s="273" t="s">
        <v>40</v>
      </c>
      <c r="M13" s="15">
        <v>1</v>
      </c>
      <c r="N13" s="273" t="s">
        <v>41</v>
      </c>
      <c r="O13" s="15">
        <f t="shared" si="6"/>
        <v>0</v>
      </c>
      <c r="P13" s="273" t="s">
        <v>42</v>
      </c>
    </row>
    <row r="14" spans="1:16" ht="38.25">
      <c r="A14" s="489"/>
      <c r="B14" s="280" t="s">
        <v>55</v>
      </c>
      <c r="C14" s="276">
        <v>100000</v>
      </c>
      <c r="D14" s="277">
        <f>'Áreas Totais'!C10</f>
        <v>6.77628</v>
      </c>
      <c r="E14" s="272">
        <f t="shared" si="0"/>
        <v>6.77628E-05</v>
      </c>
      <c r="F14" s="14">
        <f t="shared" si="1"/>
        <v>0</v>
      </c>
      <c r="G14" s="272">
        <f t="shared" si="2"/>
        <v>6.77628E-05</v>
      </c>
      <c r="H14" s="272">
        <f t="shared" si="3"/>
        <v>0.032526144</v>
      </c>
      <c r="I14" s="15">
        <f t="shared" si="4"/>
        <v>0</v>
      </c>
      <c r="J14" s="273" t="s">
        <v>39</v>
      </c>
      <c r="K14" s="15">
        <f t="shared" si="5"/>
        <v>8</v>
      </c>
      <c r="L14" s="273" t="s">
        <v>40</v>
      </c>
      <c r="M14" s="15">
        <v>1</v>
      </c>
      <c r="N14" s="273" t="s">
        <v>41</v>
      </c>
      <c r="O14" s="15">
        <f t="shared" si="6"/>
        <v>0.032526144</v>
      </c>
      <c r="P14" s="273" t="s">
        <v>42</v>
      </c>
    </row>
    <row r="15" spans="1:16" ht="38.25" customHeight="1">
      <c r="A15" s="488" t="s">
        <v>56</v>
      </c>
      <c r="B15" s="280" t="s">
        <v>57</v>
      </c>
      <c r="C15" s="276">
        <v>160</v>
      </c>
      <c r="D15" s="277">
        <v>0</v>
      </c>
      <c r="E15" s="272">
        <f>(D15/C15)*(16/188.76)</f>
        <v>0</v>
      </c>
      <c r="F15" s="14">
        <f t="shared" si="1"/>
        <v>0</v>
      </c>
      <c r="G15" s="272">
        <f t="shared" si="2"/>
        <v>0</v>
      </c>
      <c r="H15" s="272">
        <f t="shared" si="3"/>
        <v>0</v>
      </c>
      <c r="I15" s="15">
        <f t="shared" si="4"/>
        <v>0</v>
      </c>
      <c r="J15" s="273" t="s">
        <v>39</v>
      </c>
      <c r="K15" s="15">
        <f t="shared" si="5"/>
        <v>8</v>
      </c>
      <c r="L15" s="273" t="s">
        <v>40</v>
      </c>
      <c r="M15" s="15">
        <v>1</v>
      </c>
      <c r="N15" s="273" t="s">
        <v>41</v>
      </c>
      <c r="O15" s="15">
        <f t="shared" si="6"/>
        <v>0</v>
      </c>
      <c r="P15" s="273" t="s">
        <v>42</v>
      </c>
    </row>
    <row r="16" spans="1:16" ht="38.25">
      <c r="A16" s="488"/>
      <c r="B16" s="280" t="s">
        <v>58</v>
      </c>
      <c r="C16" s="276">
        <v>380</v>
      </c>
      <c r="D16" s="277">
        <f>'Áreas Totais'!C12</f>
        <v>70.77329999999999</v>
      </c>
      <c r="E16" s="272">
        <f>(D16/C16)*(16/188.76)</f>
        <v>0.0157868638538495</v>
      </c>
      <c r="F16" s="14">
        <f t="shared" si="1"/>
        <v>0</v>
      </c>
      <c r="G16" s="272">
        <f t="shared" si="2"/>
        <v>0.0157868638538495</v>
      </c>
      <c r="H16" s="272">
        <f t="shared" si="3"/>
        <v>7.57769464984776</v>
      </c>
      <c r="I16" s="15">
        <f t="shared" si="4"/>
        <v>0</v>
      </c>
      <c r="J16" s="273" t="s">
        <v>39</v>
      </c>
      <c r="K16" s="15">
        <f t="shared" si="5"/>
        <v>8</v>
      </c>
      <c r="L16" s="273" t="s">
        <v>40</v>
      </c>
      <c r="M16" s="15">
        <v>1</v>
      </c>
      <c r="N16" s="273" t="s">
        <v>41</v>
      </c>
      <c r="O16" s="15">
        <f t="shared" si="6"/>
        <v>7.57769464984776</v>
      </c>
      <c r="P16" s="273" t="s">
        <v>42</v>
      </c>
    </row>
    <row r="17" spans="1:16" ht="38.25">
      <c r="A17" s="488"/>
      <c r="B17" s="280" t="s">
        <v>59</v>
      </c>
      <c r="C17" s="276">
        <v>380</v>
      </c>
      <c r="D17" s="277">
        <f>'Áreas Totais'!C13</f>
        <v>70.77329999999999</v>
      </c>
      <c r="E17" s="272">
        <f>(D17/C17)*(16/188.76)</f>
        <v>0.0157868638538495</v>
      </c>
      <c r="F17" s="14">
        <f t="shared" si="1"/>
        <v>0</v>
      </c>
      <c r="G17" s="272">
        <f t="shared" si="2"/>
        <v>0.0157868638538495</v>
      </c>
      <c r="H17" s="272">
        <f t="shared" si="3"/>
        <v>7.57769464984776</v>
      </c>
      <c r="I17" s="15">
        <f t="shared" si="4"/>
        <v>0</v>
      </c>
      <c r="J17" s="273" t="s">
        <v>39</v>
      </c>
      <c r="K17" s="15">
        <f t="shared" si="5"/>
        <v>8</v>
      </c>
      <c r="L17" s="273" t="s">
        <v>40</v>
      </c>
      <c r="M17" s="15">
        <v>1</v>
      </c>
      <c r="N17" s="273" t="s">
        <v>41</v>
      </c>
      <c r="O17" s="15">
        <f t="shared" si="6"/>
        <v>7.57769464984776</v>
      </c>
      <c r="P17" s="273" t="s">
        <v>42</v>
      </c>
    </row>
    <row r="18" spans="1:16" ht="38.25">
      <c r="A18" s="280" t="s">
        <v>60</v>
      </c>
      <c r="B18" s="280" t="s">
        <v>61</v>
      </c>
      <c r="C18" s="281">
        <v>160</v>
      </c>
      <c r="D18" s="277">
        <v>0</v>
      </c>
      <c r="E18" s="272">
        <f>(D18/C18)*(8/1132.6)</f>
        <v>0</v>
      </c>
      <c r="F18" s="14">
        <f t="shared" si="1"/>
        <v>0</v>
      </c>
      <c r="G18" s="272">
        <f t="shared" si="2"/>
        <v>0</v>
      </c>
      <c r="H18" s="272">
        <f t="shared" si="3"/>
        <v>0</v>
      </c>
      <c r="I18" s="15">
        <f t="shared" si="4"/>
        <v>0</v>
      </c>
      <c r="J18" s="273" t="s">
        <v>39</v>
      </c>
      <c r="K18" s="15">
        <f t="shared" si="5"/>
        <v>8</v>
      </c>
      <c r="L18" s="273" t="s">
        <v>40</v>
      </c>
      <c r="M18" s="15">
        <v>1</v>
      </c>
      <c r="N18" s="273" t="s">
        <v>41</v>
      </c>
      <c r="O18" s="15">
        <f t="shared" si="6"/>
        <v>0</v>
      </c>
      <c r="P18" s="273" t="s">
        <v>42</v>
      </c>
    </row>
    <row r="19" spans="1:16" ht="38.25">
      <c r="A19" s="280" t="s">
        <v>62</v>
      </c>
      <c r="B19" s="280" t="s">
        <v>63</v>
      </c>
      <c r="C19" s="282">
        <v>405</v>
      </c>
      <c r="D19" s="277">
        <v>0</v>
      </c>
      <c r="E19" s="272">
        <f>0</f>
        <v>0</v>
      </c>
      <c r="F19" s="14">
        <f t="shared" si="1"/>
        <v>0</v>
      </c>
      <c r="G19" s="272">
        <f t="shared" si="2"/>
        <v>0</v>
      </c>
      <c r="H19" s="272">
        <f t="shared" si="3"/>
        <v>0</v>
      </c>
      <c r="I19" s="15">
        <f t="shared" si="4"/>
        <v>0</v>
      </c>
      <c r="J19" s="273" t="s">
        <v>39</v>
      </c>
      <c r="K19" s="15">
        <f t="shared" si="5"/>
        <v>8</v>
      </c>
      <c r="L19" s="273" t="s">
        <v>40</v>
      </c>
      <c r="M19" s="15">
        <v>1</v>
      </c>
      <c r="N19" s="273" t="s">
        <v>41</v>
      </c>
      <c r="O19" s="15">
        <f t="shared" si="6"/>
        <v>0</v>
      </c>
      <c r="P19" s="273" t="s">
        <v>42</v>
      </c>
    </row>
    <row r="20" spans="1:16" ht="15.75">
      <c r="A20" s="278"/>
      <c r="B20" s="278"/>
      <c r="C20" s="283"/>
      <c r="D20" s="284">
        <f>SUM(D2:D19)</f>
        <v>803.3933599999998</v>
      </c>
      <c r="E20" s="285"/>
      <c r="F20" s="14"/>
      <c r="G20" s="285"/>
      <c r="H20" s="285"/>
      <c r="I20" s="286"/>
      <c r="J20" s="283"/>
      <c r="K20" s="286"/>
      <c r="L20" s="283"/>
      <c r="M20" s="286"/>
      <c r="N20" s="283"/>
      <c r="O20" s="286"/>
      <c r="P20" s="283"/>
    </row>
    <row r="21" spans="1:18" ht="52.5" customHeight="1">
      <c r="A21" s="490" t="s">
        <v>64</v>
      </c>
      <c r="B21" s="490"/>
      <c r="C21" s="490"/>
      <c r="D21" s="490"/>
      <c r="E21" s="272">
        <f>SUM(E2:E19)</f>
        <v>1.1061699691743656</v>
      </c>
      <c r="F21" s="1">
        <f>TRUNC(E21,0)</f>
        <v>1</v>
      </c>
      <c r="G21" s="272">
        <f>E21-F21</f>
        <v>0.10616996917436561</v>
      </c>
      <c r="H21" s="272">
        <f>G21*$C$23*60</f>
        <v>50.96158520369549</v>
      </c>
      <c r="I21" s="28">
        <f>F21</f>
        <v>1</v>
      </c>
      <c r="J21" s="273" t="s">
        <v>39</v>
      </c>
      <c r="K21" s="15">
        <f>$C$23</f>
        <v>8</v>
      </c>
      <c r="L21" s="273" t="s">
        <v>40</v>
      </c>
      <c r="M21" s="28">
        <v>1</v>
      </c>
      <c r="N21" s="273" t="s">
        <v>41</v>
      </c>
      <c r="O21" s="28">
        <f>H21</f>
        <v>50.96158520369549</v>
      </c>
      <c r="P21" s="273" t="s">
        <v>42</v>
      </c>
      <c r="Q21" s="287" t="s">
        <v>604</v>
      </c>
      <c r="R21" s="288"/>
    </row>
    <row r="22" spans="1:16" ht="15.75">
      <c r="A22" s="278"/>
      <c r="B22" s="278"/>
      <c r="C22" s="278"/>
      <c r="D22" s="289"/>
      <c r="F22" s="290"/>
      <c r="I22" s="35"/>
      <c r="J22" s="283"/>
      <c r="K22" s="286"/>
      <c r="L22" s="283"/>
      <c r="M22" s="286"/>
      <c r="N22" s="283"/>
      <c r="O22" s="35"/>
      <c r="P22" s="283"/>
    </row>
    <row r="23" spans="1:14" ht="20.25" customHeight="1">
      <c r="A23" s="491" t="s">
        <v>65</v>
      </c>
      <c r="B23" s="491"/>
      <c r="C23" s="291">
        <v>8</v>
      </c>
      <c r="D23" s="292" t="s">
        <v>66</v>
      </c>
      <c r="E23" s="492" t="s">
        <v>558</v>
      </c>
      <c r="F23" s="492"/>
      <c r="G23" s="492"/>
      <c r="H23" s="492"/>
      <c r="I23" s="492"/>
      <c r="J23" s="492"/>
      <c r="K23" s="492"/>
      <c r="L23" s="493">
        <f>F21+G21</f>
        <v>1.1061699691743656</v>
      </c>
      <c r="M23" s="493"/>
      <c r="N23" s="493"/>
    </row>
    <row r="24" spans="1:8" ht="15">
      <c r="A24" s="293"/>
      <c r="B24" s="293"/>
      <c r="C24" s="34"/>
      <c r="D24" s="34"/>
      <c r="E24" s="34"/>
      <c r="F24" s="35"/>
      <c r="G24" s="34"/>
      <c r="H24" s="34"/>
    </row>
    <row r="25" spans="1:16" ht="18.75" customHeight="1">
      <c r="A25" s="494" t="s">
        <v>559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</row>
    <row r="26" spans="1:16" s="35" customFormat="1" ht="18.75" customHeight="1">
      <c r="A26" s="494" t="s">
        <v>69</v>
      </c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</row>
    <row r="27" spans="1:19" s="35" customFormat="1" ht="35.25" customHeight="1">
      <c r="A27" s="495" t="s">
        <v>70</v>
      </c>
      <c r="B27" s="495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37"/>
      <c r="R27" s="37"/>
      <c r="S27" s="37"/>
    </row>
    <row r="28" spans="1:19" s="35" customFormat="1" ht="36" customHeight="1">
      <c r="A28" s="495" t="s">
        <v>71</v>
      </c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37"/>
      <c r="R28" s="37"/>
      <c r="S28" s="37"/>
    </row>
    <row r="29" spans="1:19" s="35" customFormat="1" ht="36" customHeight="1">
      <c r="A29" s="495" t="s">
        <v>72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37"/>
      <c r="R29" s="37"/>
      <c r="S29" s="37"/>
    </row>
    <row r="30" spans="1:19" s="35" customFormat="1" ht="18.75" customHeight="1">
      <c r="A30" s="495"/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37"/>
      <c r="R30" s="37"/>
      <c r="S30" s="37"/>
    </row>
    <row r="31" spans="1:19" s="35" customFormat="1" ht="18.75" customHeight="1">
      <c r="A31" s="498" t="s">
        <v>73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37"/>
      <c r="R31" s="37"/>
      <c r="S31" s="37"/>
    </row>
    <row r="32" spans="1:19" s="35" customFormat="1" ht="36" customHeight="1">
      <c r="A32" s="498" t="s">
        <v>74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37"/>
      <c r="R32" s="37"/>
      <c r="S32" s="37"/>
    </row>
    <row r="33" spans="1:19" s="35" customFormat="1" ht="18">
      <c r="A33" s="499" t="s">
        <v>560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37"/>
      <c r="R33" s="37"/>
      <c r="S33" s="37"/>
    </row>
    <row r="34" spans="1:19" s="35" customFormat="1" ht="18">
      <c r="A34" s="500" t="s">
        <v>75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37"/>
      <c r="R34" s="37"/>
      <c r="S34" s="37"/>
    </row>
    <row r="35" spans="1:19" s="35" customFormat="1" ht="36" customHeight="1">
      <c r="A35" s="501" t="s">
        <v>76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37"/>
      <c r="R35" s="37"/>
      <c r="S35" s="37"/>
    </row>
    <row r="36" spans="1:19" s="35" customFormat="1" ht="18">
      <c r="A36" s="37"/>
      <c r="B36" s="37"/>
      <c r="C36" s="37"/>
      <c r="D36" s="37"/>
      <c r="E36" s="38"/>
      <c r="F36" s="37"/>
      <c r="G36" s="38"/>
      <c r="H36" s="3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35" customFormat="1" ht="18">
      <c r="A37" s="37"/>
      <c r="B37" s="37"/>
      <c r="C37" s="37"/>
      <c r="D37" s="37"/>
      <c r="E37" s="38"/>
      <c r="F37" s="37"/>
      <c r="G37" s="38"/>
      <c r="H37" s="3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35" customFormat="1" ht="18.75" customHeight="1">
      <c r="A38" s="496" t="s">
        <v>77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</row>
    <row r="39" spans="1:19" s="35" customFormat="1" ht="18">
      <c r="A39" s="37"/>
      <c r="B39" s="37"/>
      <c r="C39" s="37"/>
      <c r="D39" s="37"/>
      <c r="E39" s="38"/>
      <c r="F39" s="37"/>
      <c r="G39" s="38"/>
      <c r="H39" s="38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s="35" customFormat="1" ht="36" customHeight="1">
      <c r="A40" s="496" t="s">
        <v>78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</row>
    <row r="41" spans="1:19" s="35" customFormat="1" ht="18">
      <c r="A41" s="37"/>
      <c r="B41" s="37"/>
      <c r="C41" s="37"/>
      <c r="D41" s="37"/>
      <c r="E41" s="38"/>
      <c r="F41" s="37"/>
      <c r="G41" s="38"/>
      <c r="H41" s="3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35" customFormat="1" ht="18.75" customHeight="1">
      <c r="A42" s="496" t="s">
        <v>79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</row>
    <row r="43" spans="1:19" s="35" customFormat="1" ht="18.75" customHeight="1">
      <c r="A43" s="496" t="s">
        <v>80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37"/>
      <c r="Q43" s="37"/>
      <c r="R43" s="37"/>
      <c r="S43" s="37"/>
    </row>
    <row r="44" spans="1:19" s="35" customFormat="1" ht="35.25" customHeight="1">
      <c r="A44" s="497" t="s">
        <v>81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37"/>
      <c r="R44" s="37"/>
      <c r="S44" s="37"/>
    </row>
  </sheetData>
  <sheetProtection/>
  <mergeCells count="24">
    <mergeCell ref="A40:S40"/>
    <mergeCell ref="A42:S42"/>
    <mergeCell ref="A43:O43"/>
    <mergeCell ref="A44:P44"/>
    <mergeCell ref="A31:P31"/>
    <mergeCell ref="A32:P32"/>
    <mergeCell ref="A33:P33"/>
    <mergeCell ref="A34:P34"/>
    <mergeCell ref="A35:P35"/>
    <mergeCell ref="A38:S38"/>
    <mergeCell ref="A25:P25"/>
    <mergeCell ref="A26:P26"/>
    <mergeCell ref="A27:P27"/>
    <mergeCell ref="A28:P28"/>
    <mergeCell ref="A29:P29"/>
    <mergeCell ref="A30:P30"/>
    <mergeCell ref="I1:P1"/>
    <mergeCell ref="A2:A8"/>
    <mergeCell ref="A9:A14"/>
    <mergeCell ref="A15:A17"/>
    <mergeCell ref="A21:D21"/>
    <mergeCell ref="A23:B23"/>
    <mergeCell ref="E23:K23"/>
    <mergeCell ref="L23:N2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6"/>
  <sheetViews>
    <sheetView zoomScalePageLayoutView="0" workbookViewId="0" topLeftCell="A322">
      <selection activeCell="F336" sqref="F336"/>
    </sheetView>
  </sheetViews>
  <sheetFormatPr defaultColWidth="11.421875" defaultRowHeight="12.75"/>
  <cols>
    <col min="1" max="1" width="13.140625" style="40" customWidth="1"/>
    <col min="2" max="2" width="11.00390625" style="40" customWidth="1"/>
    <col min="3" max="3" width="13.140625" style="40" customWidth="1"/>
    <col min="4" max="4" width="10.00390625" style="40" customWidth="1"/>
    <col min="5" max="5" width="12.28125" style="40" customWidth="1"/>
    <col min="6" max="6" width="11.140625" style="40" customWidth="1"/>
    <col min="7" max="7" width="9.7109375" style="40" customWidth="1"/>
    <col min="8" max="8" width="13.28125" style="40" customWidth="1"/>
    <col min="9" max="9" width="16.28125" style="41" customWidth="1"/>
  </cols>
  <sheetData>
    <row r="1" spans="1:9" ht="24" customHeight="1">
      <c r="A1" s="701" t="s">
        <v>82</v>
      </c>
      <c r="B1" s="701"/>
      <c r="C1" s="701"/>
      <c r="D1" s="701"/>
      <c r="E1" s="701"/>
      <c r="F1" s="701"/>
      <c r="G1" s="701"/>
      <c r="H1" s="701"/>
      <c r="I1" s="701"/>
    </row>
    <row r="2" spans="1:9" ht="60" customHeight="1">
      <c r="A2" s="702" t="s">
        <v>679</v>
      </c>
      <c r="B2" s="702"/>
      <c r="C2" s="702"/>
      <c r="D2" s="702"/>
      <c r="E2" s="702"/>
      <c r="F2" s="702"/>
      <c r="G2" s="702"/>
      <c r="H2" s="702"/>
      <c r="I2" s="702"/>
    </row>
    <row r="3" spans="1:9" ht="14.25" customHeight="1">
      <c r="A3" s="646" t="s">
        <v>83</v>
      </c>
      <c r="B3" s="646"/>
      <c r="C3" s="646"/>
      <c r="D3" s="646"/>
      <c r="E3" s="646"/>
      <c r="F3" s="703" t="s">
        <v>677</v>
      </c>
      <c r="G3" s="703"/>
      <c r="H3" s="703"/>
      <c r="I3" s="703"/>
    </row>
    <row r="4" spans="1:9" ht="14.25" customHeight="1">
      <c r="A4" s="646" t="s">
        <v>84</v>
      </c>
      <c r="B4" s="646"/>
      <c r="C4" s="646"/>
      <c r="D4" s="646"/>
      <c r="E4" s="646"/>
      <c r="F4" s="703" t="s">
        <v>680</v>
      </c>
      <c r="G4" s="703"/>
      <c r="H4" s="703"/>
      <c r="I4" s="703"/>
    </row>
    <row r="5" spans="1:9" ht="14.25" customHeight="1">
      <c r="A5" s="646" t="s">
        <v>602</v>
      </c>
      <c r="B5" s="646"/>
      <c r="C5" s="646"/>
      <c r="D5" s="646"/>
      <c r="E5" s="646"/>
      <c r="F5" s="646"/>
      <c r="G5" s="646"/>
      <c r="H5" s="646"/>
      <c r="I5" s="646"/>
    </row>
    <row r="6" spans="1:9" ht="15.75" customHeight="1">
      <c r="A6" s="643" t="s">
        <v>85</v>
      </c>
      <c r="B6" s="643"/>
      <c r="C6" s="643"/>
      <c r="D6" s="643"/>
      <c r="E6" s="643"/>
      <c r="F6" s="643"/>
      <c r="G6" s="643"/>
      <c r="H6" s="643"/>
      <c r="I6" s="643"/>
    </row>
    <row r="7" spans="1:9" ht="14.25" customHeight="1">
      <c r="A7" s="42" t="s">
        <v>86</v>
      </c>
      <c r="B7" s="542" t="s">
        <v>87</v>
      </c>
      <c r="C7" s="542"/>
      <c r="D7" s="542"/>
      <c r="E7" s="542"/>
      <c r="F7" s="542"/>
      <c r="G7" s="542"/>
      <c r="H7" s="700"/>
      <c r="I7" s="700"/>
    </row>
    <row r="8" spans="1:9" ht="14.25" customHeight="1">
      <c r="A8" s="42" t="s">
        <v>88</v>
      </c>
      <c r="B8" s="542" t="s">
        <v>89</v>
      </c>
      <c r="C8" s="542"/>
      <c r="D8" s="542"/>
      <c r="E8" s="542"/>
      <c r="F8" s="542"/>
      <c r="G8" s="542"/>
      <c r="H8" s="697" t="s">
        <v>616</v>
      </c>
      <c r="I8" s="697"/>
    </row>
    <row r="9" spans="1:9" ht="36" customHeight="1">
      <c r="A9" s="42" t="s">
        <v>90</v>
      </c>
      <c r="B9" s="542" t="s">
        <v>91</v>
      </c>
      <c r="C9" s="542"/>
      <c r="D9" s="542"/>
      <c r="E9" s="542"/>
      <c r="F9" s="542"/>
      <c r="G9" s="542"/>
      <c r="H9" s="697" t="s">
        <v>609</v>
      </c>
      <c r="I9" s="697"/>
    </row>
    <row r="10" spans="1:9" ht="14.25" customHeight="1">
      <c r="A10" s="42" t="s">
        <v>92</v>
      </c>
      <c r="B10" s="542" t="s">
        <v>93</v>
      </c>
      <c r="C10" s="542"/>
      <c r="D10" s="542"/>
      <c r="E10" s="542"/>
      <c r="F10" s="542"/>
      <c r="G10" s="542"/>
      <c r="H10" s="697">
        <v>12</v>
      </c>
      <c r="I10" s="697"/>
    </row>
    <row r="11" spans="1:9" ht="15.75" customHeight="1">
      <c r="A11" s="698" t="s">
        <v>94</v>
      </c>
      <c r="B11" s="698"/>
      <c r="C11" s="698"/>
      <c r="D11" s="698"/>
      <c r="E11" s="698"/>
      <c r="F11" s="698"/>
      <c r="G11" s="698"/>
      <c r="H11" s="698"/>
      <c r="I11" s="698"/>
    </row>
    <row r="12" spans="1:9" ht="47.25" customHeight="1">
      <c r="A12" s="563" t="s">
        <v>566</v>
      </c>
      <c r="B12" s="563"/>
      <c r="C12" s="563"/>
      <c r="D12" s="563"/>
      <c r="E12" s="563"/>
      <c r="F12" s="510" t="s">
        <v>567</v>
      </c>
      <c r="G12" s="510"/>
      <c r="H12" s="699" t="s">
        <v>96</v>
      </c>
      <c r="I12" s="699"/>
    </row>
    <row r="13" spans="1:9" ht="14.25" customHeight="1">
      <c r="A13" s="584" t="s">
        <v>97</v>
      </c>
      <c r="B13" s="584"/>
      <c r="C13" s="584"/>
      <c r="D13" s="584"/>
      <c r="E13" s="584"/>
      <c r="F13" s="485" t="s">
        <v>3</v>
      </c>
      <c r="G13" s="485"/>
      <c r="H13" s="696">
        <v>0</v>
      </c>
      <c r="I13" s="696"/>
    </row>
    <row r="14" spans="1:9" ht="14.25" customHeight="1">
      <c r="A14" s="584" t="s">
        <v>98</v>
      </c>
      <c r="B14" s="584"/>
      <c r="C14" s="584"/>
      <c r="D14" s="584"/>
      <c r="E14" s="584"/>
      <c r="F14" s="485" t="s">
        <v>3</v>
      </c>
      <c r="G14" s="485"/>
      <c r="H14" s="696">
        <f>'Áreas Totais'!D4</f>
        <v>1069.239</v>
      </c>
      <c r="I14" s="696"/>
    </row>
    <row r="15" spans="1:9" ht="14.25" customHeight="1">
      <c r="A15" s="584" t="s">
        <v>99</v>
      </c>
      <c r="B15" s="584"/>
      <c r="C15" s="584"/>
      <c r="D15" s="584"/>
      <c r="E15" s="584"/>
      <c r="F15" s="485" t="s">
        <v>3</v>
      </c>
      <c r="G15" s="485"/>
      <c r="H15" s="696">
        <f>'Áreas Totais'!D6</f>
        <v>330.4189999999999</v>
      </c>
      <c r="I15" s="696"/>
    </row>
    <row r="16" spans="1:9" ht="14.25" customHeight="1">
      <c r="A16" s="584" t="s">
        <v>100</v>
      </c>
      <c r="B16" s="584"/>
      <c r="C16" s="584"/>
      <c r="D16" s="584"/>
      <c r="E16" s="584"/>
      <c r="F16" s="485" t="s">
        <v>3</v>
      </c>
      <c r="G16" s="485"/>
      <c r="H16" s="696">
        <f>'Áreas Totais'!D5</f>
        <v>10.779720000000001</v>
      </c>
      <c r="I16" s="696"/>
    </row>
    <row r="17" spans="1:9" ht="14.25" customHeight="1">
      <c r="A17" s="584" t="s">
        <v>101</v>
      </c>
      <c r="B17" s="584"/>
      <c r="C17" s="584"/>
      <c r="D17" s="584"/>
      <c r="E17" s="584"/>
      <c r="F17" s="485" t="s">
        <v>3</v>
      </c>
      <c r="G17" s="485"/>
      <c r="H17" s="696">
        <v>0</v>
      </c>
      <c r="I17" s="696"/>
    </row>
    <row r="18" spans="1:9" ht="14.25" customHeight="1">
      <c r="A18" s="584" t="s">
        <v>102</v>
      </c>
      <c r="B18" s="584" t="s">
        <v>103</v>
      </c>
      <c r="C18" s="584" t="s">
        <v>104</v>
      </c>
      <c r="D18" s="584" t="s">
        <v>105</v>
      </c>
      <c r="E18" s="584" t="s">
        <v>106</v>
      </c>
      <c r="F18" s="485" t="s">
        <v>3</v>
      </c>
      <c r="G18" s="485"/>
      <c r="H18" s="696">
        <f>'Áreas Totais'!D8</f>
        <v>571.2857999999999</v>
      </c>
      <c r="I18" s="696"/>
    </row>
    <row r="19" spans="1:9" ht="24.75" customHeight="1">
      <c r="A19" s="693" t="s">
        <v>107</v>
      </c>
      <c r="B19" s="693"/>
      <c r="C19" s="693"/>
      <c r="D19" s="693"/>
      <c r="E19" s="693"/>
      <c r="F19" s="694" t="s">
        <v>3</v>
      </c>
      <c r="G19" s="694"/>
      <c r="H19" s="695">
        <v>0</v>
      </c>
      <c r="I19" s="695"/>
    </row>
    <row r="20" spans="1:9" ht="14.25" customHeight="1">
      <c r="A20" s="676" t="s">
        <v>108</v>
      </c>
      <c r="B20" s="676"/>
      <c r="C20" s="676"/>
      <c r="D20" s="676"/>
      <c r="E20" s="676"/>
      <c r="F20" s="676"/>
      <c r="G20" s="676"/>
      <c r="H20" s="532">
        <f>ROUND(H13+H14+H15+H16+H17+H18+H19,2)</f>
        <v>1981.72</v>
      </c>
      <c r="I20" s="532"/>
    </row>
    <row r="21" spans="1:9" ht="14.25" customHeight="1">
      <c r="A21" s="580"/>
      <c r="B21" s="580"/>
      <c r="C21" s="580"/>
      <c r="D21" s="580"/>
      <c r="E21" s="580"/>
      <c r="F21" s="580"/>
      <c r="G21" s="580"/>
      <c r="H21" s="580"/>
      <c r="I21" s="580"/>
    </row>
    <row r="22" spans="1:9" ht="24.75" customHeight="1">
      <c r="A22" s="584" t="s">
        <v>109</v>
      </c>
      <c r="B22" s="584"/>
      <c r="C22" s="584"/>
      <c r="D22" s="584"/>
      <c r="E22" s="584"/>
      <c r="F22" s="485" t="s">
        <v>3</v>
      </c>
      <c r="G22" s="485"/>
      <c r="H22" s="529">
        <f>'Áreas Totais'!D9</f>
        <v>154.242</v>
      </c>
      <c r="I22" s="529"/>
    </row>
    <row r="23" spans="1:9" ht="14.25" customHeight="1">
      <c r="A23" s="584" t="s">
        <v>110</v>
      </c>
      <c r="B23" s="584"/>
      <c r="C23" s="584"/>
      <c r="D23" s="584"/>
      <c r="E23" s="584"/>
      <c r="F23" s="484" t="s">
        <v>3</v>
      </c>
      <c r="G23" s="484"/>
      <c r="H23" s="529">
        <v>0</v>
      </c>
      <c r="I23" s="529"/>
    </row>
    <row r="24" spans="1:9" ht="14.25" customHeight="1">
      <c r="A24" s="584" t="s">
        <v>111</v>
      </c>
      <c r="B24" s="584"/>
      <c r="C24" s="584"/>
      <c r="D24" s="584"/>
      <c r="E24" s="584"/>
      <c r="F24" s="485" t="s">
        <v>3</v>
      </c>
      <c r="G24" s="485"/>
      <c r="H24" s="529">
        <v>0</v>
      </c>
      <c r="I24" s="529"/>
    </row>
    <row r="25" spans="1:9" ht="14.25" customHeight="1">
      <c r="A25" s="584" t="s">
        <v>112</v>
      </c>
      <c r="B25" s="584"/>
      <c r="C25" s="584"/>
      <c r="D25" s="584"/>
      <c r="E25" s="584"/>
      <c r="F25" s="484" t="s">
        <v>3</v>
      </c>
      <c r="G25" s="484"/>
      <c r="H25" s="529">
        <f>'Áreas Totais'!D11</f>
        <v>0</v>
      </c>
      <c r="I25" s="529"/>
    </row>
    <row r="26" spans="1:9" ht="14.25" customHeight="1">
      <c r="A26" s="584" t="s">
        <v>113</v>
      </c>
      <c r="B26" s="584"/>
      <c r="C26" s="584"/>
      <c r="D26" s="584"/>
      <c r="E26" s="584"/>
      <c r="F26" s="484" t="s">
        <v>3</v>
      </c>
      <c r="G26" s="484"/>
      <c r="H26" s="529">
        <v>0</v>
      </c>
      <c r="I26" s="529"/>
    </row>
    <row r="27" spans="1:9" ht="24.75" customHeight="1">
      <c r="A27" s="584" t="s">
        <v>114</v>
      </c>
      <c r="B27" s="584"/>
      <c r="C27" s="584"/>
      <c r="D27" s="584"/>
      <c r="E27" s="584"/>
      <c r="F27" s="485" t="s">
        <v>3</v>
      </c>
      <c r="G27" s="485"/>
      <c r="H27" s="529">
        <f>'Áreas Totais'!D10</f>
        <v>30.86972</v>
      </c>
      <c r="I27" s="529"/>
    </row>
    <row r="28" spans="1:9" ht="14.25" customHeight="1">
      <c r="A28" s="676" t="s">
        <v>115</v>
      </c>
      <c r="B28" s="676"/>
      <c r="C28" s="676"/>
      <c r="D28" s="676"/>
      <c r="E28" s="676"/>
      <c r="F28" s="676"/>
      <c r="G28" s="676"/>
      <c r="H28" s="532">
        <f>ROUND(H22+H23+H24+H25+H26+H27,2)</f>
        <v>185.11</v>
      </c>
      <c r="I28" s="532"/>
    </row>
    <row r="29" spans="1:9" ht="14.25" customHeight="1">
      <c r="A29" s="580"/>
      <c r="B29" s="580"/>
      <c r="C29" s="580"/>
      <c r="D29" s="580"/>
      <c r="E29" s="580"/>
      <c r="F29" s="580"/>
      <c r="G29" s="580"/>
      <c r="H29" s="580"/>
      <c r="I29" s="580"/>
    </row>
    <row r="30" spans="1:9" ht="24.75" customHeight="1">
      <c r="A30" s="584" t="s">
        <v>116</v>
      </c>
      <c r="B30" s="584"/>
      <c r="C30" s="584"/>
      <c r="D30" s="584"/>
      <c r="E30" s="584"/>
      <c r="F30" s="485" t="s">
        <v>3</v>
      </c>
      <c r="G30" s="485"/>
      <c r="H30" s="529">
        <v>0</v>
      </c>
      <c r="I30" s="529"/>
    </row>
    <row r="31" spans="1:9" ht="24.75" customHeight="1">
      <c r="A31" s="584" t="s">
        <v>117</v>
      </c>
      <c r="B31" s="584"/>
      <c r="C31" s="584"/>
      <c r="D31" s="584"/>
      <c r="E31" s="584"/>
      <c r="F31" s="485" t="s">
        <v>3</v>
      </c>
      <c r="G31" s="485"/>
      <c r="H31" s="529">
        <f>'Áreas Totais'!D12</f>
        <v>322.4117</v>
      </c>
      <c r="I31" s="529"/>
    </row>
    <row r="32" spans="1:9" ht="14.25" customHeight="1">
      <c r="A32" s="584" t="s">
        <v>118</v>
      </c>
      <c r="B32" s="584"/>
      <c r="C32" s="584"/>
      <c r="D32" s="584"/>
      <c r="E32" s="584"/>
      <c r="F32" s="485" t="s">
        <v>3</v>
      </c>
      <c r="G32" s="485"/>
      <c r="H32" s="529">
        <f>'Áreas Totais'!D13</f>
        <v>322.4117</v>
      </c>
      <c r="I32" s="529"/>
    </row>
    <row r="33" spans="1:9" ht="14.25" customHeight="1">
      <c r="A33" s="688" t="s">
        <v>119</v>
      </c>
      <c r="B33" s="688"/>
      <c r="C33" s="688"/>
      <c r="D33" s="688"/>
      <c r="E33" s="688"/>
      <c r="F33" s="688"/>
      <c r="G33" s="688"/>
      <c r="H33" s="532">
        <f>ROUND(H30+H31+H32,2)</f>
        <v>644.82</v>
      </c>
      <c r="I33" s="532"/>
    </row>
    <row r="34" spans="1:9" ht="14.25" customHeight="1">
      <c r="A34" s="683"/>
      <c r="B34" s="683"/>
      <c r="C34" s="683"/>
      <c r="D34" s="683"/>
      <c r="E34" s="683"/>
      <c r="F34" s="683"/>
      <c r="G34" s="683"/>
      <c r="H34" s="683"/>
      <c r="I34" s="683"/>
    </row>
    <row r="35" spans="1:9" ht="14.25" customHeight="1">
      <c r="A35" s="691" t="s">
        <v>120</v>
      </c>
      <c r="B35" s="691"/>
      <c r="C35" s="691"/>
      <c r="D35" s="691"/>
      <c r="E35" s="691"/>
      <c r="F35" s="485" t="s">
        <v>3</v>
      </c>
      <c r="G35" s="485"/>
      <c r="H35" s="529">
        <v>0</v>
      </c>
      <c r="I35" s="529"/>
    </row>
    <row r="36" spans="1:9" ht="14.25" customHeight="1">
      <c r="A36" s="690" t="s">
        <v>121</v>
      </c>
      <c r="B36" s="690"/>
      <c r="C36" s="690"/>
      <c r="D36" s="690"/>
      <c r="E36" s="690"/>
      <c r="F36" s="690"/>
      <c r="G36" s="690"/>
      <c r="H36" s="532">
        <f>H35</f>
        <v>0</v>
      </c>
      <c r="I36" s="532"/>
    </row>
    <row r="37" spans="1:9" ht="14.25" customHeight="1">
      <c r="A37" s="677"/>
      <c r="B37" s="677"/>
      <c r="C37" s="677"/>
      <c r="D37" s="677"/>
      <c r="E37" s="677"/>
      <c r="F37" s="677"/>
      <c r="G37" s="677"/>
      <c r="H37" s="677"/>
      <c r="I37" s="677"/>
    </row>
    <row r="38" spans="1:9" ht="14.25" customHeight="1">
      <c r="A38" s="691" t="s">
        <v>122</v>
      </c>
      <c r="B38" s="691"/>
      <c r="C38" s="691"/>
      <c r="D38" s="691"/>
      <c r="E38" s="691"/>
      <c r="F38" s="484" t="s">
        <v>3</v>
      </c>
      <c r="G38" s="484"/>
      <c r="H38" s="692">
        <v>0</v>
      </c>
      <c r="I38" s="692"/>
    </row>
    <row r="39" spans="1:9" ht="14.25" customHeight="1">
      <c r="A39" s="512" t="s">
        <v>123</v>
      </c>
      <c r="B39" s="512"/>
      <c r="C39" s="512"/>
      <c r="D39" s="512"/>
      <c r="E39" s="512"/>
      <c r="F39" s="512"/>
      <c r="G39" s="512"/>
      <c r="H39" s="685">
        <v>0</v>
      </c>
      <c r="I39" s="685"/>
    </row>
    <row r="40" spans="1:9" ht="12.75">
      <c r="A40" s="46"/>
      <c r="B40" s="47"/>
      <c r="C40" s="47"/>
      <c r="D40" s="47"/>
      <c r="E40" s="47"/>
      <c r="F40" s="47"/>
      <c r="G40" s="47"/>
      <c r="H40" s="48"/>
      <c r="I40" s="49"/>
    </row>
    <row r="41" spans="1:9" ht="14.25" customHeight="1">
      <c r="A41" s="686" t="s">
        <v>124</v>
      </c>
      <c r="B41" s="686"/>
      <c r="C41" s="686"/>
      <c r="D41" s="686"/>
      <c r="E41" s="686"/>
      <c r="F41" s="484" t="s">
        <v>3</v>
      </c>
      <c r="G41" s="484"/>
      <c r="H41" s="687">
        <v>0</v>
      </c>
      <c r="I41" s="687"/>
    </row>
    <row r="42" spans="1:9" ht="14.25" customHeight="1">
      <c r="A42" s="688" t="s">
        <v>125</v>
      </c>
      <c r="B42" s="688"/>
      <c r="C42" s="688"/>
      <c r="D42" s="688"/>
      <c r="E42" s="688"/>
      <c r="F42" s="688"/>
      <c r="G42" s="688"/>
      <c r="H42" s="689">
        <v>0</v>
      </c>
      <c r="I42" s="689"/>
    </row>
    <row r="43" spans="1:9" ht="14.25" customHeight="1">
      <c r="A43" s="683"/>
      <c r="B43" s="683"/>
      <c r="C43" s="683"/>
      <c r="D43" s="683"/>
      <c r="E43" s="683"/>
      <c r="F43" s="683"/>
      <c r="G43" s="683"/>
      <c r="H43" s="683"/>
      <c r="I43" s="683"/>
    </row>
    <row r="44" spans="1:9" ht="14.25" customHeight="1">
      <c r="A44" s="626" t="s">
        <v>126</v>
      </c>
      <c r="B44" s="626"/>
      <c r="C44" s="626"/>
      <c r="D44" s="626"/>
      <c r="E44" s="626"/>
      <c r="F44" s="626"/>
      <c r="G44" s="626"/>
      <c r="H44" s="684">
        <f>ROUND(H20+H28+H33+H36+H39,2)</f>
        <v>2811.65</v>
      </c>
      <c r="I44" s="684"/>
    </row>
    <row r="45" spans="1:9" ht="14.25" customHeight="1">
      <c r="A45" s="661"/>
      <c r="B45" s="661"/>
      <c r="C45" s="661"/>
      <c r="D45" s="661"/>
      <c r="E45" s="661"/>
      <c r="F45" s="661"/>
      <c r="G45" s="661"/>
      <c r="H45" s="661"/>
      <c r="I45" s="661"/>
    </row>
    <row r="46" spans="1:9" ht="44.25" customHeight="1">
      <c r="A46" s="651" t="s">
        <v>127</v>
      </c>
      <c r="B46" s="651"/>
      <c r="C46" s="651"/>
      <c r="D46" s="651"/>
      <c r="E46" s="651"/>
      <c r="F46" s="651"/>
      <c r="G46" s="651"/>
      <c r="H46" s="651"/>
      <c r="I46" s="651"/>
    </row>
    <row r="47" spans="1:9" ht="14.25" customHeight="1">
      <c r="A47" s="661"/>
      <c r="B47" s="661"/>
      <c r="C47" s="661"/>
      <c r="D47" s="661"/>
      <c r="E47" s="661"/>
      <c r="F47" s="661"/>
      <c r="G47" s="661"/>
      <c r="H47" s="661"/>
      <c r="I47" s="661"/>
    </row>
    <row r="48" spans="1:9" ht="44.25" customHeight="1">
      <c r="A48" s="680" t="s">
        <v>585</v>
      </c>
      <c r="B48" s="680"/>
      <c r="C48" s="680"/>
      <c r="D48" s="680"/>
      <c r="E48" s="680"/>
      <c r="F48" s="680"/>
      <c r="G48" s="680"/>
      <c r="H48" s="680"/>
      <c r="I48" s="680"/>
    </row>
    <row r="49" spans="1:9" ht="20.25" customHeight="1">
      <c r="A49" s="681"/>
      <c r="B49" s="681"/>
      <c r="C49" s="681"/>
      <c r="D49" s="681"/>
      <c r="E49" s="681"/>
      <c r="F49" s="681"/>
      <c r="G49" s="681"/>
      <c r="H49" s="681"/>
      <c r="I49" s="681"/>
    </row>
    <row r="50" spans="1:9" ht="15.75" customHeight="1">
      <c r="A50" s="625" t="s">
        <v>128</v>
      </c>
      <c r="B50" s="625"/>
      <c r="C50" s="625"/>
      <c r="D50" s="625"/>
      <c r="E50" s="625"/>
      <c r="F50" s="625"/>
      <c r="G50" s="625"/>
      <c r="H50" s="625"/>
      <c r="I50" s="625"/>
    </row>
    <row r="51" spans="1:9" ht="15.75" customHeight="1">
      <c r="A51" s="42">
        <v>1</v>
      </c>
      <c r="B51" s="542" t="s">
        <v>129</v>
      </c>
      <c r="C51" s="542"/>
      <c r="D51" s="542"/>
      <c r="E51" s="542"/>
      <c r="F51" s="542"/>
      <c r="G51" s="542"/>
      <c r="H51" s="678" t="s">
        <v>130</v>
      </c>
      <c r="I51" s="678"/>
    </row>
    <row r="52" spans="1:9" ht="15.75" customHeight="1">
      <c r="A52" s="42">
        <v>2</v>
      </c>
      <c r="B52" s="542" t="s">
        <v>131</v>
      </c>
      <c r="C52" s="542"/>
      <c r="D52" s="542"/>
      <c r="E52" s="542"/>
      <c r="F52" s="542"/>
      <c r="G52" s="542"/>
      <c r="H52" s="682">
        <v>5143</v>
      </c>
      <c r="I52" s="682"/>
    </row>
    <row r="53" spans="1:9" ht="15.75" customHeight="1">
      <c r="A53" s="42">
        <v>3</v>
      </c>
      <c r="B53" s="542" t="s">
        <v>132</v>
      </c>
      <c r="C53" s="542"/>
      <c r="D53" s="542"/>
      <c r="E53" s="542"/>
      <c r="F53" s="542"/>
      <c r="G53" s="542"/>
      <c r="H53" s="678">
        <f>Preenchimento!B75</f>
        <v>1184.93</v>
      </c>
      <c r="I53" s="678"/>
    </row>
    <row r="54" spans="1:9" ht="15.75" customHeight="1">
      <c r="A54" s="42">
        <v>4</v>
      </c>
      <c r="B54" s="542" t="s">
        <v>133</v>
      </c>
      <c r="C54" s="542"/>
      <c r="D54" s="542"/>
      <c r="E54" s="542"/>
      <c r="F54" s="542"/>
      <c r="G54" s="542"/>
      <c r="H54" s="679" t="s">
        <v>134</v>
      </c>
      <c r="I54" s="679"/>
    </row>
    <row r="55" spans="1:9" ht="15.75" customHeight="1">
      <c r="A55" s="42">
        <v>5</v>
      </c>
      <c r="B55" s="542" t="s">
        <v>135</v>
      </c>
      <c r="C55" s="542"/>
      <c r="D55" s="542"/>
      <c r="E55" s="542"/>
      <c r="F55" s="542"/>
      <c r="G55" s="542"/>
      <c r="H55" s="679" t="s">
        <v>617</v>
      </c>
      <c r="I55" s="679"/>
    </row>
    <row r="56" spans="1:9" ht="14.25" customHeight="1">
      <c r="A56" s="677"/>
      <c r="B56" s="677"/>
      <c r="C56" s="677"/>
      <c r="D56" s="677"/>
      <c r="E56" s="677"/>
      <c r="F56" s="677"/>
      <c r="G56" s="677"/>
      <c r="H56" s="677"/>
      <c r="I56" s="677"/>
    </row>
    <row r="57" spans="1:9" ht="23.25" customHeight="1">
      <c r="A57" s="546" t="s">
        <v>136</v>
      </c>
      <c r="B57" s="546"/>
      <c r="C57" s="546"/>
      <c r="D57" s="546"/>
      <c r="E57" s="546"/>
      <c r="F57" s="546"/>
      <c r="G57" s="546"/>
      <c r="H57" s="546"/>
      <c r="I57" s="546"/>
    </row>
    <row r="58" spans="1:9" ht="14.25" customHeight="1">
      <c r="A58" s="573"/>
      <c r="B58" s="573"/>
      <c r="C58" s="573"/>
      <c r="D58" s="573"/>
      <c r="E58" s="573"/>
      <c r="F58" s="573"/>
      <c r="G58" s="573"/>
      <c r="H58" s="573"/>
      <c r="I58" s="573"/>
    </row>
    <row r="59" spans="1:9" ht="16.5" customHeight="1">
      <c r="A59" s="642" t="s">
        <v>137</v>
      </c>
      <c r="B59" s="642"/>
      <c r="C59" s="642"/>
      <c r="D59" s="642"/>
      <c r="E59" s="642"/>
      <c r="F59" s="642"/>
      <c r="G59" s="642"/>
      <c r="H59" s="642"/>
      <c r="I59" s="642"/>
    </row>
    <row r="60" spans="1:9" ht="27.75" customHeight="1">
      <c r="A60" s="50">
        <v>1</v>
      </c>
      <c r="B60" s="643" t="s">
        <v>138</v>
      </c>
      <c r="C60" s="643"/>
      <c r="D60" s="643"/>
      <c r="E60" s="643"/>
      <c r="F60" s="643"/>
      <c r="G60" s="643"/>
      <c r="H60" s="50" t="s">
        <v>139</v>
      </c>
      <c r="I60" s="50" t="s">
        <v>140</v>
      </c>
    </row>
    <row r="61" spans="1:9" ht="26.25" customHeight="1">
      <c r="A61" s="42" t="s">
        <v>86</v>
      </c>
      <c r="B61" s="542" t="s">
        <v>141</v>
      </c>
      <c r="C61" s="542"/>
      <c r="D61" s="542"/>
      <c r="E61" s="542"/>
      <c r="F61" s="542"/>
      <c r="G61" s="542"/>
      <c r="H61" s="542"/>
      <c r="I61" s="52">
        <f>H53</f>
        <v>1184.93</v>
      </c>
    </row>
    <row r="62" spans="1:9" ht="14.25" customHeight="1">
      <c r="A62" s="42" t="s">
        <v>88</v>
      </c>
      <c r="B62" s="674" t="s">
        <v>142</v>
      </c>
      <c r="C62" s="674"/>
      <c r="D62" s="674"/>
      <c r="E62" s="674"/>
      <c r="F62" s="674"/>
      <c r="G62" s="674"/>
      <c r="H62" s="53"/>
      <c r="I62" s="52"/>
    </row>
    <row r="63" spans="1:9" ht="12.75">
      <c r="A63" s="42" t="s">
        <v>90</v>
      </c>
      <c r="B63" s="675" t="s">
        <v>608</v>
      </c>
      <c r="C63" s="675"/>
      <c r="D63" s="675"/>
      <c r="E63" s="675"/>
      <c r="F63" s="675"/>
      <c r="G63" s="675"/>
      <c r="H63" s="54">
        <v>0.2</v>
      </c>
      <c r="I63" s="52">
        <f>ROUND(H63*I61,2)</f>
        <v>236.99</v>
      </c>
    </row>
    <row r="64" spans="1:9" ht="14.25" customHeight="1">
      <c r="A64" s="42" t="s">
        <v>92</v>
      </c>
      <c r="B64" s="542" t="s">
        <v>143</v>
      </c>
      <c r="C64" s="542"/>
      <c r="D64" s="542"/>
      <c r="E64" s="542"/>
      <c r="F64" s="542"/>
      <c r="G64" s="542"/>
      <c r="H64" s="542"/>
      <c r="I64" s="52"/>
    </row>
    <row r="65" spans="1:9" ht="14.25" customHeight="1">
      <c r="A65" s="42" t="s">
        <v>144</v>
      </c>
      <c r="B65" s="542" t="s">
        <v>145</v>
      </c>
      <c r="C65" s="542"/>
      <c r="D65" s="542"/>
      <c r="E65" s="542"/>
      <c r="F65" s="542"/>
      <c r="G65" s="542"/>
      <c r="H65" s="542"/>
      <c r="I65" s="55"/>
    </row>
    <row r="66" spans="1:9" ht="14.25" customHeight="1">
      <c r="A66" s="42" t="s">
        <v>146</v>
      </c>
      <c r="B66" s="542" t="s">
        <v>147</v>
      </c>
      <c r="C66" s="542"/>
      <c r="D66" s="542"/>
      <c r="E66" s="542"/>
      <c r="F66" s="542"/>
      <c r="G66" s="542"/>
      <c r="H66" s="542"/>
      <c r="I66" s="52"/>
    </row>
    <row r="67" spans="1:9" ht="24.75" customHeight="1">
      <c r="A67" s="676" t="s">
        <v>568</v>
      </c>
      <c r="B67" s="676"/>
      <c r="C67" s="676"/>
      <c r="D67" s="676"/>
      <c r="E67" s="676"/>
      <c r="F67" s="676"/>
      <c r="G67" s="676"/>
      <c r="H67" s="676"/>
      <c r="I67" s="56">
        <f>SUM(I61:I66)</f>
        <v>1421.92</v>
      </c>
    </row>
    <row r="68" spans="1:9" ht="14.25" customHeight="1">
      <c r="A68" s="545"/>
      <c r="B68" s="545"/>
      <c r="C68" s="545"/>
      <c r="D68" s="545"/>
      <c r="E68" s="545"/>
      <c r="F68" s="545"/>
      <c r="G68" s="545"/>
      <c r="H68" s="545"/>
      <c r="I68" s="545"/>
    </row>
    <row r="69" spans="1:11" ht="14.25" customHeight="1">
      <c r="A69" s="670" t="s">
        <v>149</v>
      </c>
      <c r="B69" s="670"/>
      <c r="C69" s="670"/>
      <c r="D69" s="670"/>
      <c r="E69" s="670"/>
      <c r="F69" s="670"/>
      <c r="G69" s="670"/>
      <c r="H69" s="670"/>
      <c r="I69" s="670"/>
      <c r="K69" s="375"/>
    </row>
    <row r="70" spans="1:9" ht="14.25" customHeight="1">
      <c r="A70" s="671"/>
      <c r="B70" s="671"/>
      <c r="C70" s="671"/>
      <c r="D70" s="671"/>
      <c r="E70" s="671"/>
      <c r="F70" s="671"/>
      <c r="G70" s="671"/>
      <c r="H70" s="671"/>
      <c r="I70" s="671"/>
    </row>
    <row r="71" spans="1:9" ht="16.5" customHeight="1">
      <c r="A71" s="636" t="s">
        <v>150</v>
      </c>
      <c r="B71" s="636"/>
      <c r="C71" s="636"/>
      <c r="D71" s="636"/>
      <c r="E71" s="636"/>
      <c r="F71" s="636"/>
      <c r="G71" s="636"/>
      <c r="H71" s="636"/>
      <c r="I71" s="636"/>
    </row>
    <row r="72" spans="1:9" ht="15.75" customHeight="1">
      <c r="A72" s="672" t="s">
        <v>682</v>
      </c>
      <c r="B72" s="672"/>
      <c r="C72" s="672"/>
      <c r="D72" s="672"/>
      <c r="E72" s="672"/>
      <c r="F72" s="672"/>
      <c r="G72" s="672"/>
      <c r="H72" s="672"/>
      <c r="I72" s="672"/>
    </row>
    <row r="73" spans="1:9" ht="15.75" customHeight="1">
      <c r="A73" s="57" t="s">
        <v>151</v>
      </c>
      <c r="B73" s="673" t="s">
        <v>683</v>
      </c>
      <c r="C73" s="673"/>
      <c r="D73" s="673"/>
      <c r="E73" s="673"/>
      <c r="F73" s="673"/>
      <c r="G73" s="673"/>
      <c r="H73" s="673"/>
      <c r="I73" s="43" t="s">
        <v>152</v>
      </c>
    </row>
    <row r="74" spans="1:9" ht="14.25" customHeight="1">
      <c r="A74" s="58" t="s">
        <v>86</v>
      </c>
      <c r="B74" s="640" t="s">
        <v>153</v>
      </c>
      <c r="C74" s="640"/>
      <c r="D74" s="640"/>
      <c r="E74" s="640"/>
      <c r="F74" s="640"/>
      <c r="G74" s="640"/>
      <c r="H74" s="640"/>
      <c r="I74" s="59">
        <f>ROUND($I$67/12,2)</f>
        <v>118.49</v>
      </c>
    </row>
    <row r="75" spans="1:9" ht="15" customHeight="1">
      <c r="A75" s="58" t="s">
        <v>88</v>
      </c>
      <c r="B75" s="640" t="s">
        <v>684</v>
      </c>
      <c r="C75" s="640"/>
      <c r="D75" s="640"/>
      <c r="E75" s="640"/>
      <c r="F75" s="640"/>
      <c r="G75" s="640"/>
      <c r="H75" s="640"/>
      <c r="I75" s="59">
        <f>ROUND(($I$67/3)/12,2)</f>
        <v>39.5</v>
      </c>
    </row>
    <row r="76" spans="1:9" ht="14.25" customHeight="1">
      <c r="A76" s="666" t="s">
        <v>28</v>
      </c>
      <c r="B76" s="666"/>
      <c r="C76" s="666"/>
      <c r="D76" s="666"/>
      <c r="E76" s="666"/>
      <c r="F76" s="666"/>
      <c r="G76" s="666"/>
      <c r="H76" s="666"/>
      <c r="I76" s="60">
        <f>SUM(I74+I75)</f>
        <v>157.99</v>
      </c>
    </row>
    <row r="77" spans="1:9" ht="16.5" customHeight="1">
      <c r="A77" s="667"/>
      <c r="B77" s="667"/>
      <c r="C77" s="667"/>
      <c r="D77" s="667"/>
      <c r="E77" s="667"/>
      <c r="F77" s="667"/>
      <c r="G77" s="667"/>
      <c r="H77" s="667"/>
      <c r="I77" s="667"/>
    </row>
    <row r="78" spans="1:9" ht="87" customHeight="1">
      <c r="A78" s="651" t="s">
        <v>693</v>
      </c>
      <c r="B78" s="668"/>
      <c r="C78" s="668"/>
      <c r="D78" s="668"/>
      <c r="E78" s="668"/>
      <c r="F78" s="668"/>
      <c r="G78" s="668"/>
      <c r="H78" s="668"/>
      <c r="I78" s="668"/>
    </row>
    <row r="79" spans="1:9" ht="14.25" customHeight="1">
      <c r="A79" s="669"/>
      <c r="B79" s="669"/>
      <c r="C79" s="669"/>
      <c r="D79" s="669"/>
      <c r="E79" s="669"/>
      <c r="F79" s="669"/>
      <c r="G79" s="669"/>
      <c r="H79" s="669"/>
      <c r="I79" s="669"/>
    </row>
    <row r="80" spans="1:9" ht="27.75" customHeight="1">
      <c r="A80" s="652" t="s">
        <v>154</v>
      </c>
      <c r="B80" s="652"/>
      <c r="C80" s="652"/>
      <c r="D80" s="652"/>
      <c r="E80" s="652"/>
      <c r="F80" s="652"/>
      <c r="G80" s="652"/>
      <c r="H80" s="652"/>
      <c r="I80" s="652"/>
    </row>
    <row r="81" spans="1:9" ht="27.75" customHeight="1">
      <c r="A81" s="61" t="s">
        <v>155</v>
      </c>
      <c r="B81" s="643" t="s">
        <v>156</v>
      </c>
      <c r="C81" s="643"/>
      <c r="D81" s="643"/>
      <c r="E81" s="643"/>
      <c r="F81" s="643"/>
      <c r="G81" s="643"/>
      <c r="H81" s="51" t="s">
        <v>157</v>
      </c>
      <c r="I81" s="51" t="s">
        <v>158</v>
      </c>
    </row>
    <row r="82" spans="1:9" ht="14.25" customHeight="1">
      <c r="A82" s="62" t="s">
        <v>86</v>
      </c>
      <c r="B82" s="646" t="s">
        <v>159</v>
      </c>
      <c r="C82" s="646"/>
      <c r="D82" s="646"/>
      <c r="E82" s="646"/>
      <c r="F82" s="646"/>
      <c r="G82" s="646"/>
      <c r="H82" s="63">
        <v>0.2</v>
      </c>
      <c r="I82" s="64">
        <f aca="true" t="shared" si="0" ref="I82:I89">ROUND(($I$67+$I$76)*H82,2)</f>
        <v>315.98</v>
      </c>
    </row>
    <row r="83" spans="1:9" ht="14.25" customHeight="1">
      <c r="A83" s="62" t="s">
        <v>88</v>
      </c>
      <c r="B83" s="542" t="s">
        <v>160</v>
      </c>
      <c r="C83" s="542"/>
      <c r="D83" s="542"/>
      <c r="E83" s="542"/>
      <c r="F83" s="542"/>
      <c r="G83" s="542"/>
      <c r="H83" s="65">
        <v>0.025</v>
      </c>
      <c r="I83" s="64">
        <f t="shared" si="0"/>
        <v>39.5</v>
      </c>
    </row>
    <row r="84" spans="1:9" ht="48.75" customHeight="1">
      <c r="A84" s="62" t="s">
        <v>90</v>
      </c>
      <c r="B84" s="542" t="s">
        <v>161</v>
      </c>
      <c r="C84" s="542"/>
      <c r="D84" s="66" t="s">
        <v>162</v>
      </c>
      <c r="E84" s="67">
        <f>Preenchimento!B85</f>
        <v>0.03</v>
      </c>
      <c r="F84" s="66" t="s">
        <v>163</v>
      </c>
      <c r="G84" s="68">
        <f>Preenchimento!B86</f>
        <v>1</v>
      </c>
      <c r="H84" s="65">
        <f>ROUND((E84*G84),6)</f>
        <v>0.03</v>
      </c>
      <c r="I84" s="64">
        <f t="shared" si="0"/>
        <v>47.4</v>
      </c>
    </row>
    <row r="85" spans="1:9" ht="14.25" customHeight="1">
      <c r="A85" s="62" t="s">
        <v>92</v>
      </c>
      <c r="B85" s="646" t="s">
        <v>164</v>
      </c>
      <c r="C85" s="646"/>
      <c r="D85" s="646"/>
      <c r="E85" s="646"/>
      <c r="F85" s="646"/>
      <c r="G85" s="646"/>
      <c r="H85" s="63">
        <v>0.015</v>
      </c>
      <c r="I85" s="64">
        <f t="shared" si="0"/>
        <v>23.7</v>
      </c>
    </row>
    <row r="86" spans="1:9" ht="14.25" customHeight="1">
      <c r="A86" s="62" t="s">
        <v>144</v>
      </c>
      <c r="B86" s="646" t="s">
        <v>165</v>
      </c>
      <c r="C86" s="646"/>
      <c r="D86" s="646"/>
      <c r="E86" s="646"/>
      <c r="F86" s="646"/>
      <c r="G86" s="646"/>
      <c r="H86" s="63">
        <v>0.01</v>
      </c>
      <c r="I86" s="64">
        <f t="shared" si="0"/>
        <v>15.8</v>
      </c>
    </row>
    <row r="87" spans="1:9" ht="14.25" customHeight="1">
      <c r="A87" s="62" t="s">
        <v>146</v>
      </c>
      <c r="B87" s="542" t="s">
        <v>166</v>
      </c>
      <c r="C87" s="542"/>
      <c r="D87" s="542"/>
      <c r="E87" s="542"/>
      <c r="F87" s="542"/>
      <c r="G87" s="542"/>
      <c r="H87" s="65">
        <v>0.006</v>
      </c>
      <c r="I87" s="64">
        <f t="shared" si="0"/>
        <v>9.48</v>
      </c>
    </row>
    <row r="88" spans="1:9" ht="14.25" customHeight="1">
      <c r="A88" s="62" t="s">
        <v>167</v>
      </c>
      <c r="B88" s="646" t="s">
        <v>168</v>
      </c>
      <c r="C88" s="646"/>
      <c r="D88" s="646"/>
      <c r="E88" s="646"/>
      <c r="F88" s="646"/>
      <c r="G88" s="646"/>
      <c r="H88" s="63">
        <v>0.002</v>
      </c>
      <c r="I88" s="64">
        <f t="shared" si="0"/>
        <v>3.16</v>
      </c>
    </row>
    <row r="89" spans="1:9" ht="14.25" customHeight="1">
      <c r="A89" s="62" t="s">
        <v>169</v>
      </c>
      <c r="B89" s="542" t="s">
        <v>170</v>
      </c>
      <c r="C89" s="542"/>
      <c r="D89" s="542"/>
      <c r="E89" s="542"/>
      <c r="F89" s="542"/>
      <c r="G89" s="542"/>
      <c r="H89" s="65">
        <v>0.08</v>
      </c>
      <c r="I89" s="64">
        <f t="shared" si="0"/>
        <v>126.39</v>
      </c>
    </row>
    <row r="90" spans="1:9" ht="14.25" customHeight="1">
      <c r="A90" s="633" t="s">
        <v>28</v>
      </c>
      <c r="B90" s="633"/>
      <c r="C90" s="633"/>
      <c r="D90" s="633"/>
      <c r="E90" s="633"/>
      <c r="F90" s="633"/>
      <c r="G90" s="633"/>
      <c r="H90" s="69">
        <f>SUM(H82:H89)</f>
        <v>0.36800000000000005</v>
      </c>
      <c r="I90" s="70">
        <f>SUM(I82:I89)</f>
        <v>581.4100000000001</v>
      </c>
    </row>
    <row r="91" spans="1:9" ht="12.75">
      <c r="A91" s="71"/>
      <c r="B91" s="72"/>
      <c r="C91" s="72"/>
      <c r="D91" s="72"/>
      <c r="E91" s="72"/>
      <c r="F91" s="72"/>
      <c r="G91" s="72"/>
      <c r="H91" s="73"/>
      <c r="I91" s="74"/>
    </row>
    <row r="92" spans="1:9" ht="33.75" customHeight="1">
      <c r="A92" s="651" t="s">
        <v>171</v>
      </c>
      <c r="B92" s="651"/>
      <c r="C92" s="651"/>
      <c r="D92" s="651"/>
      <c r="E92" s="651"/>
      <c r="F92" s="651"/>
      <c r="G92" s="651"/>
      <c r="H92" s="651"/>
      <c r="I92" s="651"/>
    </row>
    <row r="93" spans="1:9" ht="14.25" customHeight="1">
      <c r="A93" s="661"/>
      <c r="B93" s="661"/>
      <c r="C93" s="661"/>
      <c r="D93" s="661"/>
      <c r="E93" s="661"/>
      <c r="F93" s="661"/>
      <c r="G93" s="661"/>
      <c r="H93" s="661"/>
      <c r="I93" s="661"/>
    </row>
    <row r="94" spans="1:9" ht="15.75" customHeight="1">
      <c r="A94" s="647" t="s">
        <v>172</v>
      </c>
      <c r="B94" s="647"/>
      <c r="C94" s="647"/>
      <c r="D94" s="647"/>
      <c r="E94" s="647"/>
      <c r="F94" s="647"/>
      <c r="G94" s="647"/>
      <c r="H94" s="647"/>
      <c r="I94" s="647"/>
    </row>
    <row r="95" spans="1:9" ht="15.75" customHeight="1">
      <c r="A95" s="75" t="s">
        <v>173</v>
      </c>
      <c r="B95" s="643" t="s">
        <v>174</v>
      </c>
      <c r="C95" s="643"/>
      <c r="D95" s="643"/>
      <c r="E95" s="643"/>
      <c r="F95" s="643"/>
      <c r="G95" s="643"/>
      <c r="H95" s="643"/>
      <c r="I95" s="51" t="s">
        <v>152</v>
      </c>
    </row>
    <row r="96" spans="1:9" ht="14.25" customHeight="1">
      <c r="A96" s="58" t="s">
        <v>86</v>
      </c>
      <c r="B96" s="658" t="s">
        <v>175</v>
      </c>
      <c r="C96" s="658"/>
      <c r="D96" s="658"/>
      <c r="E96" s="658"/>
      <c r="F96" s="658"/>
      <c r="G96" s="658"/>
      <c r="H96" s="658"/>
      <c r="I96" s="76">
        <f>IF(ROUND((H99*H97*H98)-(I61*H100),2)&lt;0,0,ROUND((H99*H97*H98)-(I61*H100),2))</f>
        <v>98.3</v>
      </c>
    </row>
    <row r="97" spans="1:9" ht="23.25" customHeight="1">
      <c r="A97" s="58"/>
      <c r="B97" s="664" t="s">
        <v>176</v>
      </c>
      <c r="C97" s="664"/>
      <c r="D97" s="664"/>
      <c r="E97" s="664"/>
      <c r="F97" s="664"/>
      <c r="G97" s="664"/>
      <c r="H97" s="77">
        <f>Preenchimento!B90</f>
        <v>3.85</v>
      </c>
      <c r="I97" s="78" t="s">
        <v>0</v>
      </c>
    </row>
    <row r="98" spans="1:9" ht="14.25" customHeight="1">
      <c r="A98" s="58"/>
      <c r="B98" s="662" t="s">
        <v>177</v>
      </c>
      <c r="C98" s="662"/>
      <c r="D98" s="662"/>
      <c r="E98" s="662"/>
      <c r="F98" s="662"/>
      <c r="G98" s="662"/>
      <c r="H98" s="80">
        <f>Preenchimento!B91</f>
        <v>2</v>
      </c>
      <c r="I98" s="78"/>
    </row>
    <row r="99" spans="1:9" ht="14.25" customHeight="1">
      <c r="A99" s="58"/>
      <c r="B99" s="662" t="s">
        <v>178</v>
      </c>
      <c r="C99" s="662"/>
      <c r="D99" s="662"/>
      <c r="E99" s="662"/>
      <c r="F99" s="662"/>
      <c r="G99" s="662"/>
      <c r="H99" s="81">
        <f>Preenchimento!B92</f>
        <v>22</v>
      </c>
      <c r="I99" s="78"/>
    </row>
    <row r="100" spans="1:9" ht="14.25" customHeight="1">
      <c r="A100" s="58"/>
      <c r="B100" s="663" t="s">
        <v>179</v>
      </c>
      <c r="C100" s="663"/>
      <c r="D100" s="663"/>
      <c r="E100" s="663"/>
      <c r="F100" s="663"/>
      <c r="G100" s="663"/>
      <c r="H100" s="82">
        <v>0.06</v>
      </c>
      <c r="I100" s="79"/>
    </row>
    <row r="101" spans="1:9" ht="14.25" customHeight="1">
      <c r="A101" s="58" t="s">
        <v>88</v>
      </c>
      <c r="B101" s="658" t="s">
        <v>569</v>
      </c>
      <c r="C101" s="658"/>
      <c r="D101" s="658"/>
      <c r="E101" s="658"/>
      <c r="F101" s="658"/>
      <c r="G101" s="658"/>
      <c r="H101" s="658"/>
      <c r="I101" s="76">
        <f>ROUND(H103*H102*(1-H104),2)</f>
        <v>324.32</v>
      </c>
    </row>
    <row r="102" spans="1:9" ht="14.25" customHeight="1">
      <c r="A102" s="58"/>
      <c r="B102" s="664" t="s">
        <v>613</v>
      </c>
      <c r="C102" s="664"/>
      <c r="D102" s="664"/>
      <c r="E102" s="664"/>
      <c r="F102" s="664"/>
      <c r="G102" s="664"/>
      <c r="H102" s="77">
        <f>Preenchimento!B87</f>
        <v>18.2</v>
      </c>
      <c r="I102" s="78" t="s">
        <v>0</v>
      </c>
    </row>
    <row r="103" spans="1:9" ht="14.25" customHeight="1">
      <c r="A103" s="83"/>
      <c r="B103" s="664" t="s">
        <v>181</v>
      </c>
      <c r="C103" s="664"/>
      <c r="D103" s="664"/>
      <c r="E103" s="664"/>
      <c r="F103" s="664"/>
      <c r="G103" s="664"/>
      <c r="H103" s="84">
        <f>Preenchimento!B89</f>
        <v>22</v>
      </c>
      <c r="I103" s="78"/>
    </row>
    <row r="104" spans="1:9" ht="14.25" customHeight="1">
      <c r="A104" s="83"/>
      <c r="B104" s="665" t="s">
        <v>182</v>
      </c>
      <c r="C104" s="665"/>
      <c r="D104" s="665"/>
      <c r="E104" s="665"/>
      <c r="F104" s="665"/>
      <c r="G104" s="665"/>
      <c r="H104" s="85">
        <f>Preenchimento!B88</f>
        <v>0.19</v>
      </c>
      <c r="I104" s="78"/>
    </row>
    <row r="105" spans="1:9" ht="14.25" customHeight="1">
      <c r="A105" s="58" t="s">
        <v>90</v>
      </c>
      <c r="B105" s="658" t="s">
        <v>183</v>
      </c>
      <c r="C105" s="658"/>
      <c r="D105" s="658"/>
      <c r="E105" s="658"/>
      <c r="F105" s="658"/>
      <c r="G105" s="658"/>
      <c r="H105" s="658"/>
      <c r="I105" s="76">
        <v>0</v>
      </c>
    </row>
    <row r="106" spans="1:9" ht="14.25" customHeight="1">
      <c r="A106" s="83" t="s">
        <v>92</v>
      </c>
      <c r="B106" s="659" t="s">
        <v>184</v>
      </c>
      <c r="C106" s="659"/>
      <c r="D106" s="659"/>
      <c r="E106" s="659"/>
      <c r="F106" s="659"/>
      <c r="G106" s="659"/>
      <c r="H106" s="659"/>
      <c r="I106" s="86" t="s">
        <v>185</v>
      </c>
    </row>
    <row r="107" spans="1:9" ht="24.75" customHeight="1">
      <c r="A107" s="58" t="s">
        <v>92</v>
      </c>
      <c r="B107" s="542" t="s">
        <v>607</v>
      </c>
      <c r="C107" s="542"/>
      <c r="D107" s="542"/>
      <c r="E107" s="542"/>
      <c r="F107" s="542"/>
      <c r="G107" s="542"/>
      <c r="H107" s="542"/>
      <c r="I107" s="45">
        <f>Preenchimento!B93</f>
        <v>15.62</v>
      </c>
    </row>
    <row r="108" spans="1:9" ht="14.25" customHeight="1">
      <c r="A108" s="58" t="s">
        <v>144</v>
      </c>
      <c r="B108" s="660" t="s">
        <v>186</v>
      </c>
      <c r="C108" s="660"/>
      <c r="D108" s="660"/>
      <c r="E108" s="660"/>
      <c r="F108" s="660"/>
      <c r="G108" s="660"/>
      <c r="H108" s="660"/>
      <c r="I108" s="87" t="s">
        <v>0</v>
      </c>
    </row>
    <row r="109" spans="1:9" ht="14.25" customHeight="1">
      <c r="A109" s="88"/>
      <c r="B109" s="633" t="s">
        <v>187</v>
      </c>
      <c r="C109" s="633"/>
      <c r="D109" s="633"/>
      <c r="E109" s="633"/>
      <c r="F109" s="633"/>
      <c r="G109" s="633"/>
      <c r="H109" s="633"/>
      <c r="I109" s="70">
        <f>SUM(I96:I107)</f>
        <v>438.24</v>
      </c>
    </row>
    <row r="110" spans="1:9" ht="14.25" customHeight="1">
      <c r="A110" s="661"/>
      <c r="B110" s="661"/>
      <c r="C110" s="661"/>
      <c r="D110" s="661"/>
      <c r="E110" s="661"/>
      <c r="F110" s="661"/>
      <c r="G110" s="661"/>
      <c r="H110" s="661"/>
      <c r="I110" s="661"/>
    </row>
    <row r="111" spans="1:9" ht="33.75" customHeight="1">
      <c r="A111" s="546" t="s">
        <v>188</v>
      </c>
      <c r="B111" s="546"/>
      <c r="C111" s="546"/>
      <c r="D111" s="546"/>
      <c r="E111" s="546"/>
      <c r="F111" s="546"/>
      <c r="G111" s="546"/>
      <c r="H111" s="546"/>
      <c r="I111" s="546"/>
    </row>
    <row r="112" spans="1:9" ht="14.25" customHeight="1">
      <c r="A112" s="580"/>
      <c r="B112" s="580"/>
      <c r="C112" s="580"/>
      <c r="D112" s="580"/>
      <c r="E112" s="580"/>
      <c r="F112" s="580"/>
      <c r="G112" s="580"/>
      <c r="H112" s="580"/>
      <c r="I112" s="580"/>
    </row>
    <row r="113" spans="1:9" ht="16.5" customHeight="1">
      <c r="A113" s="642" t="s">
        <v>189</v>
      </c>
      <c r="B113" s="642"/>
      <c r="C113" s="642"/>
      <c r="D113" s="642"/>
      <c r="E113" s="642"/>
      <c r="F113" s="642"/>
      <c r="G113" s="642"/>
      <c r="H113" s="642"/>
      <c r="I113" s="642"/>
    </row>
    <row r="114" spans="1:9" ht="15.75" customHeight="1">
      <c r="A114" s="51">
        <v>2</v>
      </c>
      <c r="B114" s="643" t="s">
        <v>190</v>
      </c>
      <c r="C114" s="643"/>
      <c r="D114" s="643"/>
      <c r="E114" s="643"/>
      <c r="F114" s="643"/>
      <c r="G114" s="643"/>
      <c r="H114" s="643"/>
      <c r="I114" s="51" t="s">
        <v>152</v>
      </c>
    </row>
    <row r="115" spans="1:9" ht="14.25" customHeight="1">
      <c r="A115" s="89" t="s">
        <v>151</v>
      </c>
      <c r="B115" s="655" t="s">
        <v>191</v>
      </c>
      <c r="C115" s="655"/>
      <c r="D115" s="655"/>
      <c r="E115" s="655"/>
      <c r="F115" s="655"/>
      <c r="G115" s="655"/>
      <c r="H115" s="655"/>
      <c r="I115" s="90">
        <f>I76</f>
        <v>157.99</v>
      </c>
    </row>
    <row r="116" spans="1:9" ht="14.25" customHeight="1">
      <c r="A116" s="89" t="s">
        <v>155</v>
      </c>
      <c r="B116" s="655" t="s">
        <v>156</v>
      </c>
      <c r="C116" s="655"/>
      <c r="D116" s="655"/>
      <c r="E116" s="655"/>
      <c r="F116" s="655"/>
      <c r="G116" s="655"/>
      <c r="H116" s="655"/>
      <c r="I116" s="90">
        <f>I90</f>
        <v>581.4100000000001</v>
      </c>
    </row>
    <row r="117" spans="1:9" ht="14.25" customHeight="1">
      <c r="A117" s="89" t="s">
        <v>173</v>
      </c>
      <c r="B117" s="655" t="s">
        <v>174</v>
      </c>
      <c r="C117" s="655"/>
      <c r="D117" s="655"/>
      <c r="E117" s="655"/>
      <c r="F117" s="655"/>
      <c r="G117" s="655"/>
      <c r="H117" s="655"/>
      <c r="I117" s="90">
        <f>I109</f>
        <v>438.24</v>
      </c>
    </row>
    <row r="118" spans="1:9" ht="14.25" customHeight="1">
      <c r="A118" s="656" t="s">
        <v>28</v>
      </c>
      <c r="B118" s="656"/>
      <c r="C118" s="656"/>
      <c r="D118" s="656"/>
      <c r="E118" s="656"/>
      <c r="F118" s="656"/>
      <c r="G118" s="656"/>
      <c r="H118" s="656"/>
      <c r="I118" s="91">
        <f>SUM(I115+I116+I117)</f>
        <v>1177.64</v>
      </c>
    </row>
    <row r="119" spans="1:9" ht="14.25" customHeight="1">
      <c r="A119" s="657"/>
      <c r="B119" s="657"/>
      <c r="C119" s="657"/>
      <c r="D119" s="657"/>
      <c r="E119" s="657"/>
      <c r="F119" s="657"/>
      <c r="G119" s="657"/>
      <c r="H119" s="657"/>
      <c r="I119" s="657"/>
    </row>
    <row r="120" spans="1:9" ht="16.5" customHeight="1">
      <c r="A120" s="636" t="s">
        <v>192</v>
      </c>
      <c r="B120" s="636"/>
      <c r="C120" s="636"/>
      <c r="D120" s="636"/>
      <c r="E120" s="636"/>
      <c r="F120" s="636"/>
      <c r="G120" s="636"/>
      <c r="H120" s="636"/>
      <c r="I120" s="636"/>
    </row>
    <row r="121" spans="1:9" ht="15.75" customHeight="1">
      <c r="A121" s="75">
        <v>3</v>
      </c>
      <c r="B121" s="637" t="s">
        <v>193</v>
      </c>
      <c r="C121" s="637"/>
      <c r="D121" s="637"/>
      <c r="E121" s="637"/>
      <c r="F121" s="637"/>
      <c r="G121" s="637"/>
      <c r="H121" s="637"/>
      <c r="I121" s="75" t="s">
        <v>194</v>
      </c>
    </row>
    <row r="122" spans="1:9" ht="60.75" customHeight="1">
      <c r="A122" s="58" t="s">
        <v>86</v>
      </c>
      <c r="B122" s="646" t="s">
        <v>195</v>
      </c>
      <c r="C122" s="646"/>
      <c r="D122" s="646"/>
      <c r="E122" s="646"/>
      <c r="F122" s="646"/>
      <c r="G122" s="646"/>
      <c r="H122" s="646"/>
      <c r="I122" s="64">
        <f>ROUND((($I$67/12)+($I$74/12)+($I$67/12/12)+($I$75/12))*(30/30)*0.05,2)</f>
        <v>7.08</v>
      </c>
    </row>
    <row r="123" spans="1:9" ht="14.25" customHeight="1">
      <c r="A123" s="58" t="s">
        <v>88</v>
      </c>
      <c r="B123" s="640" t="s">
        <v>196</v>
      </c>
      <c r="C123" s="640"/>
      <c r="D123" s="640"/>
      <c r="E123" s="640"/>
      <c r="F123" s="640"/>
      <c r="G123" s="640"/>
      <c r="H123" s="640"/>
      <c r="I123" s="64">
        <f>ROUND($I$122*H89,2)</f>
        <v>0.57</v>
      </c>
    </row>
    <row r="124" spans="1:9" ht="24.75" customHeight="1">
      <c r="A124" s="58" t="s">
        <v>90</v>
      </c>
      <c r="B124" s="646" t="s">
        <v>685</v>
      </c>
      <c r="C124" s="646"/>
      <c r="D124" s="646"/>
      <c r="E124" s="646"/>
      <c r="F124" s="646"/>
      <c r="G124" s="646"/>
      <c r="H124" s="646"/>
      <c r="I124" s="64">
        <f>ROUND(0.08*0.4*($I$67+$I$74+($I$67/12)+$I$75)*0.05,2)</f>
        <v>2.72</v>
      </c>
    </row>
    <row r="125" spans="1:9" ht="25.5" customHeight="1">
      <c r="A125" s="58" t="s">
        <v>92</v>
      </c>
      <c r="B125" s="646" t="s">
        <v>688</v>
      </c>
      <c r="C125" s="646"/>
      <c r="D125" s="646"/>
      <c r="E125" s="646"/>
      <c r="F125" s="646"/>
      <c r="G125" s="646"/>
      <c r="H125" s="646"/>
      <c r="I125" s="64">
        <f>ROUND(((($I$67/30)*7)/$H$10)*1,2)</f>
        <v>27.65</v>
      </c>
    </row>
    <row r="126" spans="1:9" ht="14.25" customHeight="1">
      <c r="A126" s="58" t="s">
        <v>144</v>
      </c>
      <c r="B126" s="640" t="s">
        <v>197</v>
      </c>
      <c r="C126" s="640"/>
      <c r="D126" s="640"/>
      <c r="E126" s="640"/>
      <c r="F126" s="640"/>
      <c r="G126" s="640"/>
      <c r="H126" s="640"/>
      <c r="I126" s="64">
        <f>ROUND($H$90*I125,2)</f>
        <v>10.18</v>
      </c>
    </row>
    <row r="127" spans="1:9" ht="24.75" customHeight="1">
      <c r="A127" s="58" t="s">
        <v>146</v>
      </c>
      <c r="B127" s="646" t="s">
        <v>686</v>
      </c>
      <c r="C127" s="646"/>
      <c r="D127" s="646"/>
      <c r="E127" s="646"/>
      <c r="F127" s="646"/>
      <c r="G127" s="646"/>
      <c r="H127" s="646"/>
      <c r="I127" s="64">
        <f>ROUND(0.08*0.4*($I$67+$I$74+($I$67/12)+$I$75)*1,2)</f>
        <v>54.35</v>
      </c>
    </row>
    <row r="128" spans="1:9" ht="14.25" customHeight="1">
      <c r="A128" s="633" t="s">
        <v>28</v>
      </c>
      <c r="B128" s="633"/>
      <c r="C128" s="633"/>
      <c r="D128" s="633"/>
      <c r="E128" s="633"/>
      <c r="F128" s="633"/>
      <c r="G128" s="633"/>
      <c r="H128" s="633"/>
      <c r="I128" s="70">
        <f>SUM(I122:I127)</f>
        <v>102.55</v>
      </c>
    </row>
    <row r="129" spans="1:9" ht="14.25" customHeight="1">
      <c r="A129" s="512"/>
      <c r="B129" s="512"/>
      <c r="C129" s="512"/>
      <c r="D129" s="512"/>
      <c r="E129" s="512"/>
      <c r="F129" s="512"/>
      <c r="G129" s="512"/>
      <c r="H129" s="512"/>
      <c r="I129" s="512"/>
    </row>
    <row r="130" spans="1:9" ht="16.5" customHeight="1">
      <c r="A130" s="642" t="s">
        <v>198</v>
      </c>
      <c r="B130" s="642"/>
      <c r="C130" s="642"/>
      <c r="D130" s="642"/>
      <c r="E130" s="642"/>
      <c r="F130" s="642"/>
      <c r="G130" s="642"/>
      <c r="H130" s="642"/>
      <c r="I130" s="642"/>
    </row>
    <row r="131" spans="1:9" ht="27" customHeight="1">
      <c r="A131" s="651" t="s">
        <v>199</v>
      </c>
      <c r="B131" s="651"/>
      <c r="C131" s="651"/>
      <c r="D131" s="651"/>
      <c r="E131" s="651"/>
      <c r="F131" s="651"/>
      <c r="G131" s="651"/>
      <c r="H131" s="651"/>
      <c r="I131" s="651"/>
    </row>
    <row r="132" spans="1:9" ht="44.25" customHeight="1">
      <c r="A132" s="652" t="s">
        <v>200</v>
      </c>
      <c r="B132" s="652"/>
      <c r="C132" s="652"/>
      <c r="D132" s="652"/>
      <c r="E132" s="652"/>
      <c r="F132" s="652"/>
      <c r="G132" s="652"/>
      <c r="H132" s="652"/>
      <c r="I132" s="652"/>
    </row>
    <row r="133" spans="1:9" ht="15.75" customHeight="1">
      <c r="A133" s="653"/>
      <c r="B133" s="653"/>
      <c r="C133" s="653"/>
      <c r="D133" s="653"/>
      <c r="E133" s="653"/>
      <c r="F133" s="653"/>
      <c r="G133" s="653"/>
      <c r="H133" s="653"/>
      <c r="I133" s="653"/>
    </row>
    <row r="134" spans="1:9" ht="40.5">
      <c r="A134" s="92" t="s">
        <v>201</v>
      </c>
      <c r="B134" s="93">
        <f>I67</f>
        <v>1421.92</v>
      </c>
      <c r="C134" s="94"/>
      <c r="D134" s="409" t="s">
        <v>687</v>
      </c>
      <c r="E134" s="93">
        <f>I118-I96-I101</f>
        <v>755.0200000000002</v>
      </c>
      <c r="F134" s="95"/>
      <c r="G134" s="92" t="s">
        <v>202</v>
      </c>
      <c r="H134" s="93">
        <f>I128</f>
        <v>102.55</v>
      </c>
      <c r="I134" s="96">
        <f>B134+E134+H134</f>
        <v>2279.4900000000007</v>
      </c>
    </row>
    <row r="135" spans="1:9" ht="15.75" customHeight="1">
      <c r="A135" s="654"/>
      <c r="B135" s="654"/>
      <c r="C135" s="654"/>
      <c r="D135" s="654"/>
      <c r="E135" s="654"/>
      <c r="F135" s="654"/>
      <c r="G135" s="654"/>
      <c r="H135" s="654"/>
      <c r="I135" s="654"/>
    </row>
    <row r="136" spans="1:9" ht="27.75" customHeight="1">
      <c r="A136" s="648" t="s">
        <v>203</v>
      </c>
      <c r="B136" s="648"/>
      <c r="C136" s="648"/>
      <c r="D136" s="648"/>
      <c r="E136" s="648"/>
      <c r="F136" s="649" t="s">
        <v>204</v>
      </c>
      <c r="G136" s="649"/>
      <c r="H136" s="97">
        <f>ROUND(I134/30,2)</f>
        <v>75.98</v>
      </c>
      <c r="I136" s="98"/>
    </row>
    <row r="137" spans="1:9" ht="15.75" customHeight="1">
      <c r="A137" s="99" t="s">
        <v>205</v>
      </c>
      <c r="B137" s="650" t="s">
        <v>206</v>
      </c>
      <c r="C137" s="650"/>
      <c r="D137" s="650"/>
      <c r="E137" s="650"/>
      <c r="F137" s="650"/>
      <c r="G137" s="650"/>
      <c r="H137" s="650"/>
      <c r="I137" s="100" t="s">
        <v>152</v>
      </c>
    </row>
    <row r="138" spans="1:9" ht="14.25" customHeight="1">
      <c r="A138" s="58" t="s">
        <v>86</v>
      </c>
      <c r="B138" s="640" t="s">
        <v>207</v>
      </c>
      <c r="C138" s="640"/>
      <c r="D138" s="640"/>
      <c r="E138" s="640"/>
      <c r="F138" s="640"/>
      <c r="G138" s="640"/>
      <c r="H138" s="640"/>
      <c r="I138" s="64">
        <v>0</v>
      </c>
    </row>
    <row r="139" spans="1:9" ht="14.25" customHeight="1">
      <c r="A139" s="58" t="s">
        <v>88</v>
      </c>
      <c r="B139" s="646" t="s">
        <v>209</v>
      </c>
      <c r="C139" s="646"/>
      <c r="D139" s="646"/>
      <c r="E139" s="646"/>
      <c r="F139" s="646"/>
      <c r="G139" s="646"/>
      <c r="H139" s="646"/>
      <c r="I139" s="64">
        <f>ROUND((($I$134/30)*1)/12,2)</f>
        <v>6.33</v>
      </c>
    </row>
    <row r="140" spans="1:9" ht="24.75" customHeight="1">
      <c r="A140" s="58" t="s">
        <v>90</v>
      </c>
      <c r="B140" s="646" t="s">
        <v>210</v>
      </c>
      <c r="C140" s="646"/>
      <c r="D140" s="646"/>
      <c r="E140" s="646"/>
      <c r="F140" s="646"/>
      <c r="G140" s="646"/>
      <c r="H140" s="646"/>
      <c r="I140" s="64">
        <f>ROUND(((($I$134/30)*5)/12)*0.015,2)</f>
        <v>0.47</v>
      </c>
    </row>
    <row r="141" spans="1:9" ht="24.75" customHeight="1">
      <c r="A141" s="58" t="s">
        <v>92</v>
      </c>
      <c r="B141" s="646" t="s">
        <v>211</v>
      </c>
      <c r="C141" s="646"/>
      <c r="D141" s="646"/>
      <c r="E141" s="646"/>
      <c r="F141" s="646"/>
      <c r="G141" s="646"/>
      <c r="H141" s="646"/>
      <c r="I141" s="64">
        <f>ROUND(((($I$134/30)*15)/12)*0.0078,2)</f>
        <v>0.74</v>
      </c>
    </row>
    <row r="142" spans="1:9" ht="22.5" customHeight="1">
      <c r="A142" s="58" t="s">
        <v>144</v>
      </c>
      <c r="B142" s="542" t="s">
        <v>695</v>
      </c>
      <c r="C142" s="542"/>
      <c r="D142" s="542"/>
      <c r="E142" s="542"/>
      <c r="F142" s="542"/>
      <c r="G142" s="542"/>
      <c r="H142" s="542"/>
      <c r="I142" s="101">
        <f>ROUND(((((B134+B134/3)/12)+(I90+I109-I96-I101+I128))*(4/12))*0.02,2)</f>
        <v>5.72</v>
      </c>
    </row>
    <row r="143" spans="1:9" ht="24.75" customHeight="1">
      <c r="A143" s="102" t="s">
        <v>146</v>
      </c>
      <c r="B143" s="646" t="s">
        <v>212</v>
      </c>
      <c r="C143" s="646"/>
      <c r="D143" s="646"/>
      <c r="E143" s="646"/>
      <c r="F143" s="646"/>
      <c r="G143" s="646"/>
      <c r="H143" s="646"/>
      <c r="I143" s="64">
        <f>ROUND(((($I$134/30)*5)/12),2)</f>
        <v>31.66</v>
      </c>
    </row>
    <row r="144" spans="1:9" ht="14.25" customHeight="1">
      <c r="A144" s="633" t="s">
        <v>28</v>
      </c>
      <c r="B144" s="633"/>
      <c r="C144" s="633"/>
      <c r="D144" s="633"/>
      <c r="E144" s="633"/>
      <c r="F144" s="633"/>
      <c r="G144" s="633"/>
      <c r="H144" s="633"/>
      <c r="I144" s="103">
        <f>SUM(I138:I143)</f>
        <v>44.92</v>
      </c>
    </row>
    <row r="145" spans="1:9" ht="14.25" customHeight="1">
      <c r="A145" s="633"/>
      <c r="B145" s="633"/>
      <c r="C145" s="633"/>
      <c r="D145" s="633"/>
      <c r="E145" s="633"/>
      <c r="F145" s="633"/>
      <c r="G145" s="633"/>
      <c r="H145" s="633"/>
      <c r="I145" s="633"/>
    </row>
    <row r="146" spans="1:9" ht="15.75" customHeight="1">
      <c r="A146" s="647" t="s">
        <v>213</v>
      </c>
      <c r="B146" s="647"/>
      <c r="C146" s="647"/>
      <c r="D146" s="647"/>
      <c r="E146" s="647"/>
      <c r="F146" s="647"/>
      <c r="G146" s="647"/>
      <c r="H146" s="647"/>
      <c r="I146" s="647"/>
    </row>
    <row r="147" spans="1:9" ht="15.75" customHeight="1">
      <c r="A147" s="75" t="s">
        <v>214</v>
      </c>
      <c r="B147" s="637" t="s">
        <v>215</v>
      </c>
      <c r="C147" s="637"/>
      <c r="D147" s="637"/>
      <c r="E147" s="637"/>
      <c r="F147" s="637"/>
      <c r="G147" s="637"/>
      <c r="H147" s="637"/>
      <c r="I147" s="104" t="s">
        <v>152</v>
      </c>
    </row>
    <row r="148" spans="1:9" ht="14.25" customHeight="1">
      <c r="A148" s="58" t="s">
        <v>86</v>
      </c>
      <c r="B148" s="640" t="s">
        <v>216</v>
      </c>
      <c r="C148" s="640"/>
      <c r="D148" s="640"/>
      <c r="E148" s="640"/>
      <c r="F148" s="640"/>
      <c r="G148" s="640"/>
      <c r="H148" s="640"/>
      <c r="I148" s="64">
        <v>0</v>
      </c>
    </row>
    <row r="149" spans="1:9" ht="14.25" customHeight="1">
      <c r="A149" s="644" t="s">
        <v>28</v>
      </c>
      <c r="B149" s="644"/>
      <c r="C149" s="644"/>
      <c r="D149" s="644"/>
      <c r="E149" s="644"/>
      <c r="F149" s="644"/>
      <c r="G149" s="644"/>
      <c r="H149" s="644"/>
      <c r="I149" s="64">
        <v>0</v>
      </c>
    </row>
    <row r="150" spans="1:9" ht="14.25" customHeight="1">
      <c r="A150" s="645"/>
      <c r="B150" s="645"/>
      <c r="C150" s="645"/>
      <c r="D150" s="645"/>
      <c r="E150" s="645"/>
      <c r="F150" s="645"/>
      <c r="G150" s="645"/>
      <c r="H150" s="645"/>
      <c r="I150" s="645"/>
    </row>
    <row r="151" spans="1:9" ht="16.5" customHeight="1">
      <c r="A151" s="642" t="s">
        <v>217</v>
      </c>
      <c r="B151" s="642"/>
      <c r="C151" s="642"/>
      <c r="D151" s="642"/>
      <c r="E151" s="642"/>
      <c r="F151" s="642"/>
      <c r="G151" s="642"/>
      <c r="H151" s="642"/>
      <c r="I151" s="642"/>
    </row>
    <row r="152" spans="1:9" ht="15.75" customHeight="1">
      <c r="A152" s="51">
        <v>4</v>
      </c>
      <c r="B152" s="637" t="s">
        <v>218</v>
      </c>
      <c r="C152" s="637"/>
      <c r="D152" s="637"/>
      <c r="E152" s="637"/>
      <c r="F152" s="637"/>
      <c r="G152" s="637"/>
      <c r="H152" s="637"/>
      <c r="I152" s="104" t="s">
        <v>152</v>
      </c>
    </row>
    <row r="153" spans="1:9" ht="14.25" customHeight="1">
      <c r="A153" s="105" t="s">
        <v>205</v>
      </c>
      <c r="B153" s="640" t="s">
        <v>206</v>
      </c>
      <c r="C153" s="640"/>
      <c r="D153" s="640"/>
      <c r="E153" s="640"/>
      <c r="F153" s="640"/>
      <c r="G153" s="640"/>
      <c r="H153" s="640"/>
      <c r="I153" s="64">
        <f>I144</f>
        <v>44.92</v>
      </c>
    </row>
    <row r="154" spans="1:9" ht="14.25" customHeight="1">
      <c r="A154" s="105" t="s">
        <v>219</v>
      </c>
      <c r="B154" s="640" t="s">
        <v>215</v>
      </c>
      <c r="C154" s="640"/>
      <c r="D154" s="640"/>
      <c r="E154" s="640"/>
      <c r="F154" s="640"/>
      <c r="G154" s="640"/>
      <c r="H154" s="640"/>
      <c r="I154" s="64">
        <f>I149</f>
        <v>0</v>
      </c>
    </row>
    <row r="155" spans="1:9" ht="14.25" customHeight="1">
      <c r="A155" s="641" t="s">
        <v>28</v>
      </c>
      <c r="B155" s="641"/>
      <c r="C155" s="641"/>
      <c r="D155" s="641"/>
      <c r="E155" s="641"/>
      <c r="F155" s="641"/>
      <c r="G155" s="641"/>
      <c r="H155" s="641"/>
      <c r="I155" s="70">
        <f>SUM(I153+I154)</f>
        <v>44.92</v>
      </c>
    </row>
    <row r="156" spans="1:9" ht="14.25" customHeight="1">
      <c r="A156" s="623"/>
      <c r="B156" s="623"/>
      <c r="C156" s="623"/>
      <c r="D156" s="623"/>
      <c r="E156" s="623"/>
      <c r="F156" s="623"/>
      <c r="G156" s="623"/>
      <c r="H156" s="623"/>
      <c r="I156" s="623"/>
    </row>
    <row r="157" spans="1:9" ht="16.5" customHeight="1">
      <c r="A157" s="642" t="s">
        <v>220</v>
      </c>
      <c r="B157" s="642"/>
      <c r="C157" s="642"/>
      <c r="D157" s="642"/>
      <c r="E157" s="642"/>
      <c r="F157" s="642"/>
      <c r="G157" s="642"/>
      <c r="H157" s="642"/>
      <c r="I157" s="642"/>
    </row>
    <row r="158" spans="1:9" ht="15.75" customHeight="1">
      <c r="A158" s="75">
        <v>5</v>
      </c>
      <c r="B158" s="643" t="s">
        <v>221</v>
      </c>
      <c r="C158" s="643"/>
      <c r="D158" s="643"/>
      <c r="E158" s="643"/>
      <c r="F158" s="643"/>
      <c r="G158" s="643"/>
      <c r="H158" s="643"/>
      <c r="I158" s="75" t="s">
        <v>152</v>
      </c>
    </row>
    <row r="159" spans="1:9" ht="14.25" customHeight="1">
      <c r="A159" s="58" t="s">
        <v>86</v>
      </c>
      <c r="B159" s="542" t="s">
        <v>222</v>
      </c>
      <c r="C159" s="542"/>
      <c r="D159" s="542"/>
      <c r="E159" s="542"/>
      <c r="F159" s="542"/>
      <c r="G159" s="542"/>
      <c r="H159" s="542"/>
      <c r="I159" s="76">
        <f>Insumos!F95</f>
        <v>49.84833333333333</v>
      </c>
    </row>
    <row r="160" spans="1:9" ht="14.25" customHeight="1">
      <c r="A160" s="58" t="s">
        <v>88</v>
      </c>
      <c r="B160" s="542" t="s">
        <v>223</v>
      </c>
      <c r="C160" s="542"/>
      <c r="D160" s="542"/>
      <c r="E160" s="542"/>
      <c r="F160" s="542"/>
      <c r="G160" s="542"/>
      <c r="H160" s="542"/>
      <c r="I160" s="45">
        <f>Insumos!F91</f>
        <v>1001.3588677616787</v>
      </c>
    </row>
    <row r="161" spans="1:9" ht="14.25" customHeight="1">
      <c r="A161" s="58" t="s">
        <v>90</v>
      </c>
      <c r="B161" s="638" t="s">
        <v>224</v>
      </c>
      <c r="C161" s="638"/>
      <c r="D161" s="638"/>
      <c r="E161" s="638"/>
      <c r="F161" s="638"/>
      <c r="G161" s="638"/>
      <c r="H161" s="638"/>
      <c r="I161" s="45">
        <f>Insumos!F93</f>
        <v>68.26943930151553</v>
      </c>
    </row>
    <row r="162" spans="1:9" ht="14.25" customHeight="1">
      <c r="A162" s="58" t="s">
        <v>92</v>
      </c>
      <c r="B162" s="542" t="s">
        <v>225</v>
      </c>
      <c r="C162" s="542"/>
      <c r="D162" s="542"/>
      <c r="E162" s="542"/>
      <c r="F162" s="542"/>
      <c r="G162" s="542"/>
      <c r="H162" s="542"/>
      <c r="I162" s="45" t="s">
        <v>208</v>
      </c>
    </row>
    <row r="163" spans="1:9" ht="14.25" customHeight="1">
      <c r="A163" s="633" t="s">
        <v>187</v>
      </c>
      <c r="B163" s="633"/>
      <c r="C163" s="633"/>
      <c r="D163" s="633"/>
      <c r="E163" s="633"/>
      <c r="F163" s="633"/>
      <c r="G163" s="633"/>
      <c r="H163" s="633"/>
      <c r="I163" s="106">
        <f>SUM(I159:I162)</f>
        <v>1119.4766403965275</v>
      </c>
    </row>
    <row r="164" spans="1:9" ht="18.75" customHeight="1">
      <c r="A164" s="639"/>
      <c r="B164" s="639"/>
      <c r="C164" s="639"/>
      <c r="D164" s="639"/>
      <c r="E164" s="639"/>
      <c r="F164" s="639"/>
      <c r="G164" s="639"/>
      <c r="H164" s="639"/>
      <c r="I164" s="639"/>
    </row>
    <row r="165" spans="1:9" ht="14.25" customHeight="1">
      <c r="A165" s="635" t="s">
        <v>226</v>
      </c>
      <c r="B165" s="635"/>
      <c r="C165" s="635"/>
      <c r="D165" s="635"/>
      <c r="E165" s="635"/>
      <c r="F165" s="635"/>
      <c r="G165" s="635"/>
      <c r="H165" s="635"/>
      <c r="I165" s="635"/>
    </row>
    <row r="166" spans="1:9" ht="18">
      <c r="A166" s="107"/>
      <c r="B166" s="108"/>
      <c r="C166" s="108"/>
      <c r="D166" s="108"/>
      <c r="E166" s="108"/>
      <c r="F166" s="108"/>
      <c r="G166" s="108"/>
      <c r="H166" s="108"/>
      <c r="I166" s="109"/>
    </row>
    <row r="167" spans="1:9" ht="16.5" customHeight="1">
      <c r="A167" s="636" t="s">
        <v>227</v>
      </c>
      <c r="B167" s="636"/>
      <c r="C167" s="636"/>
      <c r="D167" s="636"/>
      <c r="E167" s="636"/>
      <c r="F167" s="636"/>
      <c r="G167" s="636"/>
      <c r="H167" s="636"/>
      <c r="I167" s="636"/>
    </row>
    <row r="168" spans="1:9" ht="27.75" customHeight="1">
      <c r="A168" s="75">
        <v>6</v>
      </c>
      <c r="B168" s="637" t="s">
        <v>228</v>
      </c>
      <c r="C168" s="637"/>
      <c r="D168" s="637"/>
      <c r="E168" s="637"/>
      <c r="F168" s="637"/>
      <c r="G168" s="637"/>
      <c r="H168" s="51" t="s">
        <v>157</v>
      </c>
      <c r="I168" s="110" t="s">
        <v>229</v>
      </c>
    </row>
    <row r="169" spans="1:9" ht="49.5" customHeight="1">
      <c r="A169" s="634" t="s">
        <v>230</v>
      </c>
      <c r="B169" s="634"/>
      <c r="C169" s="634"/>
      <c r="D169" s="634"/>
      <c r="E169" s="634"/>
      <c r="F169" s="634"/>
      <c r="G169" s="634"/>
      <c r="H169" s="111" t="s">
        <v>0</v>
      </c>
      <c r="I169" s="112">
        <f>SUM(I67+I118+I128+I155+I163)</f>
        <v>3866.5066403965284</v>
      </c>
    </row>
    <row r="170" spans="1:9" ht="16.5" customHeight="1">
      <c r="A170" s="113" t="s">
        <v>86</v>
      </c>
      <c r="B170" s="549" t="s">
        <v>231</v>
      </c>
      <c r="C170" s="549"/>
      <c r="D170" s="549"/>
      <c r="E170" s="549"/>
      <c r="F170" s="549"/>
      <c r="G170" s="549"/>
      <c r="H170" s="65">
        <f>Preenchimento!B99</f>
        <v>0.03</v>
      </c>
      <c r="I170" s="64">
        <f>ROUND(H170*I169,2)</f>
        <v>116</v>
      </c>
    </row>
    <row r="171" spans="1:9" ht="51.75" customHeight="1">
      <c r="A171" s="634" t="s">
        <v>232</v>
      </c>
      <c r="B171" s="634"/>
      <c r="C171" s="634"/>
      <c r="D171" s="634"/>
      <c r="E171" s="634"/>
      <c r="F171" s="634"/>
      <c r="G171" s="634"/>
      <c r="H171" s="114" t="s">
        <v>0</v>
      </c>
      <c r="I171" s="112">
        <f>SUM(I67+I118+I128+I155+I163+I170)</f>
        <v>3982.5066403965284</v>
      </c>
    </row>
    <row r="172" spans="1:9" ht="16.5" customHeight="1">
      <c r="A172" s="113" t="s">
        <v>88</v>
      </c>
      <c r="B172" s="549" t="s">
        <v>233</v>
      </c>
      <c r="C172" s="549"/>
      <c r="D172" s="549"/>
      <c r="E172" s="549"/>
      <c r="F172" s="549"/>
      <c r="G172" s="549"/>
      <c r="H172" s="65">
        <f>Preenchimento!B100</f>
        <v>0.0679</v>
      </c>
      <c r="I172" s="64">
        <f>ROUND(H172*I171,2)</f>
        <v>270.41</v>
      </c>
    </row>
    <row r="173" spans="1:9" ht="51.75" customHeight="1">
      <c r="A173" s="634" t="s">
        <v>234</v>
      </c>
      <c r="B173" s="634"/>
      <c r="C173" s="634"/>
      <c r="D173" s="634"/>
      <c r="E173" s="634"/>
      <c r="F173" s="634"/>
      <c r="G173" s="634"/>
      <c r="H173" s="114" t="s">
        <v>0</v>
      </c>
      <c r="I173" s="112">
        <f>SUM(I67+I118+I128+I155+I163+I170+I172)</f>
        <v>4252.916640396528</v>
      </c>
    </row>
    <row r="174" spans="1:9" ht="16.5" customHeight="1">
      <c r="A174" s="113" t="s">
        <v>90</v>
      </c>
      <c r="B174" s="549" t="s">
        <v>235</v>
      </c>
      <c r="C174" s="549"/>
      <c r="D174" s="549"/>
      <c r="E174" s="549"/>
      <c r="F174" s="549"/>
      <c r="G174" s="549"/>
      <c r="H174" s="115" t="s">
        <v>0</v>
      </c>
      <c r="I174" s="116" t="s">
        <v>0</v>
      </c>
    </row>
    <row r="175" spans="1:9" ht="16.5" customHeight="1">
      <c r="A175" s="58"/>
      <c r="B175" s="549" t="s">
        <v>236</v>
      </c>
      <c r="C175" s="549"/>
      <c r="D175" s="549"/>
      <c r="E175" s="549"/>
      <c r="F175" s="549"/>
      <c r="G175" s="549"/>
      <c r="H175" s="115" t="s">
        <v>0</v>
      </c>
      <c r="I175" s="116" t="s">
        <v>0</v>
      </c>
    </row>
    <row r="176" spans="1:9" ht="16.5" customHeight="1">
      <c r="A176" s="58"/>
      <c r="B176" s="486" t="s">
        <v>237</v>
      </c>
      <c r="C176" s="486"/>
      <c r="D176" s="486"/>
      <c r="E176" s="486"/>
      <c r="F176" s="486"/>
      <c r="G176" s="486"/>
      <c r="H176" s="117">
        <f>Preenchimento!B69</f>
        <v>0.076</v>
      </c>
      <c r="I176" s="64">
        <f>ROUND(($I$173/(1-$H$185))*H176,2)</f>
        <v>368.34</v>
      </c>
    </row>
    <row r="177" spans="1:9" ht="25.5" customHeight="1">
      <c r="A177" s="58"/>
      <c r="B177" s="486" t="s">
        <v>238</v>
      </c>
      <c r="C177" s="486"/>
      <c r="D177" s="486"/>
      <c r="E177" s="486"/>
      <c r="F177" s="486"/>
      <c r="G177" s="486"/>
      <c r="H177" s="117">
        <f>Preenchimento!B68</f>
        <v>0.0165</v>
      </c>
      <c r="I177" s="64">
        <f>ROUND(($I$173/(1-$H$185))*H177,2)</f>
        <v>79.97</v>
      </c>
    </row>
    <row r="178" spans="1:9" ht="25.5" customHeight="1">
      <c r="A178" s="58"/>
      <c r="B178" s="630" t="s">
        <v>239</v>
      </c>
      <c r="C178" s="630"/>
      <c r="D178" s="630"/>
      <c r="E178" s="630"/>
      <c r="F178" s="630"/>
      <c r="G178" s="630"/>
      <c r="H178" s="118" t="s">
        <v>0</v>
      </c>
      <c r="I178" s="116" t="s">
        <v>0</v>
      </c>
    </row>
    <row r="179" spans="1:9" ht="25.5" customHeight="1">
      <c r="A179" s="58"/>
      <c r="B179" s="630" t="s">
        <v>240</v>
      </c>
      <c r="C179" s="630"/>
      <c r="D179" s="630"/>
      <c r="E179" s="630"/>
      <c r="F179" s="630"/>
      <c r="G179" s="630"/>
      <c r="H179" s="118" t="s">
        <v>0</v>
      </c>
      <c r="I179" s="116" t="s">
        <v>0</v>
      </c>
    </row>
    <row r="180" spans="1:9" ht="14.25" customHeight="1">
      <c r="A180" s="58"/>
      <c r="B180" s="631" t="s">
        <v>241</v>
      </c>
      <c r="C180" s="631"/>
      <c r="D180" s="631"/>
      <c r="E180" s="631"/>
      <c r="F180" s="631"/>
      <c r="G180" s="631"/>
      <c r="H180" s="118" t="s">
        <v>0</v>
      </c>
      <c r="I180" s="116" t="s">
        <v>0</v>
      </c>
    </row>
    <row r="181" spans="1:9" ht="16.5" customHeight="1">
      <c r="A181" s="58"/>
      <c r="B181" s="632" t="s">
        <v>242</v>
      </c>
      <c r="C181" s="632"/>
      <c r="D181" s="632"/>
      <c r="E181" s="632"/>
      <c r="F181" s="632"/>
      <c r="G181" s="632"/>
      <c r="H181" s="118" t="s">
        <v>0</v>
      </c>
      <c r="I181" s="116" t="s">
        <v>0</v>
      </c>
    </row>
    <row r="182" spans="1:9" ht="16.5" customHeight="1">
      <c r="A182" s="58"/>
      <c r="B182" s="486" t="s">
        <v>615</v>
      </c>
      <c r="C182" s="486"/>
      <c r="D182" s="486"/>
      <c r="E182" s="486"/>
      <c r="F182" s="486"/>
      <c r="G182" s="486"/>
      <c r="H182" s="117">
        <f>Preenchimento!B101</f>
        <v>0.03</v>
      </c>
      <c r="I182" s="64">
        <f>ROUND(($I$173/(1-$H$185))*H182,2)</f>
        <v>145.4</v>
      </c>
    </row>
    <row r="183" spans="1:9" ht="14.25" customHeight="1">
      <c r="A183" s="633" t="s">
        <v>28</v>
      </c>
      <c r="B183" s="633"/>
      <c r="C183" s="633"/>
      <c r="D183" s="633"/>
      <c r="E183" s="633"/>
      <c r="F183" s="633"/>
      <c r="G183" s="633"/>
      <c r="H183" s="633"/>
      <c r="I183" s="70">
        <f>SUM(I170+I172+I176+I177+I182)</f>
        <v>980.12</v>
      </c>
    </row>
    <row r="184" spans="1:9" ht="14.25" customHeight="1">
      <c r="A184" s="623"/>
      <c r="B184" s="623"/>
      <c r="C184" s="623"/>
      <c r="D184" s="623"/>
      <c r="E184" s="623"/>
      <c r="F184" s="623"/>
      <c r="G184" s="623"/>
      <c r="H184" s="623"/>
      <c r="I184" s="623"/>
    </row>
    <row r="185" spans="1:9" ht="14.25" customHeight="1">
      <c r="A185" s="626" t="s">
        <v>243</v>
      </c>
      <c r="B185" s="626"/>
      <c r="C185" s="626"/>
      <c r="D185" s="626"/>
      <c r="E185" s="626"/>
      <c r="F185" s="626"/>
      <c r="G185" s="626"/>
      <c r="H185" s="119">
        <f>SUM(H176:H182)</f>
        <v>0.1225</v>
      </c>
      <c r="I185" s="120">
        <f>SUM(I176:I182)</f>
        <v>593.7099999999999</v>
      </c>
    </row>
    <row r="186" spans="1:9" ht="14.25" customHeight="1">
      <c r="A186" s="627" t="s">
        <v>244</v>
      </c>
      <c r="B186" s="627"/>
      <c r="C186" s="628" t="s">
        <v>245</v>
      </c>
      <c r="D186" s="628"/>
      <c r="E186" s="628"/>
      <c r="F186" s="628"/>
      <c r="G186" s="628"/>
      <c r="H186" s="628"/>
      <c r="I186" s="628"/>
    </row>
    <row r="187" spans="1:9" ht="14.25" customHeight="1">
      <c r="A187" s="627"/>
      <c r="B187" s="627"/>
      <c r="C187" s="628" t="s">
        <v>246</v>
      </c>
      <c r="D187" s="628"/>
      <c r="E187" s="628"/>
      <c r="F187" s="628"/>
      <c r="G187" s="628"/>
      <c r="H187" s="628"/>
      <c r="I187" s="628"/>
    </row>
    <row r="188" spans="1:9" ht="14.25" customHeight="1">
      <c r="A188" s="627"/>
      <c r="B188" s="627"/>
      <c r="C188" s="629" t="s">
        <v>247</v>
      </c>
      <c r="D188" s="629"/>
      <c r="E188" s="629"/>
      <c r="F188" s="629"/>
      <c r="G188" s="629"/>
      <c r="H188" s="629"/>
      <c r="I188" s="629"/>
    </row>
    <row r="189" spans="1:9" ht="14.25" customHeight="1">
      <c r="A189" s="622"/>
      <c r="B189" s="622"/>
      <c r="C189" s="622"/>
      <c r="D189" s="622"/>
      <c r="E189" s="622"/>
      <c r="F189" s="622"/>
      <c r="G189" s="622"/>
      <c r="H189" s="622"/>
      <c r="I189" s="622"/>
    </row>
    <row r="190" spans="1:9" ht="23.25" customHeight="1">
      <c r="A190" s="546" t="s">
        <v>248</v>
      </c>
      <c r="B190" s="546"/>
      <c r="C190" s="546"/>
      <c r="D190" s="546"/>
      <c r="E190" s="546"/>
      <c r="F190" s="546"/>
      <c r="G190" s="546"/>
      <c r="H190" s="546"/>
      <c r="I190" s="546"/>
    </row>
    <row r="191" spans="1:9" ht="14.25" customHeight="1">
      <c r="A191" s="623"/>
      <c r="B191" s="623"/>
      <c r="C191" s="623"/>
      <c r="D191" s="623"/>
      <c r="E191" s="623"/>
      <c r="F191" s="623"/>
      <c r="G191" s="623"/>
      <c r="H191" s="623"/>
      <c r="I191" s="623"/>
    </row>
    <row r="192" spans="1:9" ht="40.5" customHeight="1">
      <c r="A192" s="624" t="s">
        <v>249</v>
      </c>
      <c r="B192" s="624"/>
      <c r="C192" s="624"/>
      <c r="D192" s="624"/>
      <c r="E192" s="624"/>
      <c r="F192" s="624"/>
      <c r="G192" s="624"/>
      <c r="H192" s="624"/>
      <c r="I192" s="624"/>
    </row>
    <row r="193" spans="1:9" ht="15.75" customHeight="1">
      <c r="A193" s="625" t="s">
        <v>250</v>
      </c>
      <c r="B193" s="625"/>
      <c r="C193" s="625"/>
      <c r="D193" s="625"/>
      <c r="E193" s="625"/>
      <c r="F193" s="625"/>
      <c r="G193" s="625"/>
      <c r="H193" s="625"/>
      <c r="I193" s="44" t="s">
        <v>152</v>
      </c>
    </row>
    <row r="194" spans="1:9" ht="14.25" customHeight="1">
      <c r="A194" s="121" t="s">
        <v>86</v>
      </c>
      <c r="B194" s="621" t="s">
        <v>251</v>
      </c>
      <c r="C194" s="621"/>
      <c r="D194" s="621"/>
      <c r="E194" s="621"/>
      <c r="F194" s="621"/>
      <c r="G194" s="621"/>
      <c r="H194" s="621"/>
      <c r="I194" s="45">
        <f>I67</f>
        <v>1421.92</v>
      </c>
    </row>
    <row r="195" spans="1:9" ht="14.25" customHeight="1">
      <c r="A195" s="121" t="s">
        <v>88</v>
      </c>
      <c r="B195" s="621" t="s">
        <v>150</v>
      </c>
      <c r="C195" s="621"/>
      <c r="D195" s="621"/>
      <c r="E195" s="621"/>
      <c r="F195" s="621"/>
      <c r="G195" s="621"/>
      <c r="H195" s="621"/>
      <c r="I195" s="45">
        <f>I118</f>
        <v>1177.64</v>
      </c>
    </row>
    <row r="196" spans="1:9" ht="14.25" customHeight="1">
      <c r="A196" s="121" t="s">
        <v>90</v>
      </c>
      <c r="B196" s="621" t="s">
        <v>252</v>
      </c>
      <c r="C196" s="621"/>
      <c r="D196" s="621"/>
      <c r="E196" s="621"/>
      <c r="F196" s="621"/>
      <c r="G196" s="621"/>
      <c r="H196" s="621"/>
      <c r="I196" s="45">
        <f>I128</f>
        <v>102.55</v>
      </c>
    </row>
    <row r="197" spans="1:9" ht="14.25" customHeight="1">
      <c r="A197" s="121" t="s">
        <v>92</v>
      </c>
      <c r="B197" s="621" t="s">
        <v>253</v>
      </c>
      <c r="C197" s="621"/>
      <c r="D197" s="621"/>
      <c r="E197" s="621"/>
      <c r="F197" s="621"/>
      <c r="G197" s="621"/>
      <c r="H197" s="621"/>
      <c r="I197" s="45">
        <f>I155</f>
        <v>44.92</v>
      </c>
    </row>
    <row r="198" spans="1:9" ht="14.25" customHeight="1">
      <c r="A198" s="121" t="s">
        <v>144</v>
      </c>
      <c r="B198" s="621" t="s">
        <v>254</v>
      </c>
      <c r="C198" s="621"/>
      <c r="D198" s="621"/>
      <c r="E198" s="621"/>
      <c r="F198" s="621"/>
      <c r="G198" s="621"/>
      <c r="H198" s="621"/>
      <c r="I198" s="45">
        <f>I163</f>
        <v>1119.4766403965275</v>
      </c>
    </row>
    <row r="199" spans="1:9" ht="14.25" customHeight="1">
      <c r="A199" s="616" t="s">
        <v>255</v>
      </c>
      <c r="B199" s="616"/>
      <c r="C199" s="616"/>
      <c r="D199" s="616"/>
      <c r="E199" s="616"/>
      <c r="F199" s="616"/>
      <c r="G199" s="616"/>
      <c r="H199" s="616"/>
      <c r="I199" s="106">
        <f>SUM(I194:I198)</f>
        <v>3866.5066403965284</v>
      </c>
    </row>
    <row r="200" spans="1:9" ht="14.25" customHeight="1">
      <c r="A200" s="122" t="s">
        <v>146</v>
      </c>
      <c r="B200" s="621" t="s">
        <v>256</v>
      </c>
      <c r="C200" s="621"/>
      <c r="D200" s="621"/>
      <c r="E200" s="621"/>
      <c r="F200" s="621"/>
      <c r="G200" s="621"/>
      <c r="H200" s="621"/>
      <c r="I200" s="45">
        <f>I183</f>
        <v>980.12</v>
      </c>
    </row>
    <row r="201" spans="1:9" ht="14.25" customHeight="1">
      <c r="A201" s="616" t="s">
        <v>257</v>
      </c>
      <c r="B201" s="616"/>
      <c r="C201" s="616"/>
      <c r="D201" s="616"/>
      <c r="E201" s="616"/>
      <c r="F201" s="616"/>
      <c r="G201" s="616"/>
      <c r="H201" s="616"/>
      <c r="I201" s="106">
        <f>SUM(I199:I200)</f>
        <v>4846.626640396528</v>
      </c>
    </row>
    <row r="202" spans="1:9" ht="12.75">
      <c r="A202" s="123"/>
      <c r="B202" s="123"/>
      <c r="C202" s="123"/>
      <c r="D202" s="123"/>
      <c r="E202" s="123"/>
      <c r="F202" s="123"/>
      <c r="G202" s="123"/>
      <c r="H202" s="124"/>
      <c r="I202" s="125"/>
    </row>
    <row r="203" spans="1:9" ht="15.75" customHeight="1">
      <c r="A203" s="617"/>
      <c r="B203" s="617"/>
      <c r="C203" s="617"/>
      <c r="D203" s="617"/>
      <c r="E203" s="617"/>
      <c r="F203" s="617"/>
      <c r="G203" s="617"/>
      <c r="H203" s="617"/>
      <c r="I203" s="617"/>
    </row>
    <row r="204" spans="1:9" ht="16.5" customHeight="1">
      <c r="A204" s="618" t="s">
        <v>258</v>
      </c>
      <c r="B204" s="618"/>
      <c r="C204" s="618"/>
      <c r="D204" s="618"/>
      <c r="E204" s="618"/>
      <c r="F204" s="618"/>
      <c r="G204" s="618"/>
      <c r="H204" s="618"/>
      <c r="I204" s="618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126"/>
    </row>
    <row r="206" spans="1:9" ht="14.25" customHeight="1">
      <c r="A206" s="619" t="s">
        <v>259</v>
      </c>
      <c r="B206" s="619"/>
      <c r="C206" s="619"/>
      <c r="D206" s="619"/>
      <c r="E206" s="619"/>
      <c r="F206" s="619"/>
      <c r="G206" s="619"/>
      <c r="H206" s="619"/>
      <c r="I206" s="619"/>
    </row>
    <row r="207" spans="1:9" ht="34.5" customHeight="1">
      <c r="A207" s="620" t="s">
        <v>570</v>
      </c>
      <c r="B207" s="620"/>
      <c r="C207" s="620"/>
      <c r="D207" s="620"/>
      <c r="E207" s="620"/>
      <c r="F207" s="620"/>
      <c r="G207" s="620"/>
      <c r="H207" s="620"/>
      <c r="I207" s="620"/>
    </row>
    <row r="208" spans="1:9" ht="47.25" customHeight="1">
      <c r="A208" s="592" t="s">
        <v>571</v>
      </c>
      <c r="B208" s="592"/>
      <c r="C208" s="510" t="s">
        <v>573</v>
      </c>
      <c r="D208" s="510"/>
      <c r="E208" s="510" t="s">
        <v>574</v>
      </c>
      <c r="F208" s="510"/>
      <c r="G208" s="510" t="s">
        <v>260</v>
      </c>
      <c r="H208" s="510"/>
      <c r="I208" s="510"/>
    </row>
    <row r="209" spans="1:9" ht="14.25" customHeight="1">
      <c r="A209" s="601" t="s">
        <v>261</v>
      </c>
      <c r="B209" s="601"/>
      <c r="C209" s="615" t="s">
        <v>262</v>
      </c>
      <c r="D209" s="615"/>
      <c r="E209" s="562">
        <v>0</v>
      </c>
      <c r="F209" s="562"/>
      <c r="G209" s="562">
        <v>0</v>
      </c>
      <c r="H209" s="562"/>
      <c r="I209" s="562"/>
    </row>
    <row r="210" spans="1:9" ht="14.25" customHeight="1">
      <c r="A210" s="601" t="s">
        <v>263</v>
      </c>
      <c r="B210" s="601"/>
      <c r="C210" s="602" t="s">
        <v>264</v>
      </c>
      <c r="D210" s="602"/>
      <c r="E210" s="600">
        <f>I201</f>
        <v>4846.626640396528</v>
      </c>
      <c r="F210" s="600"/>
      <c r="G210" s="578">
        <f>ROUND((1/1200)*E210,2)</f>
        <v>4.04</v>
      </c>
      <c r="H210" s="578"/>
      <c r="I210" s="578"/>
    </row>
    <row r="211" spans="1:9" ht="14.25" customHeight="1">
      <c r="A211" s="577" t="s">
        <v>11</v>
      </c>
      <c r="B211" s="577"/>
      <c r="C211" s="577"/>
      <c r="D211" s="577"/>
      <c r="E211" s="577"/>
      <c r="F211" s="577"/>
      <c r="G211" s="578">
        <f>SUM(G209+G210)</f>
        <v>4.04</v>
      </c>
      <c r="H211" s="578"/>
      <c r="I211" s="578"/>
    </row>
    <row r="212" spans="1:9" ht="14.25" customHeight="1">
      <c r="A212" s="613"/>
      <c r="B212" s="613"/>
      <c r="C212" s="613"/>
      <c r="D212" s="613"/>
      <c r="E212" s="613"/>
      <c r="F212" s="613"/>
      <c r="G212" s="613"/>
      <c r="H212" s="613"/>
      <c r="I212" s="613"/>
    </row>
    <row r="213" spans="1:9" ht="14.25" customHeight="1">
      <c r="A213" s="610" t="s">
        <v>265</v>
      </c>
      <c r="B213" s="610"/>
      <c r="C213" s="608" t="s">
        <v>262</v>
      </c>
      <c r="D213" s="608"/>
      <c r="E213" s="583">
        <v>0</v>
      </c>
      <c r="F213" s="583"/>
      <c r="G213" s="603">
        <v>0</v>
      </c>
      <c r="H213" s="603"/>
      <c r="I213" s="603"/>
    </row>
    <row r="214" spans="1:9" ht="14.25" customHeight="1">
      <c r="A214" s="601" t="s">
        <v>266</v>
      </c>
      <c r="B214" s="601"/>
      <c r="C214" s="602" t="s">
        <v>264</v>
      </c>
      <c r="D214" s="602"/>
      <c r="E214" s="562">
        <f>I201</f>
        <v>4846.626640396528</v>
      </c>
      <c r="F214" s="562"/>
      <c r="G214" s="603">
        <f>ROUND((1/1200)*E214,2)</f>
        <v>4.04</v>
      </c>
      <c r="H214" s="603"/>
      <c r="I214" s="603"/>
    </row>
    <row r="215" spans="1:9" ht="14.25" customHeight="1">
      <c r="A215" s="606" t="s">
        <v>11</v>
      </c>
      <c r="B215" s="606"/>
      <c r="C215" s="606"/>
      <c r="D215" s="606"/>
      <c r="E215" s="606"/>
      <c r="F215" s="606"/>
      <c r="G215" s="578">
        <f>SUM(G213+G214)</f>
        <v>4.04</v>
      </c>
      <c r="H215" s="578"/>
      <c r="I215" s="578"/>
    </row>
    <row r="216" spans="1:9" ht="14.25" customHeight="1">
      <c r="A216" s="613"/>
      <c r="B216" s="613"/>
      <c r="C216" s="613"/>
      <c r="D216" s="613"/>
      <c r="E216" s="613"/>
      <c r="F216" s="613"/>
      <c r="G216" s="613"/>
      <c r="H216" s="613"/>
      <c r="I216" s="613"/>
    </row>
    <row r="217" spans="1:9" ht="14.25" customHeight="1">
      <c r="A217" s="610" t="s">
        <v>267</v>
      </c>
      <c r="B217" s="610"/>
      <c r="C217" s="608" t="s">
        <v>268</v>
      </c>
      <c r="D217" s="608"/>
      <c r="E217" s="609">
        <v>0</v>
      </c>
      <c r="F217" s="609"/>
      <c r="G217" s="603">
        <v>0</v>
      </c>
      <c r="H217" s="603"/>
      <c r="I217" s="603"/>
    </row>
    <row r="218" spans="1:9" ht="14.25" customHeight="1">
      <c r="A218" s="601" t="s">
        <v>269</v>
      </c>
      <c r="B218" s="601"/>
      <c r="C218" s="602" t="s">
        <v>270</v>
      </c>
      <c r="D218" s="602"/>
      <c r="E218" s="562">
        <f>I201</f>
        <v>4846.626640396528</v>
      </c>
      <c r="F218" s="562"/>
      <c r="G218" s="603">
        <f>ROUND((1/450)*E218,2)</f>
        <v>10.77</v>
      </c>
      <c r="H218" s="603"/>
      <c r="I218" s="603"/>
    </row>
    <row r="219" spans="1:9" ht="14.25" customHeight="1">
      <c r="A219" s="606" t="s">
        <v>11</v>
      </c>
      <c r="B219" s="606"/>
      <c r="C219" s="606"/>
      <c r="D219" s="606"/>
      <c r="E219" s="606"/>
      <c r="F219" s="606"/>
      <c r="G219" s="578">
        <f>SUM(G217+G218)</f>
        <v>10.77</v>
      </c>
      <c r="H219" s="578"/>
      <c r="I219" s="578"/>
    </row>
    <row r="220" spans="1:9" ht="14.25" customHeight="1">
      <c r="A220" s="613"/>
      <c r="B220" s="613"/>
      <c r="C220" s="613"/>
      <c r="D220" s="613"/>
      <c r="E220" s="613"/>
      <c r="F220" s="613"/>
      <c r="G220" s="613"/>
      <c r="H220" s="613"/>
      <c r="I220" s="613"/>
    </row>
    <row r="221" spans="1:9" ht="14.25" customHeight="1">
      <c r="A221" s="614" t="s">
        <v>271</v>
      </c>
      <c r="B221" s="614"/>
      <c r="C221" s="608" t="s">
        <v>272</v>
      </c>
      <c r="D221" s="608"/>
      <c r="E221" s="583">
        <v>0</v>
      </c>
      <c r="F221" s="583"/>
      <c r="G221" s="603">
        <v>0</v>
      </c>
      <c r="H221" s="603"/>
      <c r="I221" s="603"/>
    </row>
    <row r="222" spans="1:9" ht="14.25" customHeight="1">
      <c r="A222" s="611" t="s">
        <v>273</v>
      </c>
      <c r="B222" s="611"/>
      <c r="C222" s="602" t="s">
        <v>274</v>
      </c>
      <c r="D222" s="602"/>
      <c r="E222" s="600">
        <f>I201</f>
        <v>4846.626640396528</v>
      </c>
      <c r="F222" s="600"/>
      <c r="G222" s="603">
        <f>ROUND((1/2500)*E222,2)</f>
        <v>1.94</v>
      </c>
      <c r="H222" s="603"/>
      <c r="I222" s="603"/>
    </row>
    <row r="223" spans="1:9" ht="14.25" customHeight="1">
      <c r="A223" s="606" t="s">
        <v>11</v>
      </c>
      <c r="B223" s="606"/>
      <c r="C223" s="606"/>
      <c r="D223" s="606"/>
      <c r="E223" s="606"/>
      <c r="F223" s="606"/>
      <c r="G223" s="612">
        <f>SUM(G221+G222)</f>
        <v>1.94</v>
      </c>
      <c r="H223" s="612"/>
      <c r="I223" s="612"/>
    </row>
    <row r="224" spans="1:9" ht="14.25" customHeight="1">
      <c r="A224" s="607"/>
      <c r="B224" s="607"/>
      <c r="C224" s="607"/>
      <c r="D224" s="607"/>
      <c r="E224" s="607"/>
      <c r="F224" s="607"/>
      <c r="G224" s="607"/>
      <c r="H224" s="607"/>
      <c r="I224" s="607"/>
    </row>
    <row r="225" spans="1:9" ht="14.25" customHeight="1">
      <c r="A225" s="610" t="s">
        <v>275</v>
      </c>
      <c r="B225" s="610"/>
      <c r="C225" s="608" t="s">
        <v>276</v>
      </c>
      <c r="D225" s="608"/>
      <c r="E225" s="609">
        <v>0</v>
      </c>
      <c r="F225" s="609"/>
      <c r="G225" s="603">
        <v>0</v>
      </c>
      <c r="H225" s="603"/>
      <c r="I225" s="603"/>
    </row>
    <row r="226" spans="1:9" ht="14.25" customHeight="1">
      <c r="A226" s="601" t="s">
        <v>277</v>
      </c>
      <c r="B226" s="601"/>
      <c r="C226" s="602" t="s">
        <v>278</v>
      </c>
      <c r="D226" s="602"/>
      <c r="E226" s="578">
        <f>I201</f>
        <v>4846.626640396528</v>
      </c>
      <c r="F226" s="578"/>
      <c r="G226" s="603">
        <f>ROUND((1/1800)*E226,2)</f>
        <v>2.69</v>
      </c>
      <c r="H226" s="603"/>
      <c r="I226" s="603"/>
    </row>
    <row r="227" spans="1:9" ht="14.25" customHeight="1">
      <c r="A227" s="606" t="s">
        <v>11</v>
      </c>
      <c r="B227" s="606"/>
      <c r="C227" s="606"/>
      <c r="D227" s="606"/>
      <c r="E227" s="606"/>
      <c r="F227" s="606"/>
      <c r="G227" s="578">
        <f>SUM(G225+G226)</f>
        <v>2.69</v>
      </c>
      <c r="H227" s="578"/>
      <c r="I227" s="578"/>
    </row>
    <row r="228" spans="1:9" ht="14.25" customHeight="1">
      <c r="A228" s="607"/>
      <c r="B228" s="607"/>
      <c r="C228" s="607"/>
      <c r="D228" s="607"/>
      <c r="E228" s="607"/>
      <c r="F228" s="607"/>
      <c r="G228" s="607"/>
      <c r="H228" s="607"/>
      <c r="I228" s="607"/>
    </row>
    <row r="229" spans="1:9" ht="24.75" customHeight="1">
      <c r="A229" s="601" t="s">
        <v>279</v>
      </c>
      <c r="B229" s="601"/>
      <c r="C229" s="608" t="s">
        <v>280</v>
      </c>
      <c r="D229" s="608"/>
      <c r="E229" s="609">
        <v>0</v>
      </c>
      <c r="F229" s="609"/>
      <c r="G229" s="603">
        <v>0</v>
      </c>
      <c r="H229" s="603"/>
      <c r="I229" s="603"/>
    </row>
    <row r="230" spans="1:9" ht="24.75" customHeight="1">
      <c r="A230" s="601" t="s">
        <v>281</v>
      </c>
      <c r="B230" s="601"/>
      <c r="C230" s="602" t="s">
        <v>282</v>
      </c>
      <c r="D230" s="602"/>
      <c r="E230" s="600">
        <f>I201</f>
        <v>4846.626640396528</v>
      </c>
      <c r="F230" s="600"/>
      <c r="G230" s="603">
        <f>ROUND((1/1500)*E230,2)</f>
        <v>3.23</v>
      </c>
      <c r="H230" s="603"/>
      <c r="I230" s="603"/>
    </row>
    <row r="231" spans="1:9" ht="14.25" customHeight="1">
      <c r="A231" s="604" t="s">
        <v>11</v>
      </c>
      <c r="B231" s="604"/>
      <c r="C231" s="604"/>
      <c r="D231" s="604"/>
      <c r="E231" s="604"/>
      <c r="F231" s="604"/>
      <c r="G231" s="605">
        <f>SUM(G229+G230)</f>
        <v>3.23</v>
      </c>
      <c r="H231" s="605"/>
      <c r="I231" s="605"/>
    </row>
    <row r="232" spans="1:9" ht="14.25" customHeight="1">
      <c r="A232" s="594"/>
      <c r="B232" s="594"/>
      <c r="C232" s="594"/>
      <c r="D232" s="594"/>
      <c r="E232" s="594"/>
      <c r="F232" s="594"/>
      <c r="G232" s="594"/>
      <c r="H232" s="594"/>
      <c r="I232" s="594"/>
    </row>
    <row r="233" spans="1:9" ht="14.25" customHeight="1">
      <c r="A233" s="597" t="s">
        <v>283</v>
      </c>
      <c r="B233" s="597"/>
      <c r="C233" s="598" t="s">
        <v>284</v>
      </c>
      <c r="D233" s="598"/>
      <c r="E233" s="599">
        <v>0</v>
      </c>
      <c r="F233" s="599"/>
      <c r="G233" s="589">
        <v>0</v>
      </c>
      <c r="H233" s="589"/>
      <c r="I233" s="589"/>
    </row>
    <row r="234" spans="1:9" ht="14.25" customHeight="1">
      <c r="A234" s="597" t="s">
        <v>285</v>
      </c>
      <c r="B234" s="597"/>
      <c r="C234" s="598" t="s">
        <v>286</v>
      </c>
      <c r="D234" s="598"/>
      <c r="E234" s="600">
        <f>I201</f>
        <v>4846.626640396528</v>
      </c>
      <c r="F234" s="600"/>
      <c r="G234" s="589">
        <f>ROUND((1/300)*E234,2)</f>
        <v>16.16</v>
      </c>
      <c r="H234" s="589"/>
      <c r="I234" s="589"/>
    </row>
    <row r="235" spans="1:9" ht="14.25" customHeight="1">
      <c r="A235" s="593" t="s">
        <v>11</v>
      </c>
      <c r="B235" s="593"/>
      <c r="C235" s="593"/>
      <c r="D235" s="593"/>
      <c r="E235" s="593"/>
      <c r="F235" s="593"/>
      <c r="G235" s="589">
        <f>SUM(G233+G234)</f>
        <v>16.16</v>
      </c>
      <c r="H235" s="589"/>
      <c r="I235" s="589"/>
    </row>
    <row r="236" spans="1:9" ht="14.25" customHeight="1">
      <c r="A236" s="594"/>
      <c r="B236" s="594"/>
      <c r="C236" s="594"/>
      <c r="D236" s="594"/>
      <c r="E236" s="594"/>
      <c r="F236" s="594"/>
      <c r="G236" s="594"/>
      <c r="H236" s="594"/>
      <c r="I236" s="594"/>
    </row>
    <row r="237" spans="1:9" ht="14.25" customHeight="1">
      <c r="A237" s="595" t="s">
        <v>287</v>
      </c>
      <c r="B237" s="595"/>
      <c r="C237" s="595"/>
      <c r="D237" s="595"/>
      <c r="E237" s="595"/>
      <c r="F237" s="595"/>
      <c r="G237" s="595"/>
      <c r="H237" s="595"/>
      <c r="I237" s="595"/>
    </row>
    <row r="238" spans="1:9" ht="14.25" customHeight="1">
      <c r="A238" s="508"/>
      <c r="B238" s="508"/>
      <c r="C238" s="508"/>
      <c r="D238" s="508"/>
      <c r="E238" s="508"/>
      <c r="F238" s="508"/>
      <c r="G238" s="508"/>
      <c r="H238" s="508"/>
      <c r="I238" s="508"/>
    </row>
    <row r="239" spans="1:9" ht="28.5" customHeight="1">
      <c r="A239" s="596" t="s">
        <v>575</v>
      </c>
      <c r="B239" s="596"/>
      <c r="C239" s="596"/>
      <c r="D239" s="596"/>
      <c r="E239" s="596"/>
      <c r="F239" s="596"/>
      <c r="G239" s="596"/>
      <c r="H239" s="596"/>
      <c r="I239" s="596"/>
    </row>
    <row r="240" spans="1:9" ht="47.25" customHeight="1">
      <c r="A240" s="592" t="s">
        <v>578</v>
      </c>
      <c r="B240" s="592"/>
      <c r="C240" s="510" t="s">
        <v>573</v>
      </c>
      <c r="D240" s="510"/>
      <c r="E240" s="510" t="s">
        <v>576</v>
      </c>
      <c r="F240" s="510"/>
      <c r="G240" s="510" t="s">
        <v>260</v>
      </c>
      <c r="H240" s="510"/>
      <c r="I240" s="510"/>
    </row>
    <row r="241" spans="1:9" ht="39" customHeight="1">
      <c r="A241" s="584" t="s">
        <v>288</v>
      </c>
      <c r="B241" s="584"/>
      <c r="C241" s="585" t="s">
        <v>289</v>
      </c>
      <c r="D241" s="585"/>
      <c r="E241" s="562">
        <v>0</v>
      </c>
      <c r="F241" s="562"/>
      <c r="G241" s="562">
        <f>ROUND(1/(30*2250)*E241,2)</f>
        <v>0</v>
      </c>
      <c r="H241" s="562"/>
      <c r="I241" s="562"/>
    </row>
    <row r="242" spans="1:9" ht="54.75" customHeight="1">
      <c r="A242" s="584" t="s">
        <v>290</v>
      </c>
      <c r="B242" s="584"/>
      <c r="C242" s="585" t="s">
        <v>291</v>
      </c>
      <c r="D242" s="585"/>
      <c r="E242" s="562">
        <f>I201</f>
        <v>4846.626640396528</v>
      </c>
      <c r="F242" s="562"/>
      <c r="G242" s="562">
        <f>ROUND((1/2700)*E242,2)</f>
        <v>1.8</v>
      </c>
      <c r="H242" s="562"/>
      <c r="I242" s="562"/>
    </row>
    <row r="243" spans="1:9" ht="14.25" customHeight="1">
      <c r="A243" s="577" t="s">
        <v>11</v>
      </c>
      <c r="B243" s="577"/>
      <c r="C243" s="577"/>
      <c r="D243" s="577"/>
      <c r="E243" s="577"/>
      <c r="F243" s="577"/>
      <c r="G243" s="578">
        <f>SUM(G241+G242)</f>
        <v>1.8</v>
      </c>
      <c r="H243" s="578"/>
      <c r="I243" s="578"/>
    </row>
    <row r="244" spans="1:9" ht="14.25" customHeight="1">
      <c r="A244" s="591"/>
      <c r="B244" s="591"/>
      <c r="C244" s="591"/>
      <c r="D244" s="591"/>
      <c r="E244" s="591"/>
      <c r="F244" s="591"/>
      <c r="G244" s="591"/>
      <c r="H244" s="591"/>
      <c r="I244" s="591"/>
    </row>
    <row r="245" spans="1:9" ht="24.75" customHeight="1">
      <c r="A245" s="581" t="s">
        <v>292</v>
      </c>
      <c r="B245" s="581"/>
      <c r="C245" s="582" t="s">
        <v>293</v>
      </c>
      <c r="D245" s="582"/>
      <c r="E245" s="583">
        <v>0</v>
      </c>
      <c r="F245" s="583"/>
      <c r="G245" s="562">
        <f>ROUND(1/(30*7500)*E245,2)</f>
        <v>0</v>
      </c>
      <c r="H245" s="562"/>
      <c r="I245" s="562"/>
    </row>
    <row r="246" spans="1:9" ht="24.75" customHeight="1">
      <c r="A246" s="584" t="s">
        <v>294</v>
      </c>
      <c r="B246" s="584"/>
      <c r="C246" s="585" t="s">
        <v>295</v>
      </c>
      <c r="D246" s="585"/>
      <c r="E246" s="562">
        <f>I201</f>
        <v>4846.626640396528</v>
      </c>
      <c r="F246" s="562"/>
      <c r="G246" s="562">
        <f>ROUND((1/9000)*E246,2)</f>
        <v>0.54</v>
      </c>
      <c r="H246" s="562"/>
      <c r="I246" s="562"/>
    </row>
    <row r="247" spans="1:9" ht="14.25" customHeight="1">
      <c r="A247" s="577" t="s">
        <v>11</v>
      </c>
      <c r="B247" s="577"/>
      <c r="C247" s="577"/>
      <c r="D247" s="577"/>
      <c r="E247" s="577"/>
      <c r="F247" s="577"/>
      <c r="G247" s="578">
        <f>SUM(G245+G246)</f>
        <v>0.54</v>
      </c>
      <c r="H247" s="578"/>
      <c r="I247" s="578"/>
    </row>
    <row r="248" spans="1:9" ht="14.25" customHeight="1">
      <c r="A248" s="580"/>
      <c r="B248" s="580"/>
      <c r="C248" s="580"/>
      <c r="D248" s="580"/>
      <c r="E248" s="580"/>
      <c r="F248" s="580"/>
      <c r="G248" s="580"/>
      <c r="H248" s="580"/>
      <c r="I248" s="580"/>
    </row>
    <row r="249" spans="1:9" ht="24.75" customHeight="1">
      <c r="A249" s="581" t="s">
        <v>296</v>
      </c>
      <c r="B249" s="581"/>
      <c r="C249" s="582" t="s">
        <v>289</v>
      </c>
      <c r="D249" s="582"/>
      <c r="E249" s="583">
        <v>0</v>
      </c>
      <c r="F249" s="583"/>
      <c r="G249" s="562">
        <f>ROUND(1/(30*2250)*E249,2)</f>
        <v>0</v>
      </c>
      <c r="H249" s="562"/>
      <c r="I249" s="562"/>
    </row>
    <row r="250" spans="1:9" ht="24.75" customHeight="1">
      <c r="A250" s="584" t="s">
        <v>297</v>
      </c>
      <c r="B250" s="584"/>
      <c r="C250" s="585" t="s">
        <v>291</v>
      </c>
      <c r="D250" s="585"/>
      <c r="E250" s="562">
        <f>I201</f>
        <v>4846.626640396528</v>
      </c>
      <c r="F250" s="562"/>
      <c r="G250" s="562">
        <f>ROUND((1/2700)*E250,2)</f>
        <v>1.8</v>
      </c>
      <c r="H250" s="562"/>
      <c r="I250" s="562"/>
    </row>
    <row r="251" spans="1:9" ht="14.25" customHeight="1">
      <c r="A251" s="577" t="s">
        <v>11</v>
      </c>
      <c r="B251" s="577"/>
      <c r="C251" s="577"/>
      <c r="D251" s="577"/>
      <c r="E251" s="577"/>
      <c r="F251" s="577"/>
      <c r="G251" s="578">
        <f>SUM(G249+G250)</f>
        <v>1.8</v>
      </c>
      <c r="H251" s="578"/>
      <c r="I251" s="578"/>
    </row>
    <row r="252" spans="1:9" ht="14.25" customHeight="1">
      <c r="A252" s="580"/>
      <c r="B252" s="580"/>
      <c r="C252" s="580"/>
      <c r="D252" s="580"/>
      <c r="E252" s="580"/>
      <c r="F252" s="580"/>
      <c r="G252" s="580"/>
      <c r="H252" s="580"/>
      <c r="I252" s="580"/>
    </row>
    <row r="253" spans="1:9" ht="24.75" customHeight="1">
      <c r="A253" s="581" t="s">
        <v>298</v>
      </c>
      <c r="B253" s="581"/>
      <c r="C253" s="582" t="s">
        <v>289</v>
      </c>
      <c r="D253" s="582"/>
      <c r="E253" s="583">
        <v>0</v>
      </c>
      <c r="F253" s="583"/>
      <c r="G253" s="562">
        <f>ROUND(1/(30*2250)*E253,2)</f>
        <v>0</v>
      </c>
      <c r="H253" s="562"/>
      <c r="I253" s="562"/>
    </row>
    <row r="254" spans="1:9" ht="36" customHeight="1">
      <c r="A254" s="584" t="s">
        <v>299</v>
      </c>
      <c r="B254" s="584"/>
      <c r="C254" s="585" t="s">
        <v>291</v>
      </c>
      <c r="D254" s="585"/>
      <c r="E254" s="562">
        <f>I201</f>
        <v>4846.626640396528</v>
      </c>
      <c r="F254" s="562"/>
      <c r="G254" s="562">
        <f>ROUND((1/2700)*E254,2)</f>
        <v>1.8</v>
      </c>
      <c r="H254" s="562"/>
      <c r="I254" s="562"/>
    </row>
    <row r="255" spans="1:9" ht="14.25" customHeight="1">
      <c r="A255" s="577" t="s">
        <v>11</v>
      </c>
      <c r="B255" s="577"/>
      <c r="C255" s="577"/>
      <c r="D255" s="577"/>
      <c r="E255" s="577"/>
      <c r="F255" s="577"/>
      <c r="G255" s="578">
        <f>SUM(G253+G254)</f>
        <v>1.8</v>
      </c>
      <c r="H255" s="578"/>
      <c r="I255" s="578"/>
    </row>
    <row r="256" spans="1:9" ht="14.25" customHeight="1">
      <c r="A256" s="590"/>
      <c r="B256" s="590"/>
      <c r="C256" s="590"/>
      <c r="D256" s="590"/>
      <c r="E256" s="590"/>
      <c r="F256" s="590"/>
      <c r="G256" s="590"/>
      <c r="H256" s="590"/>
      <c r="I256" s="590"/>
    </row>
    <row r="257" spans="1:9" ht="24.75" customHeight="1">
      <c r="A257" s="581" t="s">
        <v>300</v>
      </c>
      <c r="B257" s="581"/>
      <c r="C257" s="582" t="s">
        <v>289</v>
      </c>
      <c r="D257" s="582"/>
      <c r="E257" s="583">
        <v>0</v>
      </c>
      <c r="F257" s="583"/>
      <c r="G257" s="562">
        <f>ROUND(1/(30*2250)*E257,2)</f>
        <v>0</v>
      </c>
      <c r="H257" s="562"/>
      <c r="I257" s="562"/>
    </row>
    <row r="258" spans="1:9" ht="24.75" customHeight="1">
      <c r="A258" s="586" t="s">
        <v>301</v>
      </c>
      <c r="B258" s="586"/>
      <c r="C258" s="585" t="s">
        <v>291</v>
      </c>
      <c r="D258" s="585"/>
      <c r="E258" s="587">
        <f>I201</f>
        <v>4846.626640396528</v>
      </c>
      <c r="F258" s="587"/>
      <c r="G258" s="562">
        <f>ROUND((1/2700)*E258,2)</f>
        <v>1.8</v>
      </c>
      <c r="H258" s="562"/>
      <c r="I258" s="562"/>
    </row>
    <row r="259" spans="1:9" ht="14.25" customHeight="1">
      <c r="A259" s="588" t="s">
        <v>11</v>
      </c>
      <c r="B259" s="588"/>
      <c r="C259" s="588"/>
      <c r="D259" s="588"/>
      <c r="E259" s="588"/>
      <c r="F259" s="588"/>
      <c r="G259" s="589">
        <f>SUM(G257+G258)</f>
        <v>1.8</v>
      </c>
      <c r="H259" s="589"/>
      <c r="I259" s="589"/>
    </row>
    <row r="260" spans="1:9" ht="14.25" customHeight="1">
      <c r="A260" s="580"/>
      <c r="B260" s="580"/>
      <c r="C260" s="580"/>
      <c r="D260" s="580"/>
      <c r="E260" s="580"/>
      <c r="F260" s="580"/>
      <c r="G260" s="580"/>
      <c r="H260" s="580"/>
      <c r="I260" s="580"/>
    </row>
    <row r="261" spans="1:9" ht="36" customHeight="1">
      <c r="A261" s="581" t="s">
        <v>302</v>
      </c>
      <c r="B261" s="581"/>
      <c r="C261" s="582" t="s">
        <v>303</v>
      </c>
      <c r="D261" s="582"/>
      <c r="E261" s="583">
        <v>0</v>
      </c>
      <c r="F261" s="583"/>
      <c r="G261" s="562">
        <f>ROUND(1/(30*100000)*E261,2)</f>
        <v>0</v>
      </c>
      <c r="H261" s="562"/>
      <c r="I261" s="562"/>
    </row>
    <row r="262" spans="1:9" ht="36" customHeight="1">
      <c r="A262" s="584" t="s">
        <v>304</v>
      </c>
      <c r="B262" s="584"/>
      <c r="C262" s="585" t="s">
        <v>305</v>
      </c>
      <c r="D262" s="585"/>
      <c r="E262" s="562">
        <f>I201</f>
        <v>4846.626640396528</v>
      </c>
      <c r="F262" s="562"/>
      <c r="G262" s="562">
        <f>ROUND((1/100000)*E262,2)</f>
        <v>0.05</v>
      </c>
      <c r="H262" s="562"/>
      <c r="I262" s="562"/>
    </row>
    <row r="263" spans="1:9" ht="14.25" customHeight="1">
      <c r="A263" s="577" t="s">
        <v>11</v>
      </c>
      <c r="B263" s="577"/>
      <c r="C263" s="577"/>
      <c r="D263" s="577"/>
      <c r="E263" s="577"/>
      <c r="F263" s="577"/>
      <c r="G263" s="578">
        <f>SUM(G261+G262)</f>
        <v>0.05</v>
      </c>
      <c r="H263" s="578"/>
      <c r="I263" s="578"/>
    </row>
    <row r="264" spans="1:9" ht="14.25" customHeight="1">
      <c r="A264" s="545"/>
      <c r="B264" s="545"/>
      <c r="C264" s="545"/>
      <c r="D264" s="545"/>
      <c r="E264" s="545"/>
      <c r="F264" s="545"/>
      <c r="G264" s="545"/>
      <c r="H264" s="545"/>
      <c r="I264" s="545"/>
    </row>
    <row r="265" spans="1:9" ht="14.25" customHeight="1">
      <c r="A265" s="579" t="s">
        <v>306</v>
      </c>
      <c r="B265" s="579"/>
      <c r="C265" s="579"/>
      <c r="D265" s="579"/>
      <c r="E265" s="579"/>
      <c r="F265" s="579"/>
      <c r="G265" s="579"/>
      <c r="H265" s="579"/>
      <c r="I265" s="579"/>
    </row>
    <row r="266" spans="1:9" ht="15.75" customHeight="1">
      <c r="A266" s="580"/>
      <c r="B266" s="580"/>
      <c r="C266" s="580"/>
      <c r="D266" s="580"/>
      <c r="E266" s="580"/>
      <c r="F266" s="580"/>
      <c r="G266" s="580"/>
      <c r="H266" s="580"/>
      <c r="I266" s="580"/>
    </row>
    <row r="267" spans="1:9" ht="14.25" customHeight="1">
      <c r="A267" s="542" t="s">
        <v>579</v>
      </c>
      <c r="B267" s="542"/>
      <c r="C267" s="542"/>
      <c r="D267" s="542"/>
      <c r="E267" s="542"/>
      <c r="F267" s="542"/>
      <c r="G267" s="542"/>
      <c r="H267" s="542"/>
      <c r="I267" s="542"/>
    </row>
    <row r="268" spans="1:9" ht="12.75">
      <c r="A268" s="542"/>
      <c r="B268" s="542"/>
      <c r="C268" s="542"/>
      <c r="D268" s="542"/>
      <c r="E268" s="542"/>
      <c r="F268" s="542"/>
      <c r="G268" s="542"/>
      <c r="H268" s="542"/>
      <c r="I268" s="542"/>
    </row>
    <row r="269" spans="1:9" ht="58.5" customHeight="1">
      <c r="A269" s="127" t="s">
        <v>307</v>
      </c>
      <c r="B269" s="130" t="s">
        <v>308</v>
      </c>
      <c r="C269" s="130" t="s">
        <v>309</v>
      </c>
      <c r="D269" s="576" t="s">
        <v>310</v>
      </c>
      <c r="E269" s="576"/>
      <c r="F269" s="130" t="s">
        <v>311</v>
      </c>
      <c r="G269" s="130" t="s">
        <v>312</v>
      </c>
      <c r="H269" s="576" t="s">
        <v>313</v>
      </c>
      <c r="I269" s="576"/>
    </row>
    <row r="270" spans="1:9" ht="63.75">
      <c r="A270" s="131" t="s">
        <v>314</v>
      </c>
      <c r="B270" s="132" t="s">
        <v>315</v>
      </c>
      <c r="C270" s="133">
        <v>16</v>
      </c>
      <c r="D270" s="574" t="s">
        <v>316</v>
      </c>
      <c r="E270" s="574"/>
      <c r="F270" s="134">
        <f>ROUND((1/(30*160))*16*(1/188.76),7)</f>
        <v>1.77E-05</v>
      </c>
      <c r="G270" s="120">
        <v>0</v>
      </c>
      <c r="H270" s="562">
        <v>0</v>
      </c>
      <c r="I270" s="562"/>
    </row>
    <row r="271" spans="1:9" ht="63.75">
      <c r="A271" s="131" t="s">
        <v>317</v>
      </c>
      <c r="B271" s="129" t="s">
        <v>318</v>
      </c>
      <c r="C271" s="133">
        <v>16</v>
      </c>
      <c r="D271" s="574" t="s">
        <v>316</v>
      </c>
      <c r="E271" s="574"/>
      <c r="F271" s="134">
        <f>ROUND((1/160)*16*(1/188.76),7)</f>
        <v>0.0005298</v>
      </c>
      <c r="G271" s="120">
        <f>I201</f>
        <v>4846.626640396528</v>
      </c>
      <c r="H271" s="562">
        <f>ROUND(F271*G271,2)</f>
        <v>2.57</v>
      </c>
      <c r="I271" s="562"/>
    </row>
    <row r="272" spans="1:9" ht="14.25" customHeight="1">
      <c r="A272" s="561" t="s">
        <v>11</v>
      </c>
      <c r="B272" s="561"/>
      <c r="C272" s="561"/>
      <c r="D272" s="561"/>
      <c r="E272" s="561"/>
      <c r="F272" s="561"/>
      <c r="G272" s="561"/>
      <c r="H272" s="562">
        <f>SUM(H270+H271)</f>
        <v>2.57</v>
      </c>
      <c r="I272" s="562"/>
    </row>
    <row r="273" spans="1:9" ht="14.25" customHeight="1">
      <c r="A273" s="575"/>
      <c r="B273" s="575"/>
      <c r="C273" s="575"/>
      <c r="D273" s="575"/>
      <c r="E273" s="575"/>
      <c r="F273" s="575"/>
      <c r="G273" s="575"/>
      <c r="H273" s="575"/>
      <c r="I273" s="575"/>
    </row>
    <row r="274" spans="1:9" ht="63.75" customHeight="1">
      <c r="A274" s="131" t="s">
        <v>319</v>
      </c>
      <c r="B274" s="132" t="s">
        <v>320</v>
      </c>
      <c r="C274" s="133">
        <v>16</v>
      </c>
      <c r="D274" s="574" t="s">
        <v>316</v>
      </c>
      <c r="E274" s="574"/>
      <c r="F274" s="134">
        <f>ROUND((1/(30*380))*16*(1/188.76),7)</f>
        <v>7.4E-06</v>
      </c>
      <c r="G274" s="120">
        <v>0</v>
      </c>
      <c r="H274" s="562">
        <v>0</v>
      </c>
      <c r="I274" s="562"/>
    </row>
    <row r="275" spans="1:9" ht="65.25" customHeight="1">
      <c r="A275" s="131" t="s">
        <v>321</v>
      </c>
      <c r="B275" s="129" t="s">
        <v>322</v>
      </c>
      <c r="C275" s="133">
        <v>16</v>
      </c>
      <c r="D275" s="574" t="s">
        <v>316</v>
      </c>
      <c r="E275" s="574"/>
      <c r="F275" s="134">
        <f>ROUND((1/380)*16*(1/188.76),7)</f>
        <v>0.0002231</v>
      </c>
      <c r="G275" s="120">
        <f>I201</f>
        <v>4846.626640396528</v>
      </c>
      <c r="H275" s="562">
        <f>ROUND(F275*G275,2)</f>
        <v>1.08</v>
      </c>
      <c r="I275" s="562"/>
    </row>
    <row r="276" spans="1:9" ht="14.25" customHeight="1">
      <c r="A276" s="561" t="s">
        <v>11</v>
      </c>
      <c r="B276" s="561"/>
      <c r="C276" s="561"/>
      <c r="D276" s="561"/>
      <c r="E276" s="561"/>
      <c r="F276" s="561"/>
      <c r="G276" s="561"/>
      <c r="H276" s="562">
        <f>SUM(H274+H275)</f>
        <v>1.08</v>
      </c>
      <c r="I276" s="562"/>
    </row>
    <row r="277" spans="1:9" ht="14.25" customHeight="1">
      <c r="A277" s="567"/>
      <c r="B277" s="567"/>
      <c r="C277" s="567"/>
      <c r="D277" s="567"/>
      <c r="E277" s="567"/>
      <c r="F277" s="567"/>
      <c r="G277" s="567"/>
      <c r="H277" s="567"/>
      <c r="I277" s="567"/>
    </row>
    <row r="278" spans="1:9" ht="24.75" customHeight="1">
      <c r="A278" s="128" t="s">
        <v>323</v>
      </c>
      <c r="B278" s="132" t="s">
        <v>320</v>
      </c>
      <c r="C278" s="133">
        <v>16</v>
      </c>
      <c r="D278" s="574" t="s">
        <v>316</v>
      </c>
      <c r="E278" s="574"/>
      <c r="F278" s="134">
        <f>ROUND((1/(30*380))*16*(1/188.76),7)</f>
        <v>7.4E-06</v>
      </c>
      <c r="G278" s="120">
        <v>0</v>
      </c>
      <c r="H278" s="562">
        <v>0</v>
      </c>
      <c r="I278" s="562"/>
    </row>
    <row r="279" spans="1:9" ht="24.75" customHeight="1">
      <c r="A279" s="128" t="s">
        <v>324</v>
      </c>
      <c r="B279" s="135" t="s">
        <v>322</v>
      </c>
      <c r="C279" s="136">
        <v>16</v>
      </c>
      <c r="D279" s="574" t="s">
        <v>316</v>
      </c>
      <c r="E279" s="574"/>
      <c r="F279" s="134">
        <f>ROUND((1/380)*16*(1/188.76),7)</f>
        <v>0.0002231</v>
      </c>
      <c r="G279" s="120">
        <f>I201</f>
        <v>4846.626640396528</v>
      </c>
      <c r="H279" s="562">
        <f>ROUND(F279*G279,2)</f>
        <v>1.08</v>
      </c>
      <c r="I279" s="562"/>
    </row>
    <row r="280" spans="1:9" ht="14.25" customHeight="1">
      <c r="A280" s="561" t="s">
        <v>11</v>
      </c>
      <c r="B280" s="561"/>
      <c r="C280" s="561"/>
      <c r="D280" s="561"/>
      <c r="E280" s="561"/>
      <c r="F280" s="561"/>
      <c r="G280" s="561"/>
      <c r="H280" s="562">
        <f>SUM(H278+H279)</f>
        <v>1.08</v>
      </c>
      <c r="I280" s="562"/>
    </row>
    <row r="281" spans="1:9" ht="14.25" customHeight="1">
      <c r="A281" s="545"/>
      <c r="B281" s="545"/>
      <c r="C281" s="545"/>
      <c r="D281" s="545"/>
      <c r="E281" s="545"/>
      <c r="F281" s="545"/>
      <c r="G281" s="545"/>
      <c r="H281" s="545"/>
      <c r="I281" s="545"/>
    </row>
    <row r="282" spans="1:9" ht="14.25" customHeight="1">
      <c r="A282" s="546" t="s">
        <v>325</v>
      </c>
      <c r="B282" s="546"/>
      <c r="C282" s="546"/>
      <c r="D282" s="546"/>
      <c r="E282" s="546"/>
      <c r="F282" s="546"/>
      <c r="G282" s="546"/>
      <c r="H282" s="546"/>
      <c r="I282" s="546"/>
    </row>
    <row r="283" spans="1:9" ht="14.25" customHeight="1">
      <c r="A283" s="573"/>
      <c r="B283" s="573"/>
      <c r="C283" s="573"/>
      <c r="D283" s="573"/>
      <c r="E283" s="573"/>
      <c r="F283" s="573"/>
      <c r="G283" s="573"/>
      <c r="H283" s="573"/>
      <c r="I283" s="573"/>
    </row>
    <row r="284" spans="1:9" ht="14.25" customHeight="1">
      <c r="A284" s="542" t="s">
        <v>326</v>
      </c>
      <c r="B284" s="542"/>
      <c r="C284" s="542"/>
      <c r="D284" s="542"/>
      <c r="E284" s="542"/>
      <c r="F284" s="542"/>
      <c r="G284" s="542"/>
      <c r="H284" s="542"/>
      <c r="I284" s="542"/>
    </row>
    <row r="285" spans="1:9" ht="58.5" customHeight="1">
      <c r="A285" s="127" t="s">
        <v>578</v>
      </c>
      <c r="B285" s="137" t="s">
        <v>327</v>
      </c>
      <c r="C285" s="137" t="s">
        <v>328</v>
      </c>
      <c r="D285" s="569" t="s">
        <v>329</v>
      </c>
      <c r="E285" s="569"/>
      <c r="F285" s="137" t="s">
        <v>330</v>
      </c>
      <c r="G285" s="137" t="s">
        <v>331</v>
      </c>
      <c r="H285" s="569" t="s">
        <v>332</v>
      </c>
      <c r="I285" s="569"/>
    </row>
    <row r="286" spans="1:9" ht="12.75">
      <c r="A286" s="138" t="s">
        <v>333</v>
      </c>
      <c r="B286" s="135" t="s">
        <v>334</v>
      </c>
      <c r="C286" s="136">
        <v>8</v>
      </c>
      <c r="D286" s="570" t="s">
        <v>335</v>
      </c>
      <c r="E286" s="570"/>
      <c r="F286" s="139">
        <f>ROUND((1/(4*160))*8*(1/1132.6),7)</f>
        <v>1.1E-05</v>
      </c>
      <c r="G286" s="140">
        <v>0</v>
      </c>
      <c r="H286" s="571">
        <f>ROUND(F286*G286,2)</f>
        <v>0</v>
      </c>
      <c r="I286" s="571"/>
    </row>
    <row r="287" spans="1:9" ht="12.75">
      <c r="A287" s="138" t="s">
        <v>336</v>
      </c>
      <c r="B287" s="135" t="s">
        <v>318</v>
      </c>
      <c r="C287" s="136">
        <v>8</v>
      </c>
      <c r="D287" s="572" t="s">
        <v>335</v>
      </c>
      <c r="E287" s="572"/>
      <c r="F287" s="139">
        <f>ROUND((1/160)*8*(1/1132.6),7)</f>
        <v>4.41E-05</v>
      </c>
      <c r="G287" s="140">
        <f>I201</f>
        <v>4846.626640396528</v>
      </c>
      <c r="H287" s="571">
        <f>ROUND(F287*G287,2)</f>
        <v>0.21</v>
      </c>
      <c r="I287" s="571"/>
    </row>
    <row r="288" spans="1:9" ht="14.25" customHeight="1">
      <c r="A288" s="561" t="s">
        <v>11</v>
      </c>
      <c r="B288" s="561"/>
      <c r="C288" s="561"/>
      <c r="D288" s="561"/>
      <c r="E288" s="561"/>
      <c r="F288" s="561"/>
      <c r="G288" s="561"/>
      <c r="H288" s="562">
        <f>SUM(H286+H287)</f>
        <v>0.21</v>
      </c>
      <c r="I288" s="562"/>
    </row>
    <row r="289" spans="1:9" ht="14.25" customHeight="1">
      <c r="A289" s="545"/>
      <c r="B289" s="545"/>
      <c r="C289" s="545"/>
      <c r="D289" s="545"/>
      <c r="E289" s="545"/>
      <c r="F289" s="545"/>
      <c r="G289" s="545"/>
      <c r="H289" s="545"/>
      <c r="I289" s="545"/>
    </row>
    <row r="290" spans="1:9" ht="14.25" customHeight="1">
      <c r="A290" s="546" t="s">
        <v>337</v>
      </c>
      <c r="B290" s="546"/>
      <c r="C290" s="546"/>
      <c r="D290" s="546"/>
      <c r="E290" s="546"/>
      <c r="F290" s="546"/>
      <c r="G290" s="546"/>
      <c r="H290" s="546"/>
      <c r="I290" s="546"/>
    </row>
    <row r="291" spans="1:9" ht="14.25" customHeight="1">
      <c r="A291" s="567"/>
      <c r="B291" s="567"/>
      <c r="C291" s="567"/>
      <c r="D291" s="567"/>
      <c r="E291" s="567"/>
      <c r="F291" s="567"/>
      <c r="G291" s="567"/>
      <c r="H291" s="567"/>
      <c r="I291" s="567"/>
    </row>
    <row r="292" spans="1:9" ht="12.75">
      <c r="A292" s="568" t="s">
        <v>338</v>
      </c>
      <c r="B292" s="568"/>
      <c r="C292" s="568"/>
      <c r="D292" s="568"/>
      <c r="E292" s="568"/>
      <c r="F292" s="568"/>
      <c r="G292" s="568"/>
      <c r="H292" s="568"/>
      <c r="I292" s="141"/>
    </row>
    <row r="293" spans="1:9" ht="12.75">
      <c r="A293" s="568"/>
      <c r="B293" s="568"/>
      <c r="C293" s="568"/>
      <c r="D293" s="568"/>
      <c r="E293" s="568"/>
      <c r="F293" s="568"/>
      <c r="G293" s="568"/>
      <c r="H293" s="568"/>
      <c r="I293" s="142"/>
    </row>
    <row r="294" spans="1:9" ht="36" customHeight="1">
      <c r="A294" s="510" t="s">
        <v>578</v>
      </c>
      <c r="B294" s="510"/>
      <c r="C294" s="563" t="s">
        <v>581</v>
      </c>
      <c r="D294" s="563"/>
      <c r="E294" s="510" t="s">
        <v>582</v>
      </c>
      <c r="F294" s="510"/>
      <c r="G294" s="510" t="s">
        <v>260</v>
      </c>
      <c r="H294" s="510"/>
      <c r="I294" s="510"/>
    </row>
    <row r="295" spans="1:9" ht="14.25" customHeight="1">
      <c r="A295" s="564" t="s">
        <v>333</v>
      </c>
      <c r="B295" s="564"/>
      <c r="C295" s="565" t="s">
        <v>339</v>
      </c>
      <c r="D295" s="565"/>
      <c r="E295" s="566">
        <v>0</v>
      </c>
      <c r="F295" s="566"/>
      <c r="G295" s="562">
        <v>0</v>
      </c>
      <c r="H295" s="562"/>
      <c r="I295" s="562"/>
    </row>
    <row r="296" spans="1:9" ht="14.25" customHeight="1">
      <c r="A296" s="552" t="s">
        <v>336</v>
      </c>
      <c r="B296" s="553"/>
      <c r="C296" s="554" t="s">
        <v>270</v>
      </c>
      <c r="D296" s="555"/>
      <c r="E296" s="556">
        <f>I201</f>
        <v>4846.626640396528</v>
      </c>
      <c r="F296" s="557"/>
      <c r="G296" s="558">
        <v>0</v>
      </c>
      <c r="H296" s="559"/>
      <c r="I296" s="560"/>
    </row>
    <row r="297" spans="1:9" ht="14.25" customHeight="1">
      <c r="A297" s="561" t="s">
        <v>11</v>
      </c>
      <c r="B297" s="561"/>
      <c r="C297" s="561"/>
      <c r="D297" s="561"/>
      <c r="E297" s="561"/>
      <c r="F297" s="561"/>
      <c r="G297" s="561">
        <f>SUM(G295+G296)</f>
        <v>0</v>
      </c>
      <c r="H297" s="562">
        <f>SUM(G295:I296)</f>
        <v>0</v>
      </c>
      <c r="I297" s="562"/>
    </row>
    <row r="298" spans="1:9" ht="14.25" customHeight="1">
      <c r="A298" s="545"/>
      <c r="B298" s="545"/>
      <c r="C298" s="545"/>
      <c r="D298" s="545"/>
      <c r="E298" s="545"/>
      <c r="F298" s="545"/>
      <c r="G298" s="545"/>
      <c r="H298" s="545"/>
      <c r="I298" s="545"/>
    </row>
    <row r="299" spans="1:9" ht="14.25" customHeight="1">
      <c r="A299" s="546" t="s">
        <v>340</v>
      </c>
      <c r="B299" s="546"/>
      <c r="C299" s="546"/>
      <c r="D299" s="546"/>
      <c r="E299" s="546"/>
      <c r="F299" s="546"/>
      <c r="G299" s="546"/>
      <c r="H299" s="546"/>
      <c r="I299" s="546"/>
    </row>
    <row r="300" spans="1:9" ht="14.25" customHeight="1">
      <c r="A300" s="547"/>
      <c r="B300" s="547"/>
      <c r="C300" s="547"/>
      <c r="D300" s="547"/>
      <c r="E300" s="547"/>
      <c r="F300" s="547"/>
      <c r="G300" s="547"/>
      <c r="H300" s="547"/>
      <c r="I300" s="547"/>
    </row>
    <row r="301" spans="1:9" ht="93" customHeight="1">
      <c r="A301" s="548" t="s">
        <v>580</v>
      </c>
      <c r="B301" s="548"/>
      <c r="C301" s="548"/>
      <c r="D301" s="548"/>
      <c r="E301" s="548"/>
      <c r="F301" s="548"/>
      <c r="G301" s="548"/>
      <c r="H301" s="548"/>
      <c r="I301" s="548"/>
    </row>
    <row r="302" spans="1:9" ht="12.75">
      <c r="A302" s="549" t="s">
        <v>341</v>
      </c>
      <c r="B302" s="549"/>
      <c r="C302" s="549"/>
      <c r="D302" s="549"/>
      <c r="E302" s="549"/>
      <c r="F302" s="549"/>
      <c r="G302" s="549"/>
      <c r="H302" s="549"/>
      <c r="I302" s="549"/>
    </row>
    <row r="303" spans="1:9" ht="12.75">
      <c r="A303" s="549"/>
      <c r="B303" s="549"/>
      <c r="C303" s="549"/>
      <c r="D303" s="549"/>
      <c r="E303" s="549"/>
      <c r="F303" s="549"/>
      <c r="G303" s="549"/>
      <c r="H303" s="549"/>
      <c r="I303" s="549"/>
    </row>
    <row r="304" spans="1:9" ht="24.75" customHeight="1">
      <c r="A304" s="550" t="s">
        <v>29</v>
      </c>
      <c r="B304" s="550"/>
      <c r="C304" s="550"/>
      <c r="D304" s="551" t="s">
        <v>342</v>
      </c>
      <c r="E304" s="551"/>
      <c r="F304" s="143" t="s">
        <v>343</v>
      </c>
      <c r="G304" s="551" t="s">
        <v>344</v>
      </c>
      <c r="H304" s="551"/>
      <c r="I304" s="551"/>
    </row>
    <row r="305" spans="1:9" ht="14.25" customHeight="1">
      <c r="A305" s="504" t="s">
        <v>97</v>
      </c>
      <c r="B305" s="504"/>
      <c r="C305" s="504"/>
      <c r="D305" s="538">
        <f>G211</f>
        <v>4.04</v>
      </c>
      <c r="E305" s="538"/>
      <c r="F305" s="144">
        <f aca="true" t="shared" si="1" ref="F305:F312">H13</f>
        <v>0</v>
      </c>
      <c r="G305" s="529">
        <f aca="true" t="shared" si="2" ref="G305:G311">ROUND(D305*F305,2)</f>
        <v>0</v>
      </c>
      <c r="H305" s="529"/>
      <c r="I305" s="529"/>
    </row>
    <row r="306" spans="1:9" ht="14.25" customHeight="1">
      <c r="A306" s="504" t="s">
        <v>98</v>
      </c>
      <c r="B306" s="504"/>
      <c r="C306" s="504"/>
      <c r="D306" s="538">
        <f>G215</f>
        <v>4.04</v>
      </c>
      <c r="E306" s="538"/>
      <c r="F306" s="144">
        <f t="shared" si="1"/>
        <v>1069.239</v>
      </c>
      <c r="G306" s="529">
        <f t="shared" si="2"/>
        <v>4319.73</v>
      </c>
      <c r="H306" s="529"/>
      <c r="I306" s="529"/>
    </row>
    <row r="307" spans="1:9" ht="14.25" customHeight="1">
      <c r="A307" s="504" t="s">
        <v>99</v>
      </c>
      <c r="B307" s="504"/>
      <c r="C307" s="504"/>
      <c r="D307" s="538">
        <f>G219</f>
        <v>10.77</v>
      </c>
      <c r="E307" s="538"/>
      <c r="F307" s="144">
        <f t="shared" si="1"/>
        <v>330.4189999999999</v>
      </c>
      <c r="G307" s="529">
        <f t="shared" si="2"/>
        <v>3558.61</v>
      </c>
      <c r="H307" s="529"/>
      <c r="I307" s="529"/>
    </row>
    <row r="308" spans="1:9" ht="14.25" customHeight="1">
      <c r="A308" s="504" t="s">
        <v>100</v>
      </c>
      <c r="B308" s="504"/>
      <c r="C308" s="504"/>
      <c r="D308" s="538">
        <f>G223</f>
        <v>1.94</v>
      </c>
      <c r="E308" s="538"/>
      <c r="F308" s="144">
        <f t="shared" si="1"/>
        <v>10.779720000000001</v>
      </c>
      <c r="G308" s="529">
        <f t="shared" si="2"/>
        <v>20.91</v>
      </c>
      <c r="H308" s="529"/>
      <c r="I308" s="529"/>
    </row>
    <row r="309" spans="1:9" ht="14.25" customHeight="1">
      <c r="A309" s="504" t="s">
        <v>101</v>
      </c>
      <c r="B309" s="504"/>
      <c r="C309" s="504"/>
      <c r="D309" s="538">
        <v>0</v>
      </c>
      <c r="E309" s="538"/>
      <c r="F309" s="144">
        <f t="shared" si="1"/>
        <v>0</v>
      </c>
      <c r="G309" s="529">
        <f t="shared" si="2"/>
        <v>0</v>
      </c>
      <c r="H309" s="529"/>
      <c r="I309" s="529"/>
    </row>
    <row r="310" spans="1:9" ht="24.75" customHeight="1">
      <c r="A310" s="528" t="s">
        <v>102</v>
      </c>
      <c r="B310" s="528"/>
      <c r="C310" s="528"/>
      <c r="D310" s="538">
        <f>G231</f>
        <v>3.23</v>
      </c>
      <c r="E310" s="538"/>
      <c r="F310" s="144">
        <f t="shared" si="1"/>
        <v>571.2857999999999</v>
      </c>
      <c r="G310" s="529">
        <f t="shared" si="2"/>
        <v>1845.25</v>
      </c>
      <c r="H310" s="529"/>
      <c r="I310" s="529"/>
    </row>
    <row r="311" spans="1:9" ht="14.25" customHeight="1">
      <c r="A311" s="542" t="s">
        <v>345</v>
      </c>
      <c r="B311" s="542"/>
      <c r="C311" s="542"/>
      <c r="D311" s="543">
        <f>G235</f>
        <v>16.16</v>
      </c>
      <c r="E311" s="543"/>
      <c r="F311" s="145">
        <f t="shared" si="1"/>
        <v>0</v>
      </c>
      <c r="G311" s="529">
        <f t="shared" si="2"/>
        <v>0</v>
      </c>
      <c r="H311" s="529"/>
      <c r="I311" s="529"/>
    </row>
    <row r="312" spans="1:9" ht="14.25" customHeight="1">
      <c r="A312" s="531" t="s">
        <v>108</v>
      </c>
      <c r="B312" s="531"/>
      <c r="C312" s="531"/>
      <c r="D312" s="531"/>
      <c r="E312" s="531"/>
      <c r="F312" s="146">
        <f t="shared" si="1"/>
        <v>1981.72</v>
      </c>
      <c r="G312" s="532">
        <f>SUM(G305:G311)</f>
        <v>9744.5</v>
      </c>
      <c r="H312" s="532"/>
      <c r="I312" s="532"/>
    </row>
    <row r="313" spans="1:9" ht="14.25" customHeight="1">
      <c r="A313" s="544"/>
      <c r="B313" s="544"/>
      <c r="C313" s="544"/>
      <c r="D313" s="544"/>
      <c r="E313" s="544"/>
      <c r="F313" s="544"/>
      <c r="G313" s="544"/>
      <c r="H313" s="544"/>
      <c r="I313" s="544"/>
    </row>
    <row r="314" spans="1:9" ht="24.75" customHeight="1">
      <c r="A314" s="541" t="s">
        <v>109</v>
      </c>
      <c r="B314" s="541"/>
      <c r="C314" s="541"/>
      <c r="D314" s="537">
        <f>G243</f>
        <v>1.8</v>
      </c>
      <c r="E314" s="537"/>
      <c r="F314" s="147">
        <f aca="true" t="shared" si="3" ref="F314:F320">H22</f>
        <v>154.242</v>
      </c>
      <c r="G314" s="529">
        <f aca="true" t="shared" si="4" ref="G314:G319">ROUND(D314*F314,2)</f>
        <v>277.64</v>
      </c>
      <c r="H314" s="529"/>
      <c r="I314" s="529"/>
    </row>
    <row r="315" spans="1:9" ht="24.75" customHeight="1">
      <c r="A315" s="528" t="s">
        <v>346</v>
      </c>
      <c r="B315" s="528"/>
      <c r="C315" s="528"/>
      <c r="D315" s="538">
        <f>G246</f>
        <v>0.54</v>
      </c>
      <c r="E315" s="538"/>
      <c r="F315" s="148">
        <f t="shared" si="3"/>
        <v>0</v>
      </c>
      <c r="G315" s="529">
        <f t="shared" si="4"/>
        <v>0</v>
      </c>
      <c r="H315" s="529"/>
      <c r="I315" s="529"/>
    </row>
    <row r="316" spans="1:9" ht="24.75" customHeight="1">
      <c r="A316" s="528" t="s">
        <v>347</v>
      </c>
      <c r="B316" s="528"/>
      <c r="C316" s="528"/>
      <c r="D316" s="538">
        <f>G250</f>
        <v>1.8</v>
      </c>
      <c r="E316" s="538"/>
      <c r="F316" s="148">
        <f t="shared" si="3"/>
        <v>0</v>
      </c>
      <c r="G316" s="529">
        <f t="shared" si="4"/>
        <v>0</v>
      </c>
      <c r="H316" s="529"/>
      <c r="I316" s="529"/>
    </row>
    <row r="317" spans="1:9" ht="24.75" customHeight="1">
      <c r="A317" s="528" t="s">
        <v>348</v>
      </c>
      <c r="B317" s="528"/>
      <c r="C317" s="528"/>
      <c r="D317" s="538">
        <f>G255</f>
        <v>1.8</v>
      </c>
      <c r="E317" s="538"/>
      <c r="F317" s="148">
        <f t="shared" si="3"/>
        <v>0</v>
      </c>
      <c r="G317" s="529">
        <f t="shared" si="4"/>
        <v>0</v>
      </c>
      <c r="H317" s="529"/>
      <c r="I317" s="529"/>
    </row>
    <row r="318" spans="1:9" ht="24.75" customHeight="1">
      <c r="A318" s="528" t="s">
        <v>349</v>
      </c>
      <c r="B318" s="528"/>
      <c r="C318" s="528"/>
      <c r="D318" s="538">
        <f>G258</f>
        <v>1.8</v>
      </c>
      <c r="E318" s="538"/>
      <c r="F318" s="148">
        <f t="shared" si="3"/>
        <v>0</v>
      </c>
      <c r="G318" s="529">
        <f t="shared" si="4"/>
        <v>0</v>
      </c>
      <c r="H318" s="529"/>
      <c r="I318" s="529"/>
    </row>
    <row r="319" spans="1:9" ht="23.25" customHeight="1">
      <c r="A319" s="540" t="s">
        <v>350</v>
      </c>
      <c r="B319" s="540"/>
      <c r="C319" s="540"/>
      <c r="D319" s="538">
        <f>G262</f>
        <v>0.05</v>
      </c>
      <c r="E319" s="538"/>
      <c r="F319" s="148">
        <f t="shared" si="3"/>
        <v>30.86972</v>
      </c>
      <c r="G319" s="529">
        <f t="shared" si="4"/>
        <v>1.54</v>
      </c>
      <c r="H319" s="529"/>
      <c r="I319" s="529"/>
    </row>
    <row r="320" spans="1:9" ht="14.25" customHeight="1">
      <c r="A320" s="531" t="s">
        <v>115</v>
      </c>
      <c r="B320" s="531"/>
      <c r="C320" s="531"/>
      <c r="D320" s="531"/>
      <c r="E320" s="531"/>
      <c r="F320" s="149">
        <f t="shared" si="3"/>
        <v>185.11</v>
      </c>
      <c r="G320" s="532">
        <f>SUM(G314:G319)</f>
        <v>279.18</v>
      </c>
      <c r="H320" s="532"/>
      <c r="I320" s="532"/>
    </row>
    <row r="321" spans="1:9" ht="14.25" customHeight="1">
      <c r="A321" s="533"/>
      <c r="B321" s="533"/>
      <c r="C321" s="533"/>
      <c r="D321" s="533"/>
      <c r="E321" s="533"/>
      <c r="F321" s="533"/>
      <c r="G321" s="533"/>
      <c r="H321" s="533"/>
      <c r="I321" s="533"/>
    </row>
    <row r="322" spans="1:9" ht="24.75" customHeight="1">
      <c r="A322" s="539" t="s">
        <v>116</v>
      </c>
      <c r="B322" s="539"/>
      <c r="C322" s="539"/>
      <c r="D322" s="537">
        <f>H271</f>
        <v>2.57</v>
      </c>
      <c r="E322" s="537"/>
      <c r="F322" s="150">
        <f>H30</f>
        <v>0</v>
      </c>
      <c r="G322" s="529">
        <f>ROUND(D322*F322,2)</f>
        <v>0</v>
      </c>
      <c r="H322" s="529"/>
      <c r="I322" s="529"/>
    </row>
    <row r="323" spans="1:9" ht="24.75" customHeight="1">
      <c r="A323" s="505" t="s">
        <v>351</v>
      </c>
      <c r="B323" s="505"/>
      <c r="C323" s="505"/>
      <c r="D323" s="538">
        <f>H275</f>
        <v>1.08</v>
      </c>
      <c r="E323" s="538"/>
      <c r="F323" s="144">
        <f>H31</f>
        <v>322.4117</v>
      </c>
      <c r="G323" s="529">
        <f>ROUND((D323*F323),2)</f>
        <v>348.2</v>
      </c>
      <c r="H323" s="529"/>
      <c r="I323" s="529"/>
    </row>
    <row r="324" spans="1:9" ht="14.25" customHeight="1">
      <c r="A324" s="505" t="s">
        <v>352</v>
      </c>
      <c r="B324" s="505"/>
      <c r="C324" s="505"/>
      <c r="D324" s="538">
        <f>H279</f>
        <v>1.08</v>
      </c>
      <c r="E324" s="538"/>
      <c r="F324" s="144">
        <f>H32</f>
        <v>322.4117</v>
      </c>
      <c r="G324" s="529">
        <f>ROUND((D324*F324),2)</f>
        <v>348.2</v>
      </c>
      <c r="H324" s="529"/>
      <c r="I324" s="529"/>
    </row>
    <row r="325" spans="1:9" ht="14.25" customHeight="1">
      <c r="A325" s="531" t="s">
        <v>353</v>
      </c>
      <c r="B325" s="531"/>
      <c r="C325" s="531"/>
      <c r="D325" s="531"/>
      <c r="E325" s="531"/>
      <c r="F325" s="146">
        <f>H33</f>
        <v>644.82</v>
      </c>
      <c r="G325" s="532">
        <f>SUM(G322:G324)</f>
        <v>696.4</v>
      </c>
      <c r="H325" s="532"/>
      <c r="I325" s="532"/>
    </row>
    <row r="326" spans="1:9" ht="14.25" customHeight="1">
      <c r="A326" s="533"/>
      <c r="B326" s="533"/>
      <c r="C326" s="533"/>
      <c r="D326" s="533"/>
      <c r="E326" s="533"/>
      <c r="F326" s="533"/>
      <c r="G326" s="533"/>
      <c r="H326" s="533"/>
      <c r="I326" s="533"/>
    </row>
    <row r="327" spans="1:9" ht="14.25" customHeight="1">
      <c r="A327" s="536" t="s">
        <v>354</v>
      </c>
      <c r="B327" s="536"/>
      <c r="C327" s="536"/>
      <c r="D327" s="537">
        <f>H287</f>
        <v>0.21</v>
      </c>
      <c r="E327" s="537"/>
      <c r="F327" s="151">
        <f>H36</f>
        <v>0</v>
      </c>
      <c r="G327" s="521">
        <f>ROUND((D327*F327),2)</f>
        <v>0</v>
      </c>
      <c r="H327" s="521"/>
      <c r="I327" s="521"/>
    </row>
    <row r="328" spans="1:9" ht="14.25" customHeight="1">
      <c r="A328" s="531" t="s">
        <v>355</v>
      </c>
      <c r="B328" s="531"/>
      <c r="C328" s="531"/>
      <c r="D328" s="531"/>
      <c r="E328" s="531"/>
      <c r="F328" s="146">
        <f>F327</f>
        <v>0</v>
      </c>
      <c r="G328" s="532">
        <f>G327</f>
        <v>0</v>
      </c>
      <c r="H328" s="532"/>
      <c r="I328" s="532"/>
    </row>
    <row r="329" spans="1:9" ht="14.25" customHeight="1">
      <c r="A329" s="533"/>
      <c r="B329" s="533"/>
      <c r="C329" s="533"/>
      <c r="D329" s="533"/>
      <c r="E329" s="533"/>
      <c r="F329" s="533"/>
      <c r="G329" s="533"/>
      <c r="H329" s="533"/>
      <c r="I329" s="533"/>
    </row>
    <row r="330" spans="1:9" ht="14.25" customHeight="1">
      <c r="A330" s="534" t="s">
        <v>122</v>
      </c>
      <c r="B330" s="534"/>
      <c r="C330" s="534"/>
      <c r="D330" s="535"/>
      <c r="E330" s="535"/>
      <c r="F330" s="150">
        <v>0</v>
      </c>
      <c r="G330" s="529">
        <v>0</v>
      </c>
      <c r="H330" s="529"/>
      <c r="I330" s="529"/>
    </row>
    <row r="331" spans="1:9" ht="14.25" customHeight="1">
      <c r="A331" s="527" t="s">
        <v>356</v>
      </c>
      <c r="B331" s="527"/>
      <c r="C331" s="527"/>
      <c r="D331" s="527"/>
      <c r="E331" s="527"/>
      <c r="F331" s="152">
        <f>H37</f>
        <v>0</v>
      </c>
      <c r="G331" s="521">
        <f>H330</f>
        <v>0</v>
      </c>
      <c r="H331" s="521"/>
      <c r="I331" s="521"/>
    </row>
    <row r="332" spans="1:9" ht="14.25" customHeight="1">
      <c r="A332" s="522"/>
      <c r="B332" s="522"/>
      <c r="C332" s="522"/>
      <c r="D332" s="522"/>
      <c r="E332" s="522"/>
      <c r="F332" s="522"/>
      <c r="G332" s="522"/>
      <c r="H332" s="522"/>
      <c r="I332" s="522"/>
    </row>
    <row r="333" spans="1:9" ht="14.25" customHeight="1">
      <c r="A333" s="528" t="s">
        <v>124</v>
      </c>
      <c r="B333" s="528"/>
      <c r="C333" s="528"/>
      <c r="D333" s="528"/>
      <c r="E333" s="528"/>
      <c r="F333" s="144">
        <f>H39</f>
        <v>0</v>
      </c>
      <c r="G333" s="529">
        <f>H333</f>
        <v>0</v>
      </c>
      <c r="H333" s="529"/>
      <c r="I333" s="529"/>
    </row>
    <row r="334" spans="1:9" ht="14.25" customHeight="1">
      <c r="A334" s="527" t="s">
        <v>125</v>
      </c>
      <c r="B334" s="527"/>
      <c r="C334" s="527"/>
      <c r="D334" s="527"/>
      <c r="E334" s="527"/>
      <c r="F334" s="153">
        <v>0</v>
      </c>
      <c r="G334" s="530">
        <f>G333</f>
        <v>0</v>
      </c>
      <c r="H334" s="530"/>
      <c r="I334" s="530"/>
    </row>
    <row r="335" spans="1:9" ht="14.25" customHeight="1">
      <c r="A335" s="519"/>
      <c r="B335" s="519"/>
      <c r="C335" s="519"/>
      <c r="D335" s="519"/>
      <c r="E335" s="519"/>
      <c r="F335" s="519"/>
      <c r="G335" s="519"/>
      <c r="H335" s="519"/>
      <c r="I335" s="519"/>
    </row>
    <row r="336" spans="1:9" ht="14.25" customHeight="1">
      <c r="A336" s="520" t="s">
        <v>11</v>
      </c>
      <c r="B336" s="520"/>
      <c r="C336" s="520"/>
      <c r="D336" s="520"/>
      <c r="E336" s="520"/>
      <c r="F336" s="151">
        <f>ROUND(F312+F320+F325+F328+F331+F334,2)</f>
        <v>2811.65</v>
      </c>
      <c r="G336" s="521">
        <f>SUM(G312+G320+G325+G328+G331+G334)</f>
        <v>10720.08</v>
      </c>
      <c r="H336" s="521"/>
      <c r="I336" s="521"/>
    </row>
    <row r="337" spans="1:9" ht="14.25" customHeight="1">
      <c r="A337" s="522"/>
      <c r="B337" s="522"/>
      <c r="C337" s="522"/>
      <c r="D337" s="522"/>
      <c r="E337" s="522"/>
      <c r="F337" s="522"/>
      <c r="G337" s="522"/>
      <c r="H337" s="522"/>
      <c r="I337" s="522"/>
    </row>
    <row r="338" spans="1:9" ht="18.75" customHeight="1">
      <c r="A338" s="523" t="s">
        <v>357</v>
      </c>
      <c r="B338" s="523"/>
      <c r="C338" s="523"/>
      <c r="D338" s="523"/>
      <c r="E338" s="523"/>
      <c r="F338" s="524"/>
      <c r="G338" s="525"/>
      <c r="H338" s="526"/>
      <c r="I338" s="325">
        <f>G336</f>
        <v>10720.08</v>
      </c>
    </row>
    <row r="339" spans="1:9" ht="18.75" customHeight="1">
      <c r="A339" s="513"/>
      <c r="B339" s="513"/>
      <c r="C339" s="513"/>
      <c r="D339" s="513"/>
      <c r="E339" s="513"/>
      <c r="F339" s="513"/>
      <c r="G339" s="513"/>
      <c r="H339" s="513"/>
      <c r="I339" s="513"/>
    </row>
    <row r="340" spans="1:9" ht="18.75" customHeight="1">
      <c r="A340" s="514" t="s">
        <v>358</v>
      </c>
      <c r="B340" s="514"/>
      <c r="C340" s="514"/>
      <c r="D340" s="514"/>
      <c r="E340" s="514"/>
      <c r="F340" s="514"/>
      <c r="G340" s="515">
        <f>H10</f>
        <v>12</v>
      </c>
      <c r="H340" s="515"/>
      <c r="I340" s="515"/>
    </row>
    <row r="341" spans="1:9" ht="18.75" customHeight="1">
      <c r="A341" s="516"/>
      <c r="B341" s="516"/>
      <c r="C341" s="516"/>
      <c r="D341" s="516"/>
      <c r="E341" s="516"/>
      <c r="F341" s="516"/>
      <c r="G341" s="516"/>
      <c r="H341" s="516"/>
      <c r="I341" s="516"/>
    </row>
    <row r="342" spans="1:9" ht="29.25" customHeight="1">
      <c r="A342" s="517" t="s">
        <v>359</v>
      </c>
      <c r="B342" s="517"/>
      <c r="C342" s="517"/>
      <c r="D342" s="517"/>
      <c r="E342" s="517"/>
      <c r="F342" s="517"/>
      <c r="G342" s="518">
        <f>ROUND(G336*G340,2)</f>
        <v>128640.96</v>
      </c>
      <c r="H342" s="518"/>
      <c r="I342" s="518"/>
    </row>
    <row r="343" spans="1:9" ht="14.25" customHeight="1">
      <c r="A343" s="511"/>
      <c r="B343" s="511"/>
      <c r="C343" s="511"/>
      <c r="D343" s="511"/>
      <c r="E343" s="511"/>
      <c r="F343" s="511"/>
      <c r="G343" s="511"/>
      <c r="H343" s="511"/>
      <c r="I343" s="511"/>
    </row>
    <row r="344" spans="1:9" ht="24.75" customHeight="1">
      <c r="A344" s="509" t="s">
        <v>360</v>
      </c>
      <c r="B344" s="509"/>
      <c r="C344" s="509"/>
      <c r="D344" s="509"/>
      <c r="E344" s="509"/>
      <c r="F344" s="509"/>
      <c r="G344" s="509"/>
      <c r="H344" s="509"/>
      <c r="I344" s="509"/>
    </row>
    <row r="345" spans="1:9" ht="14.25" customHeight="1">
      <c r="A345" s="512" t="s">
        <v>361</v>
      </c>
      <c r="B345" s="512"/>
      <c r="C345" s="512"/>
      <c r="D345" s="512"/>
      <c r="E345" s="512"/>
      <c r="F345" s="512"/>
      <c r="G345" s="512"/>
      <c r="H345" s="510" t="s">
        <v>362</v>
      </c>
      <c r="I345" s="510"/>
    </row>
    <row r="346" spans="1:9" ht="12.75">
      <c r="A346" s="512"/>
      <c r="B346" s="512"/>
      <c r="C346" s="512"/>
      <c r="D346" s="512"/>
      <c r="E346" s="512"/>
      <c r="F346" s="512"/>
      <c r="G346" s="512"/>
      <c r="H346" s="510"/>
      <c r="I346" s="510"/>
    </row>
    <row r="347" spans="1:9" ht="14.25" customHeight="1">
      <c r="A347" s="506" t="s">
        <v>336</v>
      </c>
      <c r="B347" s="506"/>
      <c r="C347" s="506"/>
      <c r="D347" s="506"/>
      <c r="E347" s="506"/>
      <c r="F347" s="506"/>
      <c r="G347" s="506"/>
      <c r="H347" s="507"/>
      <c r="I347" s="507"/>
    </row>
    <row r="348" spans="1:9" ht="14.25" customHeight="1">
      <c r="A348" s="506" t="s">
        <v>333</v>
      </c>
      <c r="B348" s="506"/>
      <c r="C348" s="506"/>
      <c r="D348" s="506"/>
      <c r="E348" s="506"/>
      <c r="F348" s="506"/>
      <c r="G348" s="506"/>
      <c r="H348" s="507">
        <v>0</v>
      </c>
      <c r="I348" s="507"/>
    </row>
    <row r="349" spans="1:9" ht="14.25" customHeight="1">
      <c r="A349" s="505"/>
      <c r="B349" s="505"/>
      <c r="C349" s="505"/>
      <c r="D349" s="505"/>
      <c r="E349" s="505"/>
      <c r="F349" s="505"/>
      <c r="G349" s="505"/>
      <c r="H349" s="505"/>
      <c r="I349" s="505"/>
    </row>
    <row r="350" spans="1:9" ht="12.75">
      <c r="A350" s="508"/>
      <c r="B350" s="508"/>
      <c r="C350" s="508"/>
      <c r="D350" s="508"/>
      <c r="E350" s="508"/>
      <c r="F350" s="508"/>
      <c r="G350" s="508"/>
      <c r="H350" s="508"/>
      <c r="I350" s="508"/>
    </row>
    <row r="351" spans="1:9" ht="12.75">
      <c r="A351" s="508"/>
      <c r="B351" s="508"/>
      <c r="C351" s="508"/>
      <c r="D351" s="508"/>
      <c r="E351" s="508"/>
      <c r="F351" s="508"/>
      <c r="G351" s="508"/>
      <c r="H351" s="508"/>
      <c r="I351" s="508"/>
    </row>
    <row r="352" spans="1:9" ht="24.75" customHeight="1">
      <c r="A352" s="509" t="s">
        <v>583</v>
      </c>
      <c r="B352" s="509"/>
      <c r="C352" s="509"/>
      <c r="D352" s="509"/>
      <c r="E352" s="509"/>
      <c r="F352" s="509"/>
      <c r="G352" s="509"/>
      <c r="H352" s="509"/>
      <c r="I352" s="509"/>
    </row>
    <row r="353" spans="1:9" ht="14.25" customHeight="1">
      <c r="A353" s="510" t="s">
        <v>363</v>
      </c>
      <c r="B353" s="510"/>
      <c r="C353" s="510"/>
      <c r="D353" s="510"/>
      <c r="E353" s="510"/>
      <c r="F353" s="510"/>
      <c r="G353" s="510"/>
      <c r="H353" s="510" t="s">
        <v>364</v>
      </c>
      <c r="I353" s="510"/>
    </row>
    <row r="354" spans="1:9" ht="15.75" customHeight="1">
      <c r="A354" s="502"/>
      <c r="B354" s="502"/>
      <c r="C354" s="502"/>
      <c r="D354" s="502"/>
      <c r="E354" s="502"/>
      <c r="F354" s="502"/>
      <c r="G354" s="502"/>
      <c r="H354" s="503"/>
      <c r="I354" s="503"/>
    </row>
    <row r="355" spans="1:9" ht="14.25" customHeight="1">
      <c r="A355" s="504"/>
      <c r="B355" s="504"/>
      <c r="C355" s="504"/>
      <c r="D355" s="504"/>
      <c r="E355" s="504"/>
      <c r="F355" s="504"/>
      <c r="G355" s="504"/>
      <c r="H355" s="503"/>
      <c r="I355" s="503"/>
    </row>
    <row r="356" spans="1:9" ht="14.25" customHeight="1">
      <c r="A356" s="505"/>
      <c r="B356" s="505"/>
      <c r="C356" s="505"/>
      <c r="D356" s="505"/>
      <c r="E356" s="505"/>
      <c r="F356" s="505"/>
      <c r="G356" s="505"/>
      <c r="H356" s="503"/>
      <c r="I356" s="503"/>
    </row>
  </sheetData>
  <sheetProtection selectLockedCells="1" selectUnlockedCells="1"/>
  <mergeCells count="582">
    <mergeCell ref="A1:I1"/>
    <mergeCell ref="A2:I2"/>
    <mergeCell ref="A3:E3"/>
    <mergeCell ref="F3:I3"/>
    <mergeCell ref="A4:E4"/>
    <mergeCell ref="F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G20"/>
    <mergeCell ref="H20:I20"/>
    <mergeCell ref="A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G28"/>
    <mergeCell ref="H28:I28"/>
    <mergeCell ref="A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G33"/>
    <mergeCell ref="H33:I33"/>
    <mergeCell ref="A34:I34"/>
    <mergeCell ref="A35:E35"/>
    <mergeCell ref="F35:G35"/>
    <mergeCell ref="H35:I35"/>
    <mergeCell ref="A36:G36"/>
    <mergeCell ref="H36:I36"/>
    <mergeCell ref="A37:I37"/>
    <mergeCell ref="A38:E38"/>
    <mergeCell ref="F38:G38"/>
    <mergeCell ref="H38:I38"/>
    <mergeCell ref="A39:G39"/>
    <mergeCell ref="H39:I39"/>
    <mergeCell ref="A41:E41"/>
    <mergeCell ref="F41:G41"/>
    <mergeCell ref="H41:I41"/>
    <mergeCell ref="A42:G42"/>
    <mergeCell ref="H42:I42"/>
    <mergeCell ref="A43:I43"/>
    <mergeCell ref="A44:G44"/>
    <mergeCell ref="H44:I44"/>
    <mergeCell ref="A45:I45"/>
    <mergeCell ref="A46:I46"/>
    <mergeCell ref="A47:I47"/>
    <mergeCell ref="A48:I48"/>
    <mergeCell ref="A49:I49"/>
    <mergeCell ref="A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5:G55"/>
    <mergeCell ref="H55:I55"/>
    <mergeCell ref="A56:I56"/>
    <mergeCell ref="A57:I57"/>
    <mergeCell ref="A58:I58"/>
    <mergeCell ref="A59:I59"/>
    <mergeCell ref="B60:G60"/>
    <mergeCell ref="B61:H61"/>
    <mergeCell ref="B62:G62"/>
    <mergeCell ref="B63:G63"/>
    <mergeCell ref="B64:H64"/>
    <mergeCell ref="B65:H65"/>
    <mergeCell ref="B66:H66"/>
    <mergeCell ref="A67:H67"/>
    <mergeCell ref="A68:I68"/>
    <mergeCell ref="A69:I69"/>
    <mergeCell ref="A70:I70"/>
    <mergeCell ref="A71:I71"/>
    <mergeCell ref="A72:I72"/>
    <mergeCell ref="B73:H73"/>
    <mergeCell ref="B74:H74"/>
    <mergeCell ref="B75:H75"/>
    <mergeCell ref="A76:H76"/>
    <mergeCell ref="A77:I77"/>
    <mergeCell ref="A78:I78"/>
    <mergeCell ref="A79:I79"/>
    <mergeCell ref="A80:I80"/>
    <mergeCell ref="B81:G81"/>
    <mergeCell ref="B82:G82"/>
    <mergeCell ref="B83:G83"/>
    <mergeCell ref="B84:C84"/>
    <mergeCell ref="B85:G85"/>
    <mergeCell ref="B86:G86"/>
    <mergeCell ref="B87:G87"/>
    <mergeCell ref="B88:G88"/>
    <mergeCell ref="B89:G89"/>
    <mergeCell ref="A90:G90"/>
    <mergeCell ref="A92:I92"/>
    <mergeCell ref="A93:I93"/>
    <mergeCell ref="A94:I94"/>
    <mergeCell ref="B95:H95"/>
    <mergeCell ref="B96:H96"/>
    <mergeCell ref="B97:G97"/>
    <mergeCell ref="B98:G98"/>
    <mergeCell ref="B99:G99"/>
    <mergeCell ref="B100:G100"/>
    <mergeCell ref="B101:H101"/>
    <mergeCell ref="B102:G102"/>
    <mergeCell ref="B103:G103"/>
    <mergeCell ref="B104:G104"/>
    <mergeCell ref="B105:H105"/>
    <mergeCell ref="B106:H106"/>
    <mergeCell ref="B107:H107"/>
    <mergeCell ref="B108:H108"/>
    <mergeCell ref="B109:H109"/>
    <mergeCell ref="A110:I110"/>
    <mergeCell ref="A111:I111"/>
    <mergeCell ref="A112:I112"/>
    <mergeCell ref="A113:I113"/>
    <mergeCell ref="B114:H114"/>
    <mergeCell ref="B115:H115"/>
    <mergeCell ref="B116:H116"/>
    <mergeCell ref="B117:H117"/>
    <mergeCell ref="A118:H118"/>
    <mergeCell ref="A119:I119"/>
    <mergeCell ref="A120:I120"/>
    <mergeCell ref="B121:H121"/>
    <mergeCell ref="B122:H122"/>
    <mergeCell ref="B123:H123"/>
    <mergeCell ref="B124:H124"/>
    <mergeCell ref="B125:H125"/>
    <mergeCell ref="B126:H126"/>
    <mergeCell ref="B127:H127"/>
    <mergeCell ref="A128:H128"/>
    <mergeCell ref="A129:I129"/>
    <mergeCell ref="A130:I130"/>
    <mergeCell ref="A131:I131"/>
    <mergeCell ref="A132:I132"/>
    <mergeCell ref="A133:I133"/>
    <mergeCell ref="A135:I135"/>
    <mergeCell ref="A136:E136"/>
    <mergeCell ref="F136:G136"/>
    <mergeCell ref="B137:H137"/>
    <mergeCell ref="B138:H138"/>
    <mergeCell ref="B139:H139"/>
    <mergeCell ref="B140:H140"/>
    <mergeCell ref="B141:H141"/>
    <mergeCell ref="B142:H142"/>
    <mergeCell ref="B143:H143"/>
    <mergeCell ref="A144:H144"/>
    <mergeCell ref="A145:I145"/>
    <mergeCell ref="A146:I146"/>
    <mergeCell ref="B147:H147"/>
    <mergeCell ref="B148:H148"/>
    <mergeCell ref="A149:H149"/>
    <mergeCell ref="A150:I150"/>
    <mergeCell ref="A151:I151"/>
    <mergeCell ref="B152:H152"/>
    <mergeCell ref="B153:H153"/>
    <mergeCell ref="B154:H154"/>
    <mergeCell ref="A155:H155"/>
    <mergeCell ref="A156:I156"/>
    <mergeCell ref="A157:I157"/>
    <mergeCell ref="B158:H158"/>
    <mergeCell ref="B159:H159"/>
    <mergeCell ref="B160:H160"/>
    <mergeCell ref="B161:H161"/>
    <mergeCell ref="B162:H162"/>
    <mergeCell ref="A163:H163"/>
    <mergeCell ref="A164:I164"/>
    <mergeCell ref="A165:I165"/>
    <mergeCell ref="A167:I167"/>
    <mergeCell ref="B168:G168"/>
    <mergeCell ref="A169:G169"/>
    <mergeCell ref="B170:G170"/>
    <mergeCell ref="A171:G171"/>
    <mergeCell ref="B172:G172"/>
    <mergeCell ref="A173:G173"/>
    <mergeCell ref="B174:G174"/>
    <mergeCell ref="B175:G175"/>
    <mergeCell ref="B176:G176"/>
    <mergeCell ref="B177:G177"/>
    <mergeCell ref="B178:G178"/>
    <mergeCell ref="B179:G179"/>
    <mergeCell ref="B180:G180"/>
    <mergeCell ref="B181:G181"/>
    <mergeCell ref="B182:G182"/>
    <mergeCell ref="A183:H183"/>
    <mergeCell ref="A184:I184"/>
    <mergeCell ref="A185:G185"/>
    <mergeCell ref="A186:B188"/>
    <mergeCell ref="C186:I186"/>
    <mergeCell ref="C187:I187"/>
    <mergeCell ref="C188:I188"/>
    <mergeCell ref="A189:I189"/>
    <mergeCell ref="A190:I190"/>
    <mergeCell ref="A191:I191"/>
    <mergeCell ref="A192:I192"/>
    <mergeCell ref="A193:H193"/>
    <mergeCell ref="B194:H194"/>
    <mergeCell ref="B195:H195"/>
    <mergeCell ref="B196:H196"/>
    <mergeCell ref="B197:H197"/>
    <mergeCell ref="B198:H198"/>
    <mergeCell ref="A199:H199"/>
    <mergeCell ref="B200:H200"/>
    <mergeCell ref="A201:H201"/>
    <mergeCell ref="A203:I203"/>
    <mergeCell ref="A204:I204"/>
    <mergeCell ref="A206:I206"/>
    <mergeCell ref="A207:I207"/>
    <mergeCell ref="A208:B208"/>
    <mergeCell ref="C208:D208"/>
    <mergeCell ref="E208:F208"/>
    <mergeCell ref="G208:I208"/>
    <mergeCell ref="A209:B209"/>
    <mergeCell ref="C209:D209"/>
    <mergeCell ref="E209:F209"/>
    <mergeCell ref="G209:I209"/>
    <mergeCell ref="A210:B210"/>
    <mergeCell ref="C210:D210"/>
    <mergeCell ref="E210:F210"/>
    <mergeCell ref="G210:I210"/>
    <mergeCell ref="A211:F211"/>
    <mergeCell ref="G211:I211"/>
    <mergeCell ref="A212:I212"/>
    <mergeCell ref="A213:B213"/>
    <mergeCell ref="C213:D213"/>
    <mergeCell ref="E213:F213"/>
    <mergeCell ref="G213:I213"/>
    <mergeCell ref="A214:B214"/>
    <mergeCell ref="C214:D214"/>
    <mergeCell ref="E214:F214"/>
    <mergeCell ref="G214:I214"/>
    <mergeCell ref="A215:F215"/>
    <mergeCell ref="G215:I215"/>
    <mergeCell ref="A216:I216"/>
    <mergeCell ref="A217:B217"/>
    <mergeCell ref="C217:D217"/>
    <mergeCell ref="E217:F217"/>
    <mergeCell ref="G217:I217"/>
    <mergeCell ref="A218:B218"/>
    <mergeCell ref="C218:D218"/>
    <mergeCell ref="E218:F218"/>
    <mergeCell ref="G218:I218"/>
    <mergeCell ref="A219:F219"/>
    <mergeCell ref="G219:I219"/>
    <mergeCell ref="A220:I220"/>
    <mergeCell ref="A221:B221"/>
    <mergeCell ref="C221:D221"/>
    <mergeCell ref="E221:F221"/>
    <mergeCell ref="G221:I221"/>
    <mergeCell ref="A222:B222"/>
    <mergeCell ref="C222:D222"/>
    <mergeCell ref="E222:F222"/>
    <mergeCell ref="G222:I222"/>
    <mergeCell ref="A223:F223"/>
    <mergeCell ref="G223:I223"/>
    <mergeCell ref="A224:I224"/>
    <mergeCell ref="A225:B225"/>
    <mergeCell ref="C225:D225"/>
    <mergeCell ref="E225:F225"/>
    <mergeCell ref="G225:I225"/>
    <mergeCell ref="A226:B226"/>
    <mergeCell ref="C226:D226"/>
    <mergeCell ref="E226:F226"/>
    <mergeCell ref="G226:I226"/>
    <mergeCell ref="A227:F227"/>
    <mergeCell ref="G227:I227"/>
    <mergeCell ref="A228:I228"/>
    <mergeCell ref="A229:B229"/>
    <mergeCell ref="C229:D229"/>
    <mergeCell ref="E229:F229"/>
    <mergeCell ref="G229:I229"/>
    <mergeCell ref="A230:B230"/>
    <mergeCell ref="C230:D230"/>
    <mergeCell ref="E230:F230"/>
    <mergeCell ref="G230:I230"/>
    <mergeCell ref="A231:F231"/>
    <mergeCell ref="G231:I231"/>
    <mergeCell ref="A232:I232"/>
    <mergeCell ref="A233:B233"/>
    <mergeCell ref="C233:D233"/>
    <mergeCell ref="E233:F233"/>
    <mergeCell ref="G233:I233"/>
    <mergeCell ref="A234:B234"/>
    <mergeCell ref="C234:D234"/>
    <mergeCell ref="E234:F234"/>
    <mergeCell ref="G234:I234"/>
    <mergeCell ref="A235:F235"/>
    <mergeCell ref="G235:I235"/>
    <mergeCell ref="A236:I236"/>
    <mergeCell ref="A237:I237"/>
    <mergeCell ref="A238:I238"/>
    <mergeCell ref="A239:I239"/>
    <mergeCell ref="A240:B240"/>
    <mergeCell ref="C240:D240"/>
    <mergeCell ref="E240:F240"/>
    <mergeCell ref="G240:I240"/>
    <mergeCell ref="A241:B241"/>
    <mergeCell ref="C241:D241"/>
    <mergeCell ref="E241:F241"/>
    <mergeCell ref="G241:I241"/>
    <mergeCell ref="A242:B242"/>
    <mergeCell ref="C242:D242"/>
    <mergeCell ref="E242:F242"/>
    <mergeCell ref="G242:I242"/>
    <mergeCell ref="A243:F243"/>
    <mergeCell ref="G243:I243"/>
    <mergeCell ref="A244:I244"/>
    <mergeCell ref="A245:B245"/>
    <mergeCell ref="C245:D245"/>
    <mergeCell ref="E245:F245"/>
    <mergeCell ref="G245:I245"/>
    <mergeCell ref="A246:B246"/>
    <mergeCell ref="C246:D246"/>
    <mergeCell ref="E246:F246"/>
    <mergeCell ref="G246:I246"/>
    <mergeCell ref="A247:F247"/>
    <mergeCell ref="G247:I247"/>
    <mergeCell ref="A248:I248"/>
    <mergeCell ref="A249:B249"/>
    <mergeCell ref="C249:D249"/>
    <mergeCell ref="E249:F249"/>
    <mergeCell ref="G249:I249"/>
    <mergeCell ref="A250:B250"/>
    <mergeCell ref="C250:D250"/>
    <mergeCell ref="E250:F250"/>
    <mergeCell ref="G250:I250"/>
    <mergeCell ref="A251:F251"/>
    <mergeCell ref="G251:I251"/>
    <mergeCell ref="A252:I252"/>
    <mergeCell ref="A253:B253"/>
    <mergeCell ref="C253:D253"/>
    <mergeCell ref="E253:F253"/>
    <mergeCell ref="G253:I253"/>
    <mergeCell ref="A254:B254"/>
    <mergeCell ref="C254:D254"/>
    <mergeCell ref="E254:F254"/>
    <mergeCell ref="G254:I254"/>
    <mergeCell ref="A255:F255"/>
    <mergeCell ref="G255:I255"/>
    <mergeCell ref="A256:I256"/>
    <mergeCell ref="A257:B257"/>
    <mergeCell ref="C257:D257"/>
    <mergeCell ref="E257:F257"/>
    <mergeCell ref="G257:I257"/>
    <mergeCell ref="A258:B258"/>
    <mergeCell ref="C258:D258"/>
    <mergeCell ref="E258:F258"/>
    <mergeCell ref="G258:I258"/>
    <mergeCell ref="A259:F259"/>
    <mergeCell ref="G259:I259"/>
    <mergeCell ref="A260:I260"/>
    <mergeCell ref="A261:B261"/>
    <mergeCell ref="C261:D261"/>
    <mergeCell ref="E261:F261"/>
    <mergeCell ref="G261:I261"/>
    <mergeCell ref="A262:B262"/>
    <mergeCell ref="C262:D262"/>
    <mergeCell ref="E262:F262"/>
    <mergeCell ref="G262:I262"/>
    <mergeCell ref="A263:F263"/>
    <mergeCell ref="G263:I263"/>
    <mergeCell ref="A264:I264"/>
    <mergeCell ref="A265:I265"/>
    <mergeCell ref="A266:I266"/>
    <mergeCell ref="A267:I268"/>
    <mergeCell ref="D269:E269"/>
    <mergeCell ref="H269:I269"/>
    <mergeCell ref="D270:E270"/>
    <mergeCell ref="H270:I270"/>
    <mergeCell ref="D271:E271"/>
    <mergeCell ref="H271:I271"/>
    <mergeCell ref="A272:G272"/>
    <mergeCell ref="H272:I272"/>
    <mergeCell ref="A273:I273"/>
    <mergeCell ref="D274:E274"/>
    <mergeCell ref="H274:I274"/>
    <mergeCell ref="D275:E275"/>
    <mergeCell ref="H275:I275"/>
    <mergeCell ref="A276:G276"/>
    <mergeCell ref="H276:I276"/>
    <mergeCell ref="A277:I277"/>
    <mergeCell ref="D278:E278"/>
    <mergeCell ref="H278:I278"/>
    <mergeCell ref="D279:E279"/>
    <mergeCell ref="H279:I279"/>
    <mergeCell ref="A280:G280"/>
    <mergeCell ref="H280:I280"/>
    <mergeCell ref="A281:I281"/>
    <mergeCell ref="A282:I282"/>
    <mergeCell ref="A283:I283"/>
    <mergeCell ref="A284:I284"/>
    <mergeCell ref="D285:E285"/>
    <mergeCell ref="H285:I285"/>
    <mergeCell ref="D286:E286"/>
    <mergeCell ref="H286:I286"/>
    <mergeCell ref="D287:E287"/>
    <mergeCell ref="H287:I287"/>
    <mergeCell ref="A288:G288"/>
    <mergeCell ref="H288:I288"/>
    <mergeCell ref="A289:I289"/>
    <mergeCell ref="A290:I290"/>
    <mergeCell ref="A291:I291"/>
    <mergeCell ref="A292:H293"/>
    <mergeCell ref="A294:B294"/>
    <mergeCell ref="C294:D294"/>
    <mergeCell ref="E294:F294"/>
    <mergeCell ref="G294:I294"/>
    <mergeCell ref="A295:B295"/>
    <mergeCell ref="C295:D295"/>
    <mergeCell ref="E295:F295"/>
    <mergeCell ref="G295:I295"/>
    <mergeCell ref="A296:B296"/>
    <mergeCell ref="C296:D296"/>
    <mergeCell ref="E296:F296"/>
    <mergeCell ref="G296:I296"/>
    <mergeCell ref="A297:G297"/>
    <mergeCell ref="H297:I297"/>
    <mergeCell ref="A298:I298"/>
    <mergeCell ref="A299:I299"/>
    <mergeCell ref="A300:I300"/>
    <mergeCell ref="A301:I301"/>
    <mergeCell ref="A302:I303"/>
    <mergeCell ref="A304:C304"/>
    <mergeCell ref="D304:E304"/>
    <mergeCell ref="G304:I304"/>
    <mergeCell ref="A305:C305"/>
    <mergeCell ref="D305:E305"/>
    <mergeCell ref="G305:I305"/>
    <mergeCell ref="A306:C306"/>
    <mergeCell ref="D306:E306"/>
    <mergeCell ref="G306:I306"/>
    <mergeCell ref="A307:C307"/>
    <mergeCell ref="D307:E307"/>
    <mergeCell ref="G307:I307"/>
    <mergeCell ref="A308:C308"/>
    <mergeCell ref="D308:E308"/>
    <mergeCell ref="G308:I308"/>
    <mergeCell ref="A309:C309"/>
    <mergeCell ref="D309:E309"/>
    <mergeCell ref="G309:I309"/>
    <mergeCell ref="A310:C310"/>
    <mergeCell ref="D310:E310"/>
    <mergeCell ref="G310:I310"/>
    <mergeCell ref="A311:C311"/>
    <mergeCell ref="D311:E311"/>
    <mergeCell ref="G311:I311"/>
    <mergeCell ref="A312:E312"/>
    <mergeCell ref="G312:I312"/>
    <mergeCell ref="A313:I313"/>
    <mergeCell ref="A314:C314"/>
    <mergeCell ref="D314:E314"/>
    <mergeCell ref="G314:I314"/>
    <mergeCell ref="A315:C315"/>
    <mergeCell ref="D315:E315"/>
    <mergeCell ref="G315:I315"/>
    <mergeCell ref="A316:C316"/>
    <mergeCell ref="D316:E316"/>
    <mergeCell ref="G316:I316"/>
    <mergeCell ref="A317:C317"/>
    <mergeCell ref="D317:E317"/>
    <mergeCell ref="G317:I317"/>
    <mergeCell ref="A318:C318"/>
    <mergeCell ref="D318:E318"/>
    <mergeCell ref="G318:I318"/>
    <mergeCell ref="A319:C319"/>
    <mergeCell ref="D319:E319"/>
    <mergeCell ref="G319:I319"/>
    <mergeCell ref="A320:E320"/>
    <mergeCell ref="G320:I320"/>
    <mergeCell ref="A321:I321"/>
    <mergeCell ref="A322:C322"/>
    <mergeCell ref="D322:E322"/>
    <mergeCell ref="G322:I322"/>
    <mergeCell ref="A323:C323"/>
    <mergeCell ref="D323:E323"/>
    <mergeCell ref="G323:I323"/>
    <mergeCell ref="A324:C324"/>
    <mergeCell ref="D324:E324"/>
    <mergeCell ref="G324:I324"/>
    <mergeCell ref="A325:E325"/>
    <mergeCell ref="G325:I325"/>
    <mergeCell ref="A326:I326"/>
    <mergeCell ref="A327:C327"/>
    <mergeCell ref="D327:E327"/>
    <mergeCell ref="G327:I327"/>
    <mergeCell ref="A328:E328"/>
    <mergeCell ref="G328:I328"/>
    <mergeCell ref="A329:I329"/>
    <mergeCell ref="A330:C330"/>
    <mergeCell ref="D330:E330"/>
    <mergeCell ref="G330:I330"/>
    <mergeCell ref="A331:E331"/>
    <mergeCell ref="G331:I331"/>
    <mergeCell ref="A332:I332"/>
    <mergeCell ref="A333:E333"/>
    <mergeCell ref="G333:I333"/>
    <mergeCell ref="A334:E334"/>
    <mergeCell ref="G334:I334"/>
    <mergeCell ref="A335:I335"/>
    <mergeCell ref="A336:E336"/>
    <mergeCell ref="G336:I336"/>
    <mergeCell ref="A337:I337"/>
    <mergeCell ref="A338:F338"/>
    <mergeCell ref="G338:H338"/>
    <mergeCell ref="A339:I339"/>
    <mergeCell ref="A340:F340"/>
    <mergeCell ref="G340:I340"/>
    <mergeCell ref="A341:I341"/>
    <mergeCell ref="A342:F342"/>
    <mergeCell ref="G342:I342"/>
    <mergeCell ref="A343:I343"/>
    <mergeCell ref="A344:I344"/>
    <mergeCell ref="A345:G346"/>
    <mergeCell ref="H345:I346"/>
    <mergeCell ref="A347:G347"/>
    <mergeCell ref="H347:I347"/>
    <mergeCell ref="A348:G348"/>
    <mergeCell ref="H348:I348"/>
    <mergeCell ref="A349:I349"/>
    <mergeCell ref="A350:I351"/>
    <mergeCell ref="A352:I352"/>
    <mergeCell ref="A353:G353"/>
    <mergeCell ref="H353:I353"/>
    <mergeCell ref="A354:G354"/>
    <mergeCell ref="H354:I354"/>
    <mergeCell ref="A355:G355"/>
    <mergeCell ref="H355:I355"/>
    <mergeCell ref="A356:G356"/>
    <mergeCell ref="H356:I356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8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6"/>
  <sheetViews>
    <sheetView zoomScalePageLayoutView="0" workbookViewId="0" topLeftCell="A297">
      <selection activeCell="I139" sqref="I139"/>
    </sheetView>
  </sheetViews>
  <sheetFormatPr defaultColWidth="11.421875" defaultRowHeight="12.75"/>
  <cols>
    <col min="1" max="1" width="13.140625" style="40" customWidth="1"/>
    <col min="2" max="2" width="11.00390625" style="40" customWidth="1"/>
    <col min="3" max="3" width="13.140625" style="40" customWidth="1"/>
    <col min="4" max="4" width="10.00390625" style="40" customWidth="1"/>
    <col min="5" max="5" width="12.28125" style="40" customWidth="1"/>
    <col min="6" max="6" width="11.140625" style="40" customWidth="1"/>
    <col min="7" max="7" width="9.7109375" style="40" customWidth="1"/>
    <col min="8" max="8" width="13.28125" style="40" customWidth="1"/>
    <col min="9" max="9" width="14.421875" style="41" customWidth="1"/>
  </cols>
  <sheetData>
    <row r="1" spans="1:9" ht="24" customHeight="1">
      <c r="A1" s="701" t="s">
        <v>365</v>
      </c>
      <c r="B1" s="701"/>
      <c r="C1" s="701"/>
      <c r="D1" s="701"/>
      <c r="E1" s="701"/>
      <c r="F1" s="701"/>
      <c r="G1" s="701"/>
      <c r="H1" s="701"/>
      <c r="I1" s="701"/>
    </row>
    <row r="2" spans="1:9" ht="60" customHeight="1">
      <c r="A2" s="702" t="s">
        <v>681</v>
      </c>
      <c r="B2" s="702"/>
      <c r="C2" s="702"/>
      <c r="D2" s="702"/>
      <c r="E2" s="702"/>
      <c r="F2" s="702"/>
      <c r="G2" s="702"/>
      <c r="H2" s="702"/>
      <c r="I2" s="702"/>
    </row>
    <row r="3" spans="1:9" ht="14.25" customHeight="1">
      <c r="A3" s="646" t="s">
        <v>83</v>
      </c>
      <c r="B3" s="646"/>
      <c r="C3" s="646"/>
      <c r="D3" s="646"/>
      <c r="E3" s="646"/>
      <c r="F3" s="703" t="s">
        <v>677</v>
      </c>
      <c r="G3" s="703"/>
      <c r="H3" s="703"/>
      <c r="I3" s="703"/>
    </row>
    <row r="4" spans="1:9" ht="14.25" customHeight="1">
      <c r="A4" s="646" t="s">
        <v>84</v>
      </c>
      <c r="B4" s="646"/>
      <c r="C4" s="646"/>
      <c r="D4" s="646"/>
      <c r="E4" s="646"/>
      <c r="F4" s="703" t="s">
        <v>680</v>
      </c>
      <c r="G4" s="703"/>
      <c r="H4" s="703"/>
      <c r="I4" s="703"/>
    </row>
    <row r="5" spans="1:9" ht="14.25" customHeight="1">
      <c r="A5" s="646" t="s">
        <v>603</v>
      </c>
      <c r="B5" s="646"/>
      <c r="C5" s="646"/>
      <c r="D5" s="646"/>
      <c r="E5" s="646"/>
      <c r="F5" s="646"/>
      <c r="G5" s="646"/>
      <c r="H5" s="646"/>
      <c r="I5" s="646"/>
    </row>
    <row r="6" spans="1:9" ht="15.75" customHeight="1">
      <c r="A6" s="625" t="s">
        <v>85</v>
      </c>
      <c r="B6" s="625"/>
      <c r="C6" s="625"/>
      <c r="D6" s="625"/>
      <c r="E6" s="625"/>
      <c r="F6" s="625"/>
      <c r="G6" s="625"/>
      <c r="H6" s="625"/>
      <c r="I6" s="625"/>
    </row>
    <row r="7" spans="1:9" ht="14.25" customHeight="1">
      <c r="A7" s="42" t="s">
        <v>86</v>
      </c>
      <c r="B7" s="542" t="s">
        <v>87</v>
      </c>
      <c r="C7" s="542"/>
      <c r="D7" s="542"/>
      <c r="E7" s="542"/>
      <c r="F7" s="542"/>
      <c r="G7" s="542"/>
      <c r="H7" s="700"/>
      <c r="I7" s="700"/>
    </row>
    <row r="8" spans="1:9" ht="14.25" customHeight="1">
      <c r="A8" s="42" t="s">
        <v>88</v>
      </c>
      <c r="B8" s="542" t="s">
        <v>89</v>
      </c>
      <c r="C8" s="542"/>
      <c r="D8" s="542"/>
      <c r="E8" s="542"/>
      <c r="F8" s="542"/>
      <c r="G8" s="542"/>
      <c r="H8" s="697" t="s">
        <v>616</v>
      </c>
      <c r="I8" s="697"/>
    </row>
    <row r="9" spans="1:9" ht="36" customHeight="1">
      <c r="A9" s="42" t="s">
        <v>90</v>
      </c>
      <c r="B9" s="542" t="s">
        <v>91</v>
      </c>
      <c r="C9" s="542"/>
      <c r="D9" s="542"/>
      <c r="E9" s="542"/>
      <c r="F9" s="542"/>
      <c r="G9" s="542"/>
      <c r="H9" s="697" t="s">
        <v>610</v>
      </c>
      <c r="I9" s="697"/>
    </row>
    <row r="10" spans="1:9" ht="14.25" customHeight="1">
      <c r="A10" s="42" t="s">
        <v>92</v>
      </c>
      <c r="B10" s="542" t="s">
        <v>93</v>
      </c>
      <c r="C10" s="542"/>
      <c r="D10" s="542"/>
      <c r="E10" s="542"/>
      <c r="F10" s="542"/>
      <c r="G10" s="542"/>
      <c r="H10" s="697">
        <v>12</v>
      </c>
      <c r="I10" s="697"/>
    </row>
    <row r="11" spans="1:9" ht="15.75" customHeight="1">
      <c r="A11" s="698" t="s">
        <v>94</v>
      </c>
      <c r="B11" s="698"/>
      <c r="C11" s="698"/>
      <c r="D11" s="698"/>
      <c r="E11" s="698"/>
      <c r="F11" s="698"/>
      <c r="G11" s="698"/>
      <c r="H11" s="698"/>
      <c r="I11" s="698"/>
    </row>
    <row r="12" spans="1:9" ht="47.25" customHeight="1">
      <c r="A12" s="563" t="s">
        <v>566</v>
      </c>
      <c r="B12" s="563"/>
      <c r="C12" s="563"/>
      <c r="D12" s="563"/>
      <c r="E12" s="563"/>
      <c r="F12" s="510" t="s">
        <v>95</v>
      </c>
      <c r="G12" s="510"/>
      <c r="H12" s="699" t="s">
        <v>96</v>
      </c>
      <c r="I12" s="699"/>
    </row>
    <row r="13" spans="1:9" ht="14.25" customHeight="1">
      <c r="A13" s="584" t="s">
        <v>97</v>
      </c>
      <c r="B13" s="584"/>
      <c r="C13" s="584"/>
      <c r="D13" s="584"/>
      <c r="E13" s="584"/>
      <c r="F13" s="485" t="s">
        <v>3</v>
      </c>
      <c r="G13" s="485"/>
      <c r="H13" s="696">
        <v>0</v>
      </c>
      <c r="I13" s="696"/>
    </row>
    <row r="14" spans="1:9" ht="14.25" customHeight="1">
      <c r="A14" s="584" t="s">
        <v>98</v>
      </c>
      <c r="B14" s="584"/>
      <c r="C14" s="584"/>
      <c r="D14" s="584"/>
      <c r="E14" s="584"/>
      <c r="F14" s="485" t="s">
        <v>3</v>
      </c>
      <c r="G14" s="485"/>
      <c r="H14" s="696">
        <f>'Áreas Totais'!C4</f>
        <v>234.711</v>
      </c>
      <c r="I14" s="696"/>
    </row>
    <row r="15" spans="1:9" ht="14.25" customHeight="1">
      <c r="A15" s="584" t="s">
        <v>99</v>
      </c>
      <c r="B15" s="584"/>
      <c r="C15" s="584"/>
      <c r="D15" s="584"/>
      <c r="E15" s="584"/>
      <c r="F15" s="485" t="s">
        <v>3</v>
      </c>
      <c r="G15" s="485"/>
      <c r="H15" s="696">
        <f>'Áreas Totais'!C6</f>
        <v>72.53099999999999</v>
      </c>
      <c r="I15" s="696"/>
    </row>
    <row r="16" spans="1:9" ht="14.25" customHeight="1">
      <c r="A16" s="584" t="s">
        <v>100</v>
      </c>
      <c r="B16" s="584"/>
      <c r="C16" s="584"/>
      <c r="D16" s="584"/>
      <c r="E16" s="584"/>
      <c r="F16" s="485" t="s">
        <v>3</v>
      </c>
      <c r="G16" s="485"/>
      <c r="H16" s="696">
        <f>'Áreas Totais'!C5</f>
        <v>2.36628</v>
      </c>
      <c r="I16" s="696"/>
    </row>
    <row r="17" spans="1:9" ht="14.25" customHeight="1">
      <c r="A17" s="584" t="s">
        <v>101</v>
      </c>
      <c r="B17" s="584"/>
      <c r="C17" s="584"/>
      <c r="D17" s="584"/>
      <c r="E17" s="584"/>
      <c r="F17" s="485" t="s">
        <v>3</v>
      </c>
      <c r="G17" s="485"/>
      <c r="H17" s="696">
        <v>0</v>
      </c>
      <c r="I17" s="696"/>
    </row>
    <row r="18" spans="1:9" ht="14.25" customHeight="1">
      <c r="A18" s="584" t="s">
        <v>102</v>
      </c>
      <c r="B18" s="584" t="s">
        <v>103</v>
      </c>
      <c r="C18" s="584" t="s">
        <v>104</v>
      </c>
      <c r="D18" s="584" t="s">
        <v>105</v>
      </c>
      <c r="E18" s="584" t="s">
        <v>106</v>
      </c>
      <c r="F18" s="485" t="s">
        <v>3</v>
      </c>
      <c r="G18" s="485"/>
      <c r="H18" s="696">
        <f>'Áreas Totais'!C8</f>
        <v>125.40419999999996</v>
      </c>
      <c r="I18" s="696"/>
    </row>
    <row r="19" spans="1:9" ht="14.25" customHeight="1">
      <c r="A19" s="584" t="s">
        <v>366</v>
      </c>
      <c r="B19" s="584"/>
      <c r="C19" s="584"/>
      <c r="D19" s="584"/>
      <c r="E19" s="584"/>
      <c r="F19" s="694" t="s">
        <v>3</v>
      </c>
      <c r="G19" s="694"/>
      <c r="H19" s="695">
        <f>'Áreas Totais'!C7</f>
        <v>186.2</v>
      </c>
      <c r="I19" s="695"/>
    </row>
    <row r="20" spans="1:9" ht="14.25" customHeight="1">
      <c r="A20" s="676" t="s">
        <v>108</v>
      </c>
      <c r="B20" s="676"/>
      <c r="C20" s="676"/>
      <c r="D20" s="676"/>
      <c r="E20" s="676"/>
      <c r="F20" s="676"/>
      <c r="G20" s="676"/>
      <c r="H20" s="532">
        <f>ROUND(H13+H14+H15+H16+H17+H18+H19,2)</f>
        <v>621.21</v>
      </c>
      <c r="I20" s="532"/>
    </row>
    <row r="21" spans="1:9" ht="14.25" customHeight="1">
      <c r="A21" s="580"/>
      <c r="B21" s="580"/>
      <c r="C21" s="580"/>
      <c r="D21" s="580"/>
      <c r="E21" s="580"/>
      <c r="F21" s="580"/>
      <c r="G21" s="580"/>
      <c r="H21" s="580"/>
      <c r="I21" s="580"/>
    </row>
    <row r="22" spans="1:9" ht="24.75" customHeight="1">
      <c r="A22" s="584" t="s">
        <v>109</v>
      </c>
      <c r="B22" s="584"/>
      <c r="C22" s="584"/>
      <c r="D22" s="584"/>
      <c r="E22" s="584"/>
      <c r="F22" s="485" t="s">
        <v>3</v>
      </c>
      <c r="G22" s="485"/>
      <c r="H22" s="529">
        <f>'Áreas Totais'!C9</f>
        <v>33.858</v>
      </c>
      <c r="I22" s="529"/>
    </row>
    <row r="23" spans="1:9" ht="14.25" customHeight="1">
      <c r="A23" s="584" t="s">
        <v>110</v>
      </c>
      <c r="B23" s="584"/>
      <c r="C23" s="584"/>
      <c r="D23" s="584"/>
      <c r="E23" s="584"/>
      <c r="F23" s="484" t="s">
        <v>3</v>
      </c>
      <c r="G23" s="484"/>
      <c r="H23" s="529">
        <v>0</v>
      </c>
      <c r="I23" s="529"/>
    </row>
    <row r="24" spans="1:9" ht="14.25" customHeight="1">
      <c r="A24" s="584" t="s">
        <v>111</v>
      </c>
      <c r="B24" s="584"/>
      <c r="C24" s="584"/>
      <c r="D24" s="584"/>
      <c r="E24" s="584"/>
      <c r="F24" s="485" t="s">
        <v>3</v>
      </c>
      <c r="G24" s="485"/>
      <c r="H24" s="529">
        <v>0</v>
      </c>
      <c r="I24" s="529"/>
    </row>
    <row r="25" spans="1:9" ht="14.25" customHeight="1">
      <c r="A25" s="584" t="s">
        <v>112</v>
      </c>
      <c r="B25" s="584"/>
      <c r="C25" s="584"/>
      <c r="D25" s="584"/>
      <c r="E25" s="584"/>
      <c r="F25" s="484" t="s">
        <v>3</v>
      </c>
      <c r="G25" s="484"/>
      <c r="H25" s="529">
        <f>'Áreas Totais'!C11</f>
        <v>0</v>
      </c>
      <c r="I25" s="529"/>
    </row>
    <row r="26" spans="1:9" ht="14.25" customHeight="1">
      <c r="A26" s="584" t="s">
        <v>113</v>
      </c>
      <c r="B26" s="584"/>
      <c r="C26" s="584"/>
      <c r="D26" s="584"/>
      <c r="E26" s="584"/>
      <c r="F26" s="484" t="s">
        <v>3</v>
      </c>
      <c r="G26" s="484"/>
      <c r="H26" s="529">
        <v>0</v>
      </c>
      <c r="I26" s="529"/>
    </row>
    <row r="27" spans="1:9" ht="24.75" customHeight="1">
      <c r="A27" s="584" t="s">
        <v>114</v>
      </c>
      <c r="B27" s="584"/>
      <c r="C27" s="584"/>
      <c r="D27" s="584"/>
      <c r="E27" s="584"/>
      <c r="F27" s="485" t="s">
        <v>3</v>
      </c>
      <c r="G27" s="485"/>
      <c r="H27" s="529">
        <f>'Áreas Totais'!C10</f>
        <v>6.77628</v>
      </c>
      <c r="I27" s="529"/>
    </row>
    <row r="28" spans="1:9" ht="14.25" customHeight="1">
      <c r="A28" s="676" t="s">
        <v>115</v>
      </c>
      <c r="B28" s="676"/>
      <c r="C28" s="676"/>
      <c r="D28" s="676"/>
      <c r="E28" s="676"/>
      <c r="F28" s="676"/>
      <c r="G28" s="676"/>
      <c r="H28" s="532">
        <f>ROUND(H22+H23+H24+H25+H26+H27,2)</f>
        <v>40.63</v>
      </c>
      <c r="I28" s="532"/>
    </row>
    <row r="29" spans="1:9" ht="14.25" customHeight="1">
      <c r="A29" s="580"/>
      <c r="B29" s="580"/>
      <c r="C29" s="580"/>
      <c r="D29" s="580"/>
      <c r="E29" s="580"/>
      <c r="F29" s="580"/>
      <c r="G29" s="580"/>
      <c r="H29" s="580"/>
      <c r="I29" s="580"/>
    </row>
    <row r="30" spans="1:9" ht="24.75" customHeight="1">
      <c r="A30" s="584" t="s">
        <v>116</v>
      </c>
      <c r="B30" s="584"/>
      <c r="C30" s="584"/>
      <c r="D30" s="584"/>
      <c r="E30" s="584"/>
      <c r="F30" s="485" t="s">
        <v>3</v>
      </c>
      <c r="G30" s="485"/>
      <c r="H30" s="529">
        <v>0</v>
      </c>
      <c r="I30" s="529"/>
    </row>
    <row r="31" spans="1:9" ht="24.75" customHeight="1">
      <c r="A31" s="584" t="s">
        <v>117</v>
      </c>
      <c r="B31" s="584"/>
      <c r="C31" s="584"/>
      <c r="D31" s="584"/>
      <c r="E31" s="584"/>
      <c r="F31" s="485" t="s">
        <v>3</v>
      </c>
      <c r="G31" s="485"/>
      <c r="H31" s="529">
        <f>'Áreas Totais'!C12</f>
        <v>70.77329999999999</v>
      </c>
      <c r="I31" s="529"/>
    </row>
    <row r="32" spans="1:9" ht="14.25" customHeight="1">
      <c r="A32" s="584" t="s">
        <v>118</v>
      </c>
      <c r="B32" s="584"/>
      <c r="C32" s="584"/>
      <c r="D32" s="584"/>
      <c r="E32" s="584"/>
      <c r="F32" s="485" t="s">
        <v>3</v>
      </c>
      <c r="G32" s="485"/>
      <c r="H32" s="529">
        <f>'Áreas Totais'!C13</f>
        <v>70.77329999999999</v>
      </c>
      <c r="I32" s="529"/>
    </row>
    <row r="33" spans="1:9" ht="14.25" customHeight="1">
      <c r="A33" s="688" t="s">
        <v>119</v>
      </c>
      <c r="B33" s="688"/>
      <c r="C33" s="688"/>
      <c r="D33" s="688"/>
      <c r="E33" s="688"/>
      <c r="F33" s="688"/>
      <c r="G33" s="688"/>
      <c r="H33" s="532">
        <f>ROUND(H30+H31+H32,2)</f>
        <v>141.55</v>
      </c>
      <c r="I33" s="532"/>
    </row>
    <row r="34" spans="1:9" ht="14.25" customHeight="1">
      <c r="A34" s="683"/>
      <c r="B34" s="683"/>
      <c r="C34" s="683"/>
      <c r="D34" s="683"/>
      <c r="E34" s="683"/>
      <c r="F34" s="683"/>
      <c r="G34" s="683"/>
      <c r="H34" s="683"/>
      <c r="I34" s="683"/>
    </row>
    <row r="35" spans="1:9" ht="14.25" customHeight="1">
      <c r="A35" s="691" t="s">
        <v>120</v>
      </c>
      <c r="B35" s="691"/>
      <c r="C35" s="691"/>
      <c r="D35" s="691"/>
      <c r="E35" s="691"/>
      <c r="F35" s="485" t="s">
        <v>3</v>
      </c>
      <c r="G35" s="485"/>
      <c r="H35" s="529">
        <v>0</v>
      </c>
      <c r="I35" s="529"/>
    </row>
    <row r="36" spans="1:9" ht="14.25" customHeight="1">
      <c r="A36" s="690" t="s">
        <v>121</v>
      </c>
      <c r="B36" s="690"/>
      <c r="C36" s="690"/>
      <c r="D36" s="690"/>
      <c r="E36" s="690"/>
      <c r="F36" s="690"/>
      <c r="G36" s="690"/>
      <c r="H36" s="532">
        <f>H35</f>
        <v>0</v>
      </c>
      <c r="I36" s="532"/>
    </row>
    <row r="37" spans="1:9" ht="14.25" customHeight="1">
      <c r="A37" s="677"/>
      <c r="B37" s="677"/>
      <c r="C37" s="677"/>
      <c r="D37" s="677"/>
      <c r="E37" s="677"/>
      <c r="F37" s="677"/>
      <c r="G37" s="677"/>
      <c r="H37" s="677"/>
      <c r="I37" s="677"/>
    </row>
    <row r="38" spans="1:9" ht="14.25" customHeight="1">
      <c r="A38" s="691" t="s">
        <v>122</v>
      </c>
      <c r="B38" s="691"/>
      <c r="C38" s="691"/>
      <c r="D38" s="691"/>
      <c r="E38" s="691"/>
      <c r="F38" s="484" t="s">
        <v>3</v>
      </c>
      <c r="G38" s="484"/>
      <c r="H38" s="692">
        <v>0</v>
      </c>
      <c r="I38" s="692"/>
    </row>
    <row r="39" spans="1:9" ht="14.25" customHeight="1">
      <c r="A39" s="512" t="s">
        <v>123</v>
      </c>
      <c r="B39" s="512"/>
      <c r="C39" s="512"/>
      <c r="D39" s="512"/>
      <c r="E39" s="512"/>
      <c r="F39" s="512"/>
      <c r="G39" s="512"/>
      <c r="H39" s="685">
        <v>0</v>
      </c>
      <c r="I39" s="685"/>
    </row>
    <row r="40" spans="1:9" ht="12.75">
      <c r="A40" s="46"/>
      <c r="B40" s="47"/>
      <c r="C40" s="47"/>
      <c r="D40" s="47"/>
      <c r="E40" s="47"/>
      <c r="F40" s="47"/>
      <c r="G40" s="47"/>
      <c r="H40" s="48"/>
      <c r="I40" s="49"/>
    </row>
    <row r="41" spans="1:9" ht="14.25" customHeight="1">
      <c r="A41" s="686" t="s">
        <v>124</v>
      </c>
      <c r="B41" s="686"/>
      <c r="C41" s="686"/>
      <c r="D41" s="686"/>
      <c r="E41" s="686"/>
      <c r="F41" s="484" t="s">
        <v>3</v>
      </c>
      <c r="G41" s="484"/>
      <c r="H41" s="687">
        <v>0</v>
      </c>
      <c r="I41" s="687"/>
    </row>
    <row r="42" spans="1:9" ht="14.25" customHeight="1">
      <c r="A42" s="688" t="s">
        <v>125</v>
      </c>
      <c r="B42" s="688"/>
      <c r="C42" s="688"/>
      <c r="D42" s="688"/>
      <c r="E42" s="688"/>
      <c r="F42" s="688"/>
      <c r="G42" s="688"/>
      <c r="H42" s="689">
        <v>0</v>
      </c>
      <c r="I42" s="689"/>
    </row>
    <row r="43" spans="1:9" ht="14.25" customHeight="1">
      <c r="A43" s="683"/>
      <c r="B43" s="683"/>
      <c r="C43" s="683"/>
      <c r="D43" s="683"/>
      <c r="E43" s="683"/>
      <c r="F43" s="683"/>
      <c r="G43" s="683"/>
      <c r="H43" s="683"/>
      <c r="I43" s="683"/>
    </row>
    <row r="44" spans="1:9" ht="14.25" customHeight="1">
      <c r="A44" s="626" t="s">
        <v>126</v>
      </c>
      <c r="B44" s="626"/>
      <c r="C44" s="626"/>
      <c r="D44" s="626"/>
      <c r="E44" s="626"/>
      <c r="F44" s="626"/>
      <c r="G44" s="626"/>
      <c r="H44" s="684">
        <f>ROUND(H20+H28+H33+H36+H39,2)</f>
        <v>803.39</v>
      </c>
      <c r="I44" s="684"/>
    </row>
    <row r="45" spans="1:9" ht="14.25" customHeight="1">
      <c r="A45" s="661"/>
      <c r="B45" s="661"/>
      <c r="C45" s="661"/>
      <c r="D45" s="661"/>
      <c r="E45" s="661"/>
      <c r="F45" s="661"/>
      <c r="G45" s="661"/>
      <c r="H45" s="661"/>
      <c r="I45" s="661"/>
    </row>
    <row r="46" spans="1:9" ht="51.75" customHeight="1">
      <c r="A46" s="651" t="s">
        <v>127</v>
      </c>
      <c r="B46" s="651"/>
      <c r="C46" s="651"/>
      <c r="D46" s="651"/>
      <c r="E46" s="651"/>
      <c r="F46" s="651"/>
      <c r="G46" s="651"/>
      <c r="H46" s="651"/>
      <c r="I46" s="651"/>
    </row>
    <row r="47" spans="1:9" ht="14.25" customHeight="1">
      <c r="A47" s="661"/>
      <c r="B47" s="661"/>
      <c r="C47" s="661"/>
      <c r="D47" s="661"/>
      <c r="E47" s="661"/>
      <c r="F47" s="661"/>
      <c r="G47" s="661"/>
      <c r="H47" s="661"/>
      <c r="I47" s="661"/>
    </row>
    <row r="48" spans="1:9" ht="38.25" customHeight="1">
      <c r="A48" s="680" t="s">
        <v>584</v>
      </c>
      <c r="B48" s="680"/>
      <c r="C48" s="680"/>
      <c r="D48" s="680"/>
      <c r="E48" s="680"/>
      <c r="F48" s="680"/>
      <c r="G48" s="680"/>
      <c r="H48" s="680"/>
      <c r="I48" s="680"/>
    </row>
    <row r="49" spans="1:9" ht="20.25" customHeight="1">
      <c r="A49" s="681"/>
      <c r="B49" s="681"/>
      <c r="C49" s="681"/>
      <c r="D49" s="681"/>
      <c r="E49" s="681"/>
      <c r="F49" s="681"/>
      <c r="G49" s="681"/>
      <c r="H49" s="681"/>
      <c r="I49" s="681"/>
    </row>
    <row r="50" spans="1:9" ht="15.75" customHeight="1">
      <c r="A50" s="625" t="s">
        <v>128</v>
      </c>
      <c r="B50" s="625"/>
      <c r="C50" s="625"/>
      <c r="D50" s="625"/>
      <c r="E50" s="625"/>
      <c r="F50" s="625"/>
      <c r="G50" s="625"/>
      <c r="H50" s="625"/>
      <c r="I50" s="625"/>
    </row>
    <row r="51" spans="1:9" ht="15.75" customHeight="1">
      <c r="A51" s="42">
        <v>1</v>
      </c>
      <c r="B51" s="542" t="s">
        <v>129</v>
      </c>
      <c r="C51" s="542"/>
      <c r="D51" s="542"/>
      <c r="E51" s="542"/>
      <c r="F51" s="542"/>
      <c r="G51" s="542"/>
      <c r="H51" s="678" t="s">
        <v>130</v>
      </c>
      <c r="I51" s="678"/>
    </row>
    <row r="52" spans="1:9" ht="15.75" customHeight="1">
      <c r="A52" s="42">
        <v>2</v>
      </c>
      <c r="B52" s="542" t="s">
        <v>131</v>
      </c>
      <c r="C52" s="542"/>
      <c r="D52" s="542"/>
      <c r="E52" s="542"/>
      <c r="F52" s="542"/>
      <c r="G52" s="542"/>
      <c r="H52" s="682">
        <v>5143</v>
      </c>
      <c r="I52" s="682"/>
    </row>
    <row r="53" spans="1:9" ht="15.75" customHeight="1">
      <c r="A53" s="42">
        <v>3</v>
      </c>
      <c r="B53" s="542" t="s">
        <v>586</v>
      </c>
      <c r="C53" s="542"/>
      <c r="D53" s="542"/>
      <c r="E53" s="542"/>
      <c r="F53" s="542"/>
      <c r="G53" s="542"/>
      <c r="H53" s="678">
        <f>Preenchimento!B75</f>
        <v>1184.93</v>
      </c>
      <c r="I53" s="678"/>
    </row>
    <row r="54" spans="1:9" ht="15.75" customHeight="1">
      <c r="A54" s="42">
        <v>4</v>
      </c>
      <c r="B54" s="542" t="s">
        <v>133</v>
      </c>
      <c r="C54" s="542"/>
      <c r="D54" s="542"/>
      <c r="E54" s="542"/>
      <c r="F54" s="542"/>
      <c r="G54" s="542"/>
      <c r="H54" s="679" t="s">
        <v>134</v>
      </c>
      <c r="I54" s="679"/>
    </row>
    <row r="55" spans="1:9" ht="15.75" customHeight="1">
      <c r="A55" s="42">
        <v>5</v>
      </c>
      <c r="B55" s="542" t="s">
        <v>135</v>
      </c>
      <c r="C55" s="542"/>
      <c r="D55" s="542"/>
      <c r="E55" s="542"/>
      <c r="F55" s="542"/>
      <c r="G55" s="542"/>
      <c r="H55" s="679" t="s">
        <v>617</v>
      </c>
      <c r="I55" s="679"/>
    </row>
    <row r="56" spans="1:9" ht="14.25" customHeight="1">
      <c r="A56" s="677"/>
      <c r="B56" s="677"/>
      <c r="C56" s="677"/>
      <c r="D56" s="677"/>
      <c r="E56" s="677"/>
      <c r="F56" s="677"/>
      <c r="G56" s="677"/>
      <c r="H56" s="677"/>
      <c r="I56" s="677"/>
    </row>
    <row r="57" spans="1:9" ht="23.25" customHeight="1">
      <c r="A57" s="546" t="s">
        <v>136</v>
      </c>
      <c r="B57" s="546"/>
      <c r="C57" s="546"/>
      <c r="D57" s="546"/>
      <c r="E57" s="546"/>
      <c r="F57" s="546"/>
      <c r="G57" s="546"/>
      <c r="H57" s="546"/>
      <c r="I57" s="546"/>
    </row>
    <row r="58" spans="1:9" ht="14.25" customHeight="1">
      <c r="A58" s="573"/>
      <c r="B58" s="573"/>
      <c r="C58" s="573"/>
      <c r="D58" s="573"/>
      <c r="E58" s="573"/>
      <c r="F58" s="573"/>
      <c r="G58" s="573"/>
      <c r="H58" s="573"/>
      <c r="I58" s="573"/>
    </row>
    <row r="59" spans="1:9" ht="16.5" customHeight="1">
      <c r="A59" s="642" t="s">
        <v>137</v>
      </c>
      <c r="B59" s="642"/>
      <c r="C59" s="642"/>
      <c r="D59" s="642"/>
      <c r="E59" s="642"/>
      <c r="F59" s="642"/>
      <c r="G59" s="642"/>
      <c r="H59" s="642"/>
      <c r="I59" s="642"/>
    </row>
    <row r="60" spans="1:9" ht="27.75" customHeight="1">
      <c r="A60" s="50">
        <v>1</v>
      </c>
      <c r="B60" s="643" t="s">
        <v>138</v>
      </c>
      <c r="C60" s="643"/>
      <c r="D60" s="643"/>
      <c r="E60" s="643"/>
      <c r="F60" s="643"/>
      <c r="G60" s="643"/>
      <c r="H60" s="50" t="s">
        <v>139</v>
      </c>
      <c r="I60" s="50" t="s">
        <v>140</v>
      </c>
    </row>
    <row r="61" spans="1:9" ht="26.25" customHeight="1">
      <c r="A61" s="42" t="s">
        <v>86</v>
      </c>
      <c r="B61" s="542" t="s">
        <v>141</v>
      </c>
      <c r="C61" s="542"/>
      <c r="D61" s="542"/>
      <c r="E61" s="542"/>
      <c r="F61" s="542"/>
      <c r="G61" s="542"/>
      <c r="H61" s="542"/>
      <c r="I61" s="52">
        <f>H53</f>
        <v>1184.93</v>
      </c>
    </row>
    <row r="62" spans="1:9" ht="14.25" customHeight="1">
      <c r="A62" s="42" t="s">
        <v>88</v>
      </c>
      <c r="B62" s="674" t="s">
        <v>142</v>
      </c>
      <c r="C62" s="674"/>
      <c r="D62" s="674"/>
      <c r="E62" s="674"/>
      <c r="F62" s="674"/>
      <c r="G62" s="674"/>
      <c r="H62" s="53"/>
      <c r="I62" s="52"/>
    </row>
    <row r="63" spans="1:9" ht="22.5" customHeight="1">
      <c r="A63" s="42" t="s">
        <v>90</v>
      </c>
      <c r="B63" s="675" t="s">
        <v>611</v>
      </c>
      <c r="C63" s="675"/>
      <c r="D63" s="675"/>
      <c r="E63" s="675"/>
      <c r="F63" s="675"/>
      <c r="G63" s="675"/>
      <c r="H63" s="54">
        <v>0.4</v>
      </c>
      <c r="I63" s="52">
        <f>ROUND(H63*I61,2)</f>
        <v>473.97</v>
      </c>
    </row>
    <row r="64" spans="1:9" ht="14.25" customHeight="1">
      <c r="A64" s="42" t="s">
        <v>92</v>
      </c>
      <c r="B64" s="542" t="s">
        <v>143</v>
      </c>
      <c r="C64" s="542"/>
      <c r="D64" s="542"/>
      <c r="E64" s="542"/>
      <c r="F64" s="542"/>
      <c r="G64" s="542"/>
      <c r="H64" s="542"/>
      <c r="I64" s="52"/>
    </row>
    <row r="65" spans="1:9" ht="14.25" customHeight="1">
      <c r="A65" s="42" t="s">
        <v>144</v>
      </c>
      <c r="B65" s="542" t="s">
        <v>145</v>
      </c>
      <c r="C65" s="542"/>
      <c r="D65" s="542"/>
      <c r="E65" s="542"/>
      <c r="F65" s="542"/>
      <c r="G65" s="542"/>
      <c r="H65" s="542"/>
      <c r="I65" s="55"/>
    </row>
    <row r="66" spans="1:9" ht="14.25" customHeight="1">
      <c r="A66" s="42" t="s">
        <v>146</v>
      </c>
      <c r="B66" s="542" t="s">
        <v>147</v>
      </c>
      <c r="C66" s="542"/>
      <c r="D66" s="542"/>
      <c r="E66" s="542"/>
      <c r="F66" s="542"/>
      <c r="G66" s="542"/>
      <c r="H66" s="542"/>
      <c r="I66" s="52"/>
    </row>
    <row r="67" spans="1:9" ht="24.75" customHeight="1">
      <c r="A67" s="676" t="s">
        <v>148</v>
      </c>
      <c r="B67" s="676"/>
      <c r="C67" s="676"/>
      <c r="D67" s="676"/>
      <c r="E67" s="676"/>
      <c r="F67" s="676"/>
      <c r="G67" s="676"/>
      <c r="H67" s="676"/>
      <c r="I67" s="56">
        <f>SUM(I61:I66)</f>
        <v>1658.9</v>
      </c>
    </row>
    <row r="68" spans="1:9" ht="14.25" customHeight="1">
      <c r="A68" s="545"/>
      <c r="B68" s="545"/>
      <c r="C68" s="545"/>
      <c r="D68" s="545"/>
      <c r="E68" s="545"/>
      <c r="F68" s="545"/>
      <c r="G68" s="545"/>
      <c r="H68" s="545"/>
      <c r="I68" s="545"/>
    </row>
    <row r="69" spans="1:9" ht="14.25" customHeight="1">
      <c r="A69" s="670" t="s">
        <v>149</v>
      </c>
      <c r="B69" s="670"/>
      <c r="C69" s="670"/>
      <c r="D69" s="670"/>
      <c r="E69" s="670"/>
      <c r="F69" s="670"/>
      <c r="G69" s="670"/>
      <c r="H69" s="670"/>
      <c r="I69" s="670"/>
    </row>
    <row r="70" spans="1:9" ht="14.25" customHeight="1">
      <c r="A70" s="671"/>
      <c r="B70" s="671"/>
      <c r="C70" s="671"/>
      <c r="D70" s="671"/>
      <c r="E70" s="671"/>
      <c r="F70" s="671"/>
      <c r="G70" s="671"/>
      <c r="H70" s="671"/>
      <c r="I70" s="671"/>
    </row>
    <row r="71" spans="1:9" ht="16.5" customHeight="1">
      <c r="A71" s="636" t="s">
        <v>150</v>
      </c>
      <c r="B71" s="636"/>
      <c r="C71" s="636"/>
      <c r="D71" s="636"/>
      <c r="E71" s="636"/>
      <c r="F71" s="636"/>
      <c r="G71" s="636"/>
      <c r="H71" s="636"/>
      <c r="I71" s="636"/>
    </row>
    <row r="72" spans="1:9" ht="15.75" customHeight="1">
      <c r="A72" s="672" t="s">
        <v>689</v>
      </c>
      <c r="B72" s="672"/>
      <c r="C72" s="672"/>
      <c r="D72" s="672"/>
      <c r="E72" s="672"/>
      <c r="F72" s="672"/>
      <c r="G72" s="672"/>
      <c r="H72" s="672"/>
      <c r="I72" s="672"/>
    </row>
    <row r="73" spans="1:9" ht="15.75" customHeight="1">
      <c r="A73" s="57" t="s">
        <v>151</v>
      </c>
      <c r="B73" s="673" t="s">
        <v>690</v>
      </c>
      <c r="C73" s="673"/>
      <c r="D73" s="673"/>
      <c r="E73" s="673"/>
      <c r="F73" s="673"/>
      <c r="G73" s="673"/>
      <c r="H73" s="673"/>
      <c r="I73" s="43" t="s">
        <v>152</v>
      </c>
    </row>
    <row r="74" spans="1:9" ht="14.25" customHeight="1">
      <c r="A74" s="58" t="s">
        <v>86</v>
      </c>
      <c r="B74" s="640" t="s">
        <v>153</v>
      </c>
      <c r="C74" s="640"/>
      <c r="D74" s="640"/>
      <c r="E74" s="640"/>
      <c r="F74" s="640"/>
      <c r="G74" s="640"/>
      <c r="H74" s="640"/>
      <c r="I74" s="59">
        <f>ROUND($I$67/12,2)</f>
        <v>138.24</v>
      </c>
    </row>
    <row r="75" spans="1:9" ht="15" customHeight="1">
      <c r="A75" s="58" t="s">
        <v>88</v>
      </c>
      <c r="B75" s="640" t="s">
        <v>691</v>
      </c>
      <c r="C75" s="640"/>
      <c r="D75" s="640"/>
      <c r="E75" s="640"/>
      <c r="F75" s="640"/>
      <c r="G75" s="640"/>
      <c r="H75" s="640"/>
      <c r="I75" s="59">
        <f>ROUND(($I$67/3)/12,2)</f>
        <v>46.08</v>
      </c>
    </row>
    <row r="76" spans="1:9" ht="14.25" customHeight="1">
      <c r="A76" s="666" t="s">
        <v>28</v>
      </c>
      <c r="B76" s="666"/>
      <c r="C76" s="666"/>
      <c r="D76" s="666"/>
      <c r="E76" s="666"/>
      <c r="F76" s="666"/>
      <c r="G76" s="666"/>
      <c r="H76" s="666"/>
      <c r="I76" s="60">
        <f>SUM(I74+I75)</f>
        <v>184.32</v>
      </c>
    </row>
    <row r="77" spans="1:9" ht="12.75" customHeight="1">
      <c r="A77" s="667"/>
      <c r="B77" s="667"/>
      <c r="C77" s="667"/>
      <c r="D77" s="667"/>
      <c r="E77" s="667"/>
      <c r="F77" s="667"/>
      <c r="G77" s="667"/>
      <c r="H77" s="667"/>
      <c r="I77" s="667"/>
    </row>
    <row r="78" spans="1:9" ht="86.25" customHeight="1">
      <c r="A78" s="651" t="s">
        <v>692</v>
      </c>
      <c r="B78" s="668"/>
      <c r="C78" s="668"/>
      <c r="D78" s="668"/>
      <c r="E78" s="668"/>
      <c r="F78" s="668"/>
      <c r="G78" s="668"/>
      <c r="H78" s="668"/>
      <c r="I78" s="668"/>
    </row>
    <row r="79" spans="1:9" ht="14.25" customHeight="1">
      <c r="A79" s="669"/>
      <c r="B79" s="669"/>
      <c r="C79" s="669"/>
      <c r="D79" s="669"/>
      <c r="E79" s="669"/>
      <c r="F79" s="669"/>
      <c r="G79" s="669"/>
      <c r="H79" s="669"/>
      <c r="I79" s="669"/>
    </row>
    <row r="80" spans="1:9" ht="27.75" customHeight="1">
      <c r="A80" s="652" t="s">
        <v>154</v>
      </c>
      <c r="B80" s="652"/>
      <c r="C80" s="652"/>
      <c r="D80" s="652"/>
      <c r="E80" s="652"/>
      <c r="F80" s="652"/>
      <c r="G80" s="652"/>
      <c r="H80" s="652"/>
      <c r="I80" s="652"/>
    </row>
    <row r="81" spans="1:9" ht="27.75" customHeight="1">
      <c r="A81" s="61" t="s">
        <v>155</v>
      </c>
      <c r="B81" s="643" t="s">
        <v>156</v>
      </c>
      <c r="C81" s="643"/>
      <c r="D81" s="643"/>
      <c r="E81" s="643"/>
      <c r="F81" s="643"/>
      <c r="G81" s="643"/>
      <c r="H81" s="51" t="s">
        <v>157</v>
      </c>
      <c r="I81" s="51" t="s">
        <v>158</v>
      </c>
    </row>
    <row r="82" spans="1:9" ht="14.25" customHeight="1">
      <c r="A82" s="62" t="s">
        <v>86</v>
      </c>
      <c r="B82" s="646" t="s">
        <v>159</v>
      </c>
      <c r="C82" s="646"/>
      <c r="D82" s="646"/>
      <c r="E82" s="646"/>
      <c r="F82" s="646"/>
      <c r="G82" s="646"/>
      <c r="H82" s="63">
        <v>0.2</v>
      </c>
      <c r="I82" s="64">
        <f>ROUND(($I$67+$I$76)*H82,2)</f>
        <v>368.64</v>
      </c>
    </row>
    <row r="83" spans="1:9" ht="14.25" customHeight="1">
      <c r="A83" s="62" t="s">
        <v>88</v>
      </c>
      <c r="B83" s="542" t="s">
        <v>160</v>
      </c>
      <c r="C83" s="542"/>
      <c r="D83" s="542"/>
      <c r="E83" s="542"/>
      <c r="F83" s="542"/>
      <c r="G83" s="542"/>
      <c r="H83" s="65">
        <v>0.025</v>
      </c>
      <c r="I83" s="64">
        <f aca="true" t="shared" si="0" ref="I83:I89">ROUND(($I$67+$I$76)*H83,2)</f>
        <v>46.08</v>
      </c>
    </row>
    <row r="84" spans="1:9" ht="46.5" customHeight="1">
      <c r="A84" s="62" t="s">
        <v>90</v>
      </c>
      <c r="B84" s="542" t="s">
        <v>161</v>
      </c>
      <c r="C84" s="542"/>
      <c r="D84" s="66" t="s">
        <v>162</v>
      </c>
      <c r="E84" s="267">
        <f>Preenchimento!B85</f>
        <v>0.03</v>
      </c>
      <c r="F84" s="66" t="s">
        <v>163</v>
      </c>
      <c r="G84" s="268">
        <f>Preenchimento!B86</f>
        <v>1</v>
      </c>
      <c r="H84" s="326">
        <f>ROUND((E84*G84),6)</f>
        <v>0.03</v>
      </c>
      <c r="I84" s="64">
        <f t="shared" si="0"/>
        <v>55.3</v>
      </c>
    </row>
    <row r="85" spans="1:9" ht="14.25" customHeight="1">
      <c r="A85" s="62" t="s">
        <v>92</v>
      </c>
      <c r="B85" s="646" t="s">
        <v>164</v>
      </c>
      <c r="C85" s="646"/>
      <c r="D85" s="646"/>
      <c r="E85" s="646"/>
      <c r="F85" s="646"/>
      <c r="G85" s="646"/>
      <c r="H85" s="63">
        <v>0.015</v>
      </c>
      <c r="I85" s="64">
        <f t="shared" si="0"/>
        <v>27.65</v>
      </c>
    </row>
    <row r="86" spans="1:9" ht="14.25" customHeight="1">
      <c r="A86" s="62" t="s">
        <v>144</v>
      </c>
      <c r="B86" s="646" t="s">
        <v>165</v>
      </c>
      <c r="C86" s="646"/>
      <c r="D86" s="646"/>
      <c r="E86" s="646"/>
      <c r="F86" s="646"/>
      <c r="G86" s="646"/>
      <c r="H86" s="63">
        <v>0.01</v>
      </c>
      <c r="I86" s="64">
        <f t="shared" si="0"/>
        <v>18.43</v>
      </c>
    </row>
    <row r="87" spans="1:9" ht="14.25" customHeight="1">
      <c r="A87" s="62" t="s">
        <v>146</v>
      </c>
      <c r="B87" s="542" t="s">
        <v>166</v>
      </c>
      <c r="C87" s="542"/>
      <c r="D87" s="542"/>
      <c r="E87" s="542"/>
      <c r="F87" s="542"/>
      <c r="G87" s="542"/>
      <c r="H87" s="65">
        <v>0.006</v>
      </c>
      <c r="I87" s="64">
        <f t="shared" si="0"/>
        <v>11.06</v>
      </c>
    </row>
    <row r="88" spans="1:9" ht="14.25" customHeight="1">
      <c r="A88" s="62" t="s">
        <v>167</v>
      </c>
      <c r="B88" s="646" t="s">
        <v>168</v>
      </c>
      <c r="C88" s="646"/>
      <c r="D88" s="646"/>
      <c r="E88" s="646"/>
      <c r="F88" s="646"/>
      <c r="G88" s="646"/>
      <c r="H88" s="63">
        <v>0.002</v>
      </c>
      <c r="I88" s="64">
        <f t="shared" si="0"/>
        <v>3.69</v>
      </c>
    </row>
    <row r="89" spans="1:9" ht="14.25" customHeight="1">
      <c r="A89" s="62" t="s">
        <v>169</v>
      </c>
      <c r="B89" s="542" t="s">
        <v>170</v>
      </c>
      <c r="C89" s="542"/>
      <c r="D89" s="542"/>
      <c r="E89" s="542"/>
      <c r="F89" s="542"/>
      <c r="G89" s="542"/>
      <c r="H89" s="65">
        <v>0.08</v>
      </c>
      <c r="I89" s="64">
        <f t="shared" si="0"/>
        <v>147.46</v>
      </c>
    </row>
    <row r="90" spans="1:9" ht="14.25" customHeight="1">
      <c r="A90" s="633" t="s">
        <v>28</v>
      </c>
      <c r="B90" s="633"/>
      <c r="C90" s="633"/>
      <c r="D90" s="633"/>
      <c r="E90" s="633"/>
      <c r="F90" s="633"/>
      <c r="G90" s="633"/>
      <c r="H90" s="69">
        <f>SUM(H82:H89)</f>
        <v>0.36800000000000005</v>
      </c>
      <c r="I90" s="70">
        <f>SUM(I82:I89)</f>
        <v>678.31</v>
      </c>
    </row>
    <row r="91" spans="1:9" ht="12.75">
      <c r="A91" s="71"/>
      <c r="B91" s="72"/>
      <c r="C91" s="72"/>
      <c r="D91" s="72"/>
      <c r="E91" s="72"/>
      <c r="F91" s="72"/>
      <c r="G91" s="72"/>
      <c r="H91" s="73"/>
      <c r="I91" s="74"/>
    </row>
    <row r="92" spans="1:9" ht="33.75" customHeight="1">
      <c r="A92" s="651" t="s">
        <v>171</v>
      </c>
      <c r="B92" s="651"/>
      <c r="C92" s="651"/>
      <c r="D92" s="651"/>
      <c r="E92" s="651"/>
      <c r="F92" s="651"/>
      <c r="G92" s="651"/>
      <c r="H92" s="651"/>
      <c r="I92" s="651"/>
    </row>
    <row r="93" spans="1:9" ht="14.25" customHeight="1">
      <c r="A93" s="661"/>
      <c r="B93" s="661"/>
      <c r="C93" s="661"/>
      <c r="D93" s="661"/>
      <c r="E93" s="661"/>
      <c r="F93" s="661"/>
      <c r="G93" s="661"/>
      <c r="H93" s="661"/>
      <c r="I93" s="661"/>
    </row>
    <row r="94" spans="1:9" ht="15.75" customHeight="1">
      <c r="A94" s="647" t="s">
        <v>172</v>
      </c>
      <c r="B94" s="647"/>
      <c r="C94" s="647"/>
      <c r="D94" s="647"/>
      <c r="E94" s="647"/>
      <c r="F94" s="647"/>
      <c r="G94" s="647"/>
      <c r="H94" s="647"/>
      <c r="I94" s="647"/>
    </row>
    <row r="95" spans="1:9" ht="15.75" customHeight="1">
      <c r="A95" s="75" t="s">
        <v>173</v>
      </c>
      <c r="B95" s="643" t="s">
        <v>174</v>
      </c>
      <c r="C95" s="643"/>
      <c r="D95" s="643"/>
      <c r="E95" s="643"/>
      <c r="F95" s="643"/>
      <c r="G95" s="643"/>
      <c r="H95" s="643"/>
      <c r="I95" s="51" t="s">
        <v>152</v>
      </c>
    </row>
    <row r="96" spans="1:9" ht="14.25" customHeight="1">
      <c r="A96" s="58" t="s">
        <v>86</v>
      </c>
      <c r="B96" s="658" t="s">
        <v>175</v>
      </c>
      <c r="C96" s="658"/>
      <c r="D96" s="658"/>
      <c r="E96" s="658"/>
      <c r="F96" s="658"/>
      <c r="G96" s="658"/>
      <c r="H96" s="658"/>
      <c r="I96" s="76">
        <f>IF(ROUND((H99*H97*H98)-(I61*H100),2)&lt;0,0,ROUND((H99*H97*H98)-(I61*H100),2))</f>
        <v>98.3</v>
      </c>
    </row>
    <row r="97" spans="1:9" ht="23.25" customHeight="1">
      <c r="A97" s="58"/>
      <c r="B97" s="664" t="s">
        <v>176</v>
      </c>
      <c r="C97" s="664"/>
      <c r="D97" s="664"/>
      <c r="E97" s="664"/>
      <c r="F97" s="664"/>
      <c r="G97" s="664"/>
      <c r="H97" s="269">
        <f>Preenchimento!B90</f>
        <v>3.85</v>
      </c>
      <c r="I97" s="78" t="s">
        <v>0</v>
      </c>
    </row>
    <row r="98" spans="1:9" ht="14.25" customHeight="1">
      <c r="A98" s="58"/>
      <c r="B98" s="662" t="s">
        <v>177</v>
      </c>
      <c r="C98" s="662"/>
      <c r="D98" s="662"/>
      <c r="E98" s="662"/>
      <c r="F98" s="662"/>
      <c r="G98" s="662"/>
      <c r="H98" s="80">
        <f>Preenchimento!B91</f>
        <v>2</v>
      </c>
      <c r="I98" s="78"/>
    </row>
    <row r="99" spans="1:9" ht="14.25" customHeight="1">
      <c r="A99" s="58"/>
      <c r="B99" s="662" t="s">
        <v>178</v>
      </c>
      <c r="C99" s="662"/>
      <c r="D99" s="662"/>
      <c r="E99" s="662"/>
      <c r="F99" s="662"/>
      <c r="G99" s="662"/>
      <c r="H99" s="270">
        <f>Preenchimento!B92</f>
        <v>22</v>
      </c>
      <c r="I99" s="78"/>
    </row>
    <row r="100" spans="1:9" ht="14.25" customHeight="1">
      <c r="A100" s="58"/>
      <c r="B100" s="663" t="s">
        <v>179</v>
      </c>
      <c r="C100" s="663"/>
      <c r="D100" s="663"/>
      <c r="E100" s="663"/>
      <c r="F100" s="663"/>
      <c r="G100" s="663"/>
      <c r="H100" s="82">
        <v>0.06</v>
      </c>
      <c r="I100" s="79"/>
    </row>
    <row r="101" spans="1:9" ht="14.25" customHeight="1">
      <c r="A101" s="58" t="s">
        <v>88</v>
      </c>
      <c r="B101" s="658" t="s">
        <v>180</v>
      </c>
      <c r="C101" s="658"/>
      <c r="D101" s="658"/>
      <c r="E101" s="658"/>
      <c r="F101" s="658"/>
      <c r="G101" s="658"/>
      <c r="H101" s="658"/>
      <c r="I101" s="76">
        <f>ROUND(H103*H102*(1-H104),2)</f>
        <v>324.32</v>
      </c>
    </row>
    <row r="102" spans="1:9" ht="14.25" customHeight="1">
      <c r="A102" s="58"/>
      <c r="B102" s="664" t="s">
        <v>612</v>
      </c>
      <c r="C102" s="664"/>
      <c r="D102" s="664"/>
      <c r="E102" s="664"/>
      <c r="F102" s="664"/>
      <c r="G102" s="664"/>
      <c r="H102" s="269">
        <f>Preenchimento!B87</f>
        <v>18.2</v>
      </c>
      <c r="I102" s="78" t="s">
        <v>0</v>
      </c>
    </row>
    <row r="103" spans="1:9" ht="14.25" customHeight="1">
      <c r="A103" s="83"/>
      <c r="B103" s="664" t="s">
        <v>181</v>
      </c>
      <c r="C103" s="664"/>
      <c r="D103" s="664"/>
      <c r="E103" s="664"/>
      <c r="F103" s="664"/>
      <c r="G103" s="664"/>
      <c r="H103" s="271">
        <f>Preenchimento!B89</f>
        <v>22</v>
      </c>
      <c r="I103" s="78"/>
    </row>
    <row r="104" spans="1:9" ht="14.25" customHeight="1">
      <c r="A104" s="83"/>
      <c r="B104" s="665" t="s">
        <v>182</v>
      </c>
      <c r="C104" s="665"/>
      <c r="D104" s="665"/>
      <c r="E104" s="665"/>
      <c r="F104" s="665"/>
      <c r="G104" s="665"/>
      <c r="H104" s="85">
        <f>Preenchimento!B88</f>
        <v>0.19</v>
      </c>
      <c r="I104" s="78"/>
    </row>
    <row r="105" spans="1:9" ht="14.25" customHeight="1">
      <c r="A105" s="58" t="s">
        <v>90</v>
      </c>
      <c r="B105" s="658" t="s">
        <v>183</v>
      </c>
      <c r="C105" s="658"/>
      <c r="D105" s="658"/>
      <c r="E105" s="658"/>
      <c r="F105" s="658"/>
      <c r="G105" s="658"/>
      <c r="H105" s="658"/>
      <c r="I105" s="76">
        <v>0</v>
      </c>
    </row>
    <row r="106" spans="1:9" ht="14.25" customHeight="1">
      <c r="A106" s="83" t="s">
        <v>92</v>
      </c>
      <c r="B106" s="659" t="s">
        <v>184</v>
      </c>
      <c r="C106" s="659"/>
      <c r="D106" s="659"/>
      <c r="E106" s="659"/>
      <c r="F106" s="659"/>
      <c r="G106" s="659"/>
      <c r="H106" s="659"/>
      <c r="I106" s="86" t="s">
        <v>185</v>
      </c>
    </row>
    <row r="107" spans="1:9" ht="24.75" customHeight="1">
      <c r="A107" s="58" t="s">
        <v>92</v>
      </c>
      <c r="B107" s="542" t="s">
        <v>607</v>
      </c>
      <c r="C107" s="542"/>
      <c r="D107" s="542"/>
      <c r="E107" s="542"/>
      <c r="F107" s="542"/>
      <c r="G107" s="542"/>
      <c r="H107" s="542"/>
      <c r="I107" s="45">
        <f>Preenchimento!B93</f>
        <v>15.62</v>
      </c>
    </row>
    <row r="108" spans="1:9" ht="14.25" customHeight="1">
      <c r="A108" s="58" t="s">
        <v>144</v>
      </c>
      <c r="B108" s="660" t="s">
        <v>186</v>
      </c>
      <c r="C108" s="660"/>
      <c r="D108" s="660"/>
      <c r="E108" s="660"/>
      <c r="F108" s="660"/>
      <c r="G108" s="660"/>
      <c r="H108" s="660"/>
      <c r="I108" s="87" t="s">
        <v>0</v>
      </c>
    </row>
    <row r="109" spans="1:9" ht="14.25" customHeight="1">
      <c r="A109" s="88"/>
      <c r="B109" s="633" t="s">
        <v>187</v>
      </c>
      <c r="C109" s="633"/>
      <c r="D109" s="633"/>
      <c r="E109" s="633"/>
      <c r="F109" s="633"/>
      <c r="G109" s="633"/>
      <c r="H109" s="633"/>
      <c r="I109" s="70">
        <f>SUM(I96:I107)</f>
        <v>438.24</v>
      </c>
    </row>
    <row r="110" spans="1:9" ht="14.25" customHeight="1">
      <c r="A110" s="661"/>
      <c r="B110" s="661"/>
      <c r="C110" s="661"/>
      <c r="D110" s="661"/>
      <c r="E110" s="661"/>
      <c r="F110" s="661"/>
      <c r="G110" s="661"/>
      <c r="H110" s="661"/>
      <c r="I110" s="661"/>
    </row>
    <row r="111" spans="1:9" ht="33.75" customHeight="1">
      <c r="A111" s="546" t="s">
        <v>188</v>
      </c>
      <c r="B111" s="546"/>
      <c r="C111" s="546"/>
      <c r="D111" s="546"/>
      <c r="E111" s="546"/>
      <c r="F111" s="546"/>
      <c r="G111" s="546"/>
      <c r="H111" s="546"/>
      <c r="I111" s="546"/>
    </row>
    <row r="112" spans="1:9" ht="14.25" customHeight="1">
      <c r="A112" s="580"/>
      <c r="B112" s="580"/>
      <c r="C112" s="580"/>
      <c r="D112" s="580"/>
      <c r="E112" s="580"/>
      <c r="F112" s="580"/>
      <c r="G112" s="580"/>
      <c r="H112" s="580"/>
      <c r="I112" s="580"/>
    </row>
    <row r="113" spans="1:9" ht="16.5" customHeight="1">
      <c r="A113" s="642" t="s">
        <v>189</v>
      </c>
      <c r="B113" s="642"/>
      <c r="C113" s="642"/>
      <c r="D113" s="642"/>
      <c r="E113" s="642"/>
      <c r="F113" s="642"/>
      <c r="G113" s="642"/>
      <c r="H113" s="642"/>
      <c r="I113" s="642"/>
    </row>
    <row r="114" spans="1:9" ht="15.75" customHeight="1">
      <c r="A114" s="51">
        <v>2</v>
      </c>
      <c r="B114" s="643" t="s">
        <v>190</v>
      </c>
      <c r="C114" s="643"/>
      <c r="D114" s="643"/>
      <c r="E114" s="643"/>
      <c r="F114" s="643"/>
      <c r="G114" s="643"/>
      <c r="H114" s="643"/>
      <c r="I114" s="51" t="s">
        <v>152</v>
      </c>
    </row>
    <row r="115" spans="1:9" ht="14.25" customHeight="1">
      <c r="A115" s="89" t="s">
        <v>151</v>
      </c>
      <c r="B115" s="655" t="s">
        <v>191</v>
      </c>
      <c r="C115" s="655"/>
      <c r="D115" s="655"/>
      <c r="E115" s="655"/>
      <c r="F115" s="655"/>
      <c r="G115" s="655"/>
      <c r="H115" s="655"/>
      <c r="I115" s="90">
        <f>I76</f>
        <v>184.32</v>
      </c>
    </row>
    <row r="116" spans="1:9" ht="14.25" customHeight="1">
      <c r="A116" s="89" t="s">
        <v>155</v>
      </c>
      <c r="B116" s="655" t="s">
        <v>156</v>
      </c>
      <c r="C116" s="655"/>
      <c r="D116" s="655"/>
      <c r="E116" s="655"/>
      <c r="F116" s="655"/>
      <c r="G116" s="655"/>
      <c r="H116" s="655"/>
      <c r="I116" s="90">
        <f>I90</f>
        <v>678.31</v>
      </c>
    </row>
    <row r="117" spans="1:9" ht="14.25" customHeight="1">
      <c r="A117" s="89" t="s">
        <v>173</v>
      </c>
      <c r="B117" s="655" t="s">
        <v>174</v>
      </c>
      <c r="C117" s="655"/>
      <c r="D117" s="655"/>
      <c r="E117" s="655"/>
      <c r="F117" s="655"/>
      <c r="G117" s="655"/>
      <c r="H117" s="655"/>
      <c r="I117" s="90">
        <f>I109</f>
        <v>438.24</v>
      </c>
    </row>
    <row r="118" spans="1:9" ht="14.25" customHeight="1">
      <c r="A118" s="656" t="s">
        <v>28</v>
      </c>
      <c r="B118" s="656"/>
      <c r="C118" s="656"/>
      <c r="D118" s="656"/>
      <c r="E118" s="656"/>
      <c r="F118" s="656"/>
      <c r="G118" s="656"/>
      <c r="H118" s="656"/>
      <c r="I118" s="91">
        <f>SUM(I115+I116+I117)</f>
        <v>1300.87</v>
      </c>
    </row>
    <row r="119" spans="1:9" ht="14.25" customHeight="1">
      <c r="A119" s="657"/>
      <c r="B119" s="657"/>
      <c r="C119" s="657"/>
      <c r="D119" s="657"/>
      <c r="E119" s="657"/>
      <c r="F119" s="657"/>
      <c r="G119" s="657"/>
      <c r="H119" s="657"/>
      <c r="I119" s="657"/>
    </row>
    <row r="120" spans="1:9" ht="16.5" customHeight="1">
      <c r="A120" s="636" t="s">
        <v>192</v>
      </c>
      <c r="B120" s="636"/>
      <c r="C120" s="636"/>
      <c r="D120" s="636"/>
      <c r="E120" s="636"/>
      <c r="F120" s="636"/>
      <c r="G120" s="636"/>
      <c r="H120" s="636"/>
      <c r="I120" s="636"/>
    </row>
    <row r="121" spans="1:9" ht="15.75" customHeight="1">
      <c r="A121" s="75">
        <v>3</v>
      </c>
      <c r="B121" s="637" t="s">
        <v>193</v>
      </c>
      <c r="C121" s="637"/>
      <c r="D121" s="637"/>
      <c r="E121" s="637"/>
      <c r="F121" s="637"/>
      <c r="G121" s="637"/>
      <c r="H121" s="637"/>
      <c r="I121" s="75" t="s">
        <v>194</v>
      </c>
    </row>
    <row r="122" spans="1:9" ht="45" customHeight="1">
      <c r="A122" s="58" t="s">
        <v>86</v>
      </c>
      <c r="B122" s="646" t="s">
        <v>195</v>
      </c>
      <c r="C122" s="646"/>
      <c r="D122" s="646"/>
      <c r="E122" s="646"/>
      <c r="F122" s="646"/>
      <c r="G122" s="646"/>
      <c r="H122" s="646"/>
      <c r="I122" s="64">
        <f>ROUND((($I$67/12)+($I$74/12)+($I$67/12/12)+($I$75/12))*(30/30)*0.05,2)</f>
        <v>8.26</v>
      </c>
    </row>
    <row r="123" spans="1:9" ht="14.25" customHeight="1">
      <c r="A123" s="58" t="s">
        <v>88</v>
      </c>
      <c r="B123" s="640" t="s">
        <v>196</v>
      </c>
      <c r="C123" s="640"/>
      <c r="D123" s="640"/>
      <c r="E123" s="640"/>
      <c r="F123" s="640"/>
      <c r="G123" s="640"/>
      <c r="H123" s="640"/>
      <c r="I123" s="64">
        <f>ROUND($I$122*H89,2)</f>
        <v>0.66</v>
      </c>
    </row>
    <row r="124" spans="1:9" ht="24.75" customHeight="1">
      <c r="A124" s="58" t="s">
        <v>90</v>
      </c>
      <c r="B124" s="646" t="s">
        <v>685</v>
      </c>
      <c r="C124" s="646"/>
      <c r="D124" s="646"/>
      <c r="E124" s="646"/>
      <c r="F124" s="646"/>
      <c r="G124" s="646"/>
      <c r="H124" s="646"/>
      <c r="I124" s="64">
        <f>ROUND(0.08*0.4*($I$67+$I$74+($I$67/12)+$I$75)*0.05,2)</f>
        <v>3.17</v>
      </c>
    </row>
    <row r="125" spans="1:9" ht="25.5" customHeight="1">
      <c r="A125" s="58" t="s">
        <v>92</v>
      </c>
      <c r="B125" s="646" t="s">
        <v>698</v>
      </c>
      <c r="C125" s="646"/>
      <c r="D125" s="646"/>
      <c r="E125" s="646"/>
      <c r="F125" s="646"/>
      <c r="G125" s="646"/>
      <c r="H125" s="646"/>
      <c r="I125" s="64">
        <f>ROUND(((($I$67/30)*7)/$H$10)*1,2)</f>
        <v>32.26</v>
      </c>
    </row>
    <row r="126" spans="1:9" ht="14.25" customHeight="1">
      <c r="A126" s="58" t="s">
        <v>144</v>
      </c>
      <c r="B126" s="640" t="s">
        <v>197</v>
      </c>
      <c r="C126" s="640"/>
      <c r="D126" s="640"/>
      <c r="E126" s="640"/>
      <c r="F126" s="640"/>
      <c r="G126" s="640"/>
      <c r="H126" s="640"/>
      <c r="I126" s="64">
        <f>ROUND($H$90*I125,2)</f>
        <v>11.87</v>
      </c>
    </row>
    <row r="127" spans="1:9" ht="24.75" customHeight="1">
      <c r="A127" s="58" t="s">
        <v>146</v>
      </c>
      <c r="B127" s="646" t="s">
        <v>697</v>
      </c>
      <c r="C127" s="646"/>
      <c r="D127" s="646"/>
      <c r="E127" s="646"/>
      <c r="F127" s="646"/>
      <c r="G127" s="646"/>
      <c r="H127" s="646"/>
      <c r="I127" s="64">
        <f>ROUND(0.08*0.4*($I$67+$I$74+($I$67/12)+$I$75)*1,2)</f>
        <v>63.41</v>
      </c>
    </row>
    <row r="128" spans="1:9" ht="14.25" customHeight="1">
      <c r="A128" s="633" t="s">
        <v>28</v>
      </c>
      <c r="B128" s="633"/>
      <c r="C128" s="633"/>
      <c r="D128" s="633"/>
      <c r="E128" s="633"/>
      <c r="F128" s="633"/>
      <c r="G128" s="633"/>
      <c r="H128" s="633"/>
      <c r="I128" s="70">
        <f>SUM(I122:I127)</f>
        <v>119.63</v>
      </c>
    </row>
    <row r="129" spans="1:9" ht="14.25" customHeight="1">
      <c r="A129" s="512"/>
      <c r="B129" s="512"/>
      <c r="C129" s="512"/>
      <c r="D129" s="512"/>
      <c r="E129" s="512"/>
      <c r="F129" s="512"/>
      <c r="G129" s="512"/>
      <c r="H129" s="512"/>
      <c r="I129" s="512"/>
    </row>
    <row r="130" spans="1:9" ht="16.5" customHeight="1">
      <c r="A130" s="642" t="s">
        <v>198</v>
      </c>
      <c r="B130" s="642"/>
      <c r="C130" s="642"/>
      <c r="D130" s="642"/>
      <c r="E130" s="642"/>
      <c r="F130" s="642"/>
      <c r="G130" s="642"/>
      <c r="H130" s="642"/>
      <c r="I130" s="642"/>
    </row>
    <row r="131" spans="1:9" ht="25.5" customHeight="1">
      <c r="A131" s="651" t="s">
        <v>199</v>
      </c>
      <c r="B131" s="651"/>
      <c r="C131" s="651"/>
      <c r="D131" s="651"/>
      <c r="E131" s="651"/>
      <c r="F131" s="651"/>
      <c r="G131" s="651"/>
      <c r="H131" s="651"/>
      <c r="I131" s="651"/>
    </row>
    <row r="132" spans="1:9" ht="41.25" customHeight="1">
      <c r="A132" s="652" t="s">
        <v>200</v>
      </c>
      <c r="B132" s="652"/>
      <c r="C132" s="652"/>
      <c r="D132" s="652"/>
      <c r="E132" s="652"/>
      <c r="F132" s="652"/>
      <c r="G132" s="652"/>
      <c r="H132" s="652"/>
      <c r="I132" s="652"/>
    </row>
    <row r="133" spans="1:9" ht="15.75" customHeight="1">
      <c r="A133" s="653"/>
      <c r="B133" s="653"/>
      <c r="C133" s="653"/>
      <c r="D133" s="653"/>
      <c r="E133" s="653"/>
      <c r="F133" s="653"/>
      <c r="G133" s="653"/>
      <c r="H133" s="653"/>
      <c r="I133" s="653"/>
    </row>
    <row r="134" spans="1:9" ht="40.5">
      <c r="A134" s="92" t="s">
        <v>201</v>
      </c>
      <c r="B134" s="93">
        <f>I67</f>
        <v>1658.9</v>
      </c>
      <c r="C134" s="94"/>
      <c r="D134" s="409" t="s">
        <v>694</v>
      </c>
      <c r="E134" s="93">
        <f>I118-I96-I101</f>
        <v>878.25</v>
      </c>
      <c r="F134" s="95"/>
      <c r="G134" s="92" t="s">
        <v>202</v>
      </c>
      <c r="H134" s="93">
        <f>I128</f>
        <v>119.63</v>
      </c>
      <c r="I134" s="96">
        <f>B134+E134+H134</f>
        <v>2656.78</v>
      </c>
    </row>
    <row r="135" spans="1:9" ht="15.75" customHeight="1">
      <c r="A135" s="654"/>
      <c r="B135" s="654"/>
      <c r="C135" s="654"/>
      <c r="D135" s="654"/>
      <c r="E135" s="654"/>
      <c r="F135" s="654"/>
      <c r="G135" s="654"/>
      <c r="H135" s="654"/>
      <c r="I135" s="654"/>
    </row>
    <row r="136" spans="1:9" ht="27.75" customHeight="1">
      <c r="A136" s="648" t="s">
        <v>203</v>
      </c>
      <c r="B136" s="648"/>
      <c r="C136" s="648"/>
      <c r="D136" s="648"/>
      <c r="E136" s="648"/>
      <c r="F136" s="649" t="s">
        <v>204</v>
      </c>
      <c r="G136" s="649"/>
      <c r="H136" s="97">
        <f>ROUND(I134/30,2)</f>
        <v>88.56</v>
      </c>
      <c r="I136" s="98"/>
    </row>
    <row r="137" spans="1:9" ht="15.75" customHeight="1">
      <c r="A137" s="99" t="s">
        <v>205</v>
      </c>
      <c r="B137" s="650" t="s">
        <v>206</v>
      </c>
      <c r="C137" s="650"/>
      <c r="D137" s="650"/>
      <c r="E137" s="650"/>
      <c r="F137" s="650"/>
      <c r="G137" s="650"/>
      <c r="H137" s="650"/>
      <c r="I137" s="100" t="s">
        <v>152</v>
      </c>
    </row>
    <row r="138" spans="1:9" ht="14.25" customHeight="1">
      <c r="A138" s="58" t="s">
        <v>86</v>
      </c>
      <c r="B138" s="640" t="s">
        <v>207</v>
      </c>
      <c r="C138" s="640"/>
      <c r="D138" s="640"/>
      <c r="E138" s="640"/>
      <c r="F138" s="640"/>
      <c r="G138" s="640"/>
      <c r="H138" s="640"/>
      <c r="I138" s="64">
        <v>0</v>
      </c>
    </row>
    <row r="139" spans="1:9" ht="14.25" customHeight="1">
      <c r="A139" s="58" t="s">
        <v>88</v>
      </c>
      <c r="B139" s="646" t="s">
        <v>209</v>
      </c>
      <c r="C139" s="646"/>
      <c r="D139" s="646"/>
      <c r="E139" s="646"/>
      <c r="F139" s="646"/>
      <c r="G139" s="646"/>
      <c r="H139" s="646"/>
      <c r="I139" s="64">
        <f>ROUND((($I$134/30)*1)/12,2)</f>
        <v>7.38</v>
      </c>
    </row>
    <row r="140" spans="1:9" ht="24.75" customHeight="1">
      <c r="A140" s="58" t="s">
        <v>90</v>
      </c>
      <c r="B140" s="646" t="s">
        <v>210</v>
      </c>
      <c r="C140" s="646"/>
      <c r="D140" s="646"/>
      <c r="E140" s="646"/>
      <c r="F140" s="646"/>
      <c r="G140" s="646"/>
      <c r="H140" s="646"/>
      <c r="I140" s="64">
        <f>ROUND(((($I$134/30)*5)/12)*0.015,2)</f>
        <v>0.55</v>
      </c>
    </row>
    <row r="141" spans="1:9" ht="24.75" customHeight="1">
      <c r="A141" s="58" t="s">
        <v>92</v>
      </c>
      <c r="B141" s="646" t="s">
        <v>211</v>
      </c>
      <c r="C141" s="646"/>
      <c r="D141" s="646"/>
      <c r="E141" s="646"/>
      <c r="F141" s="646"/>
      <c r="G141" s="646"/>
      <c r="H141" s="646"/>
      <c r="I141" s="64">
        <f>ROUND(((($I$134/30)*15)/12)*0.0078,2)</f>
        <v>0.86</v>
      </c>
    </row>
    <row r="142" spans="1:9" ht="22.5" customHeight="1">
      <c r="A142" s="58" t="s">
        <v>144</v>
      </c>
      <c r="B142" s="542" t="s">
        <v>696</v>
      </c>
      <c r="C142" s="542"/>
      <c r="D142" s="542"/>
      <c r="E142" s="542"/>
      <c r="F142" s="542"/>
      <c r="G142" s="542"/>
      <c r="H142" s="542"/>
      <c r="I142" s="101">
        <f>ROUND(((((B134+B134/3)/12)+(I90+I109-I96-I101+I128))*(4/12))*0.02,2)</f>
        <v>6.65</v>
      </c>
    </row>
    <row r="143" spans="1:9" ht="24.75" customHeight="1">
      <c r="A143" s="102" t="s">
        <v>146</v>
      </c>
      <c r="B143" s="646" t="s">
        <v>212</v>
      </c>
      <c r="C143" s="646"/>
      <c r="D143" s="646"/>
      <c r="E143" s="646"/>
      <c r="F143" s="646"/>
      <c r="G143" s="646"/>
      <c r="H143" s="646"/>
      <c r="I143" s="64">
        <f>ROUND(((($I$134/30)*5)/12),2)</f>
        <v>36.9</v>
      </c>
    </row>
    <row r="144" spans="1:9" ht="14.25" customHeight="1">
      <c r="A144" s="633" t="s">
        <v>28</v>
      </c>
      <c r="B144" s="633"/>
      <c r="C144" s="633"/>
      <c r="D144" s="633"/>
      <c r="E144" s="633"/>
      <c r="F144" s="633"/>
      <c r="G144" s="633"/>
      <c r="H144" s="633"/>
      <c r="I144" s="103">
        <f>SUM(I138:I143)</f>
        <v>52.339999999999996</v>
      </c>
    </row>
    <row r="145" spans="1:9" ht="14.25" customHeight="1">
      <c r="A145" s="633"/>
      <c r="B145" s="633"/>
      <c r="C145" s="633"/>
      <c r="D145" s="633"/>
      <c r="E145" s="633"/>
      <c r="F145" s="633"/>
      <c r="G145" s="633"/>
      <c r="H145" s="633"/>
      <c r="I145" s="633"/>
    </row>
    <row r="146" spans="1:9" ht="15.75" customHeight="1">
      <c r="A146" s="647" t="s">
        <v>213</v>
      </c>
      <c r="B146" s="647"/>
      <c r="C146" s="647"/>
      <c r="D146" s="647"/>
      <c r="E146" s="647"/>
      <c r="F146" s="647"/>
      <c r="G146" s="647"/>
      <c r="H146" s="647"/>
      <c r="I146" s="647"/>
    </row>
    <row r="147" spans="1:9" ht="15.75" customHeight="1">
      <c r="A147" s="75" t="s">
        <v>214</v>
      </c>
      <c r="B147" s="637" t="s">
        <v>215</v>
      </c>
      <c r="C147" s="637"/>
      <c r="D147" s="637"/>
      <c r="E147" s="637"/>
      <c r="F147" s="637"/>
      <c r="G147" s="637"/>
      <c r="H147" s="637"/>
      <c r="I147" s="104" t="s">
        <v>152</v>
      </c>
    </row>
    <row r="148" spans="1:9" ht="14.25" customHeight="1">
      <c r="A148" s="58" t="s">
        <v>86</v>
      </c>
      <c r="B148" s="640" t="s">
        <v>216</v>
      </c>
      <c r="C148" s="640"/>
      <c r="D148" s="640"/>
      <c r="E148" s="640"/>
      <c r="F148" s="640"/>
      <c r="G148" s="640"/>
      <c r="H148" s="640"/>
      <c r="I148" s="64">
        <v>0</v>
      </c>
    </row>
    <row r="149" spans="1:9" ht="14.25" customHeight="1">
      <c r="A149" s="644" t="s">
        <v>28</v>
      </c>
      <c r="B149" s="644"/>
      <c r="C149" s="644"/>
      <c r="D149" s="644"/>
      <c r="E149" s="644"/>
      <c r="F149" s="644"/>
      <c r="G149" s="644"/>
      <c r="H149" s="644"/>
      <c r="I149" s="64">
        <v>0</v>
      </c>
    </row>
    <row r="150" spans="1:9" ht="14.25" customHeight="1">
      <c r="A150" s="645"/>
      <c r="B150" s="645"/>
      <c r="C150" s="645"/>
      <c r="D150" s="645"/>
      <c r="E150" s="645"/>
      <c r="F150" s="645"/>
      <c r="G150" s="645"/>
      <c r="H150" s="645"/>
      <c r="I150" s="645"/>
    </row>
    <row r="151" spans="1:9" ht="16.5" customHeight="1">
      <c r="A151" s="642" t="s">
        <v>217</v>
      </c>
      <c r="B151" s="642"/>
      <c r="C151" s="642"/>
      <c r="D151" s="642"/>
      <c r="E151" s="642"/>
      <c r="F151" s="642"/>
      <c r="G151" s="642"/>
      <c r="H151" s="642"/>
      <c r="I151" s="642"/>
    </row>
    <row r="152" spans="1:9" ht="15.75" customHeight="1">
      <c r="A152" s="51">
        <v>4</v>
      </c>
      <c r="B152" s="637" t="s">
        <v>218</v>
      </c>
      <c r="C152" s="637"/>
      <c r="D152" s="637"/>
      <c r="E152" s="637"/>
      <c r="F152" s="637"/>
      <c r="G152" s="637"/>
      <c r="H152" s="637"/>
      <c r="I152" s="104" t="s">
        <v>152</v>
      </c>
    </row>
    <row r="153" spans="1:9" ht="14.25" customHeight="1">
      <c r="A153" s="105" t="s">
        <v>205</v>
      </c>
      <c r="B153" s="640" t="s">
        <v>206</v>
      </c>
      <c r="C153" s="640"/>
      <c r="D153" s="640"/>
      <c r="E153" s="640"/>
      <c r="F153" s="640"/>
      <c r="G153" s="640"/>
      <c r="H153" s="640"/>
      <c r="I153" s="64">
        <f>I144</f>
        <v>52.339999999999996</v>
      </c>
    </row>
    <row r="154" spans="1:9" ht="14.25" customHeight="1">
      <c r="A154" s="105" t="s">
        <v>219</v>
      </c>
      <c r="B154" s="640" t="s">
        <v>215</v>
      </c>
      <c r="C154" s="640"/>
      <c r="D154" s="640"/>
      <c r="E154" s="640"/>
      <c r="F154" s="640"/>
      <c r="G154" s="640"/>
      <c r="H154" s="640"/>
      <c r="I154" s="64">
        <f>I149</f>
        <v>0</v>
      </c>
    </row>
    <row r="155" spans="1:9" ht="14.25" customHeight="1">
      <c r="A155" s="641" t="s">
        <v>28</v>
      </c>
      <c r="B155" s="641"/>
      <c r="C155" s="641"/>
      <c r="D155" s="641"/>
      <c r="E155" s="641"/>
      <c r="F155" s="641"/>
      <c r="G155" s="641"/>
      <c r="H155" s="641"/>
      <c r="I155" s="70">
        <f>SUM(I153+I154)</f>
        <v>52.339999999999996</v>
      </c>
    </row>
    <row r="156" spans="1:9" ht="14.25" customHeight="1">
      <c r="A156" s="623"/>
      <c r="B156" s="623"/>
      <c r="C156" s="623"/>
      <c r="D156" s="623"/>
      <c r="E156" s="623"/>
      <c r="F156" s="623"/>
      <c r="G156" s="623"/>
      <c r="H156" s="623"/>
      <c r="I156" s="623"/>
    </row>
    <row r="157" spans="1:9" ht="16.5" customHeight="1">
      <c r="A157" s="642" t="s">
        <v>220</v>
      </c>
      <c r="B157" s="642"/>
      <c r="C157" s="642"/>
      <c r="D157" s="642"/>
      <c r="E157" s="642"/>
      <c r="F157" s="642"/>
      <c r="G157" s="642"/>
      <c r="H157" s="642"/>
      <c r="I157" s="642"/>
    </row>
    <row r="158" spans="1:9" ht="15.75" customHeight="1">
      <c r="A158" s="75">
        <v>5</v>
      </c>
      <c r="B158" s="643" t="s">
        <v>221</v>
      </c>
      <c r="C158" s="643"/>
      <c r="D158" s="643"/>
      <c r="E158" s="643"/>
      <c r="F158" s="643"/>
      <c r="G158" s="643"/>
      <c r="H158" s="643"/>
      <c r="I158" s="75" t="s">
        <v>152</v>
      </c>
    </row>
    <row r="159" spans="1:9" ht="14.25" customHeight="1">
      <c r="A159" s="58" t="s">
        <v>86</v>
      </c>
      <c r="B159" s="542" t="s">
        <v>222</v>
      </c>
      <c r="C159" s="542"/>
      <c r="D159" s="542"/>
      <c r="E159" s="542"/>
      <c r="F159" s="542"/>
      <c r="G159" s="542"/>
      <c r="H159" s="542"/>
      <c r="I159" s="76">
        <f>Insumos!F95</f>
        <v>49.84833333333333</v>
      </c>
    </row>
    <row r="160" spans="1:9" ht="14.25" customHeight="1">
      <c r="A160" s="58" t="s">
        <v>88</v>
      </c>
      <c r="B160" s="542" t="s">
        <v>223</v>
      </c>
      <c r="C160" s="542"/>
      <c r="D160" s="542"/>
      <c r="E160" s="542"/>
      <c r="F160" s="542"/>
      <c r="G160" s="542"/>
      <c r="H160" s="542"/>
      <c r="I160" s="45">
        <f>Insumos!F91</f>
        <v>1001.3588677616787</v>
      </c>
    </row>
    <row r="161" spans="1:9" ht="14.25" customHeight="1">
      <c r="A161" s="58" t="s">
        <v>90</v>
      </c>
      <c r="B161" s="638" t="s">
        <v>224</v>
      </c>
      <c r="C161" s="638"/>
      <c r="D161" s="638"/>
      <c r="E161" s="638"/>
      <c r="F161" s="638"/>
      <c r="G161" s="638"/>
      <c r="H161" s="638"/>
      <c r="I161" s="45">
        <f>Insumos!F93</f>
        <v>68.26943930151553</v>
      </c>
    </row>
    <row r="162" spans="1:9" ht="14.25" customHeight="1">
      <c r="A162" s="58" t="s">
        <v>92</v>
      </c>
      <c r="B162" s="542" t="s">
        <v>225</v>
      </c>
      <c r="C162" s="542"/>
      <c r="D162" s="542"/>
      <c r="E162" s="542"/>
      <c r="F162" s="542"/>
      <c r="G162" s="542"/>
      <c r="H162" s="542"/>
      <c r="I162" s="45" t="s">
        <v>208</v>
      </c>
    </row>
    <row r="163" spans="1:9" ht="14.25" customHeight="1">
      <c r="A163" s="633" t="s">
        <v>187</v>
      </c>
      <c r="B163" s="633"/>
      <c r="C163" s="633"/>
      <c r="D163" s="633"/>
      <c r="E163" s="633"/>
      <c r="F163" s="633"/>
      <c r="G163" s="633"/>
      <c r="H163" s="633"/>
      <c r="I163" s="106">
        <f>SUM(I159:I162)</f>
        <v>1119.4766403965275</v>
      </c>
    </row>
    <row r="164" spans="1:9" ht="18.75" customHeight="1">
      <c r="A164" s="639"/>
      <c r="B164" s="639"/>
      <c r="C164" s="639"/>
      <c r="D164" s="639"/>
      <c r="E164" s="639"/>
      <c r="F164" s="639"/>
      <c r="G164" s="639"/>
      <c r="H164" s="639"/>
      <c r="I164" s="639"/>
    </row>
    <row r="165" spans="1:9" ht="14.25" customHeight="1">
      <c r="A165" s="635" t="s">
        <v>226</v>
      </c>
      <c r="B165" s="635"/>
      <c r="C165" s="635"/>
      <c r="D165" s="635"/>
      <c r="E165" s="635"/>
      <c r="F165" s="635"/>
      <c r="G165" s="635"/>
      <c r="H165" s="635"/>
      <c r="I165" s="635"/>
    </row>
    <row r="166" spans="1:9" ht="18">
      <c r="A166" s="107"/>
      <c r="B166" s="108"/>
      <c r="C166" s="108"/>
      <c r="D166" s="108"/>
      <c r="E166" s="108"/>
      <c r="F166" s="108"/>
      <c r="G166" s="108"/>
      <c r="H166" s="108"/>
      <c r="I166" s="109"/>
    </row>
    <row r="167" spans="1:9" ht="16.5" customHeight="1">
      <c r="A167" s="636" t="s">
        <v>227</v>
      </c>
      <c r="B167" s="636"/>
      <c r="C167" s="636"/>
      <c r="D167" s="636"/>
      <c r="E167" s="636"/>
      <c r="F167" s="636"/>
      <c r="G167" s="636"/>
      <c r="H167" s="636"/>
      <c r="I167" s="636"/>
    </row>
    <row r="168" spans="1:9" ht="27.75" customHeight="1">
      <c r="A168" s="75">
        <v>6</v>
      </c>
      <c r="B168" s="637" t="s">
        <v>228</v>
      </c>
      <c r="C168" s="637"/>
      <c r="D168" s="637"/>
      <c r="E168" s="637"/>
      <c r="F168" s="637"/>
      <c r="G168" s="637"/>
      <c r="H168" s="51" t="s">
        <v>157</v>
      </c>
      <c r="I168" s="110" t="s">
        <v>229</v>
      </c>
    </row>
    <row r="169" spans="1:9" ht="50.25" customHeight="1">
      <c r="A169" s="634" t="s">
        <v>230</v>
      </c>
      <c r="B169" s="634"/>
      <c r="C169" s="634"/>
      <c r="D169" s="634"/>
      <c r="E169" s="634"/>
      <c r="F169" s="634"/>
      <c r="G169" s="634"/>
      <c r="H169" s="111" t="s">
        <v>0</v>
      </c>
      <c r="I169" s="112">
        <f>SUM(I67+I118+I128+I155+I163)</f>
        <v>4251.2166403965275</v>
      </c>
    </row>
    <row r="170" spans="1:9" ht="16.5" customHeight="1">
      <c r="A170" s="113" t="s">
        <v>86</v>
      </c>
      <c r="B170" s="549" t="s">
        <v>231</v>
      </c>
      <c r="C170" s="549"/>
      <c r="D170" s="549"/>
      <c r="E170" s="549"/>
      <c r="F170" s="549"/>
      <c r="G170" s="549"/>
      <c r="H170" s="65">
        <f>Preenchimento!C99</f>
        <v>0.03</v>
      </c>
      <c r="I170" s="64">
        <f>ROUND(H170*I169,2)</f>
        <v>127.54</v>
      </c>
    </row>
    <row r="171" spans="1:9" ht="50.25" customHeight="1">
      <c r="A171" s="634" t="s">
        <v>232</v>
      </c>
      <c r="B171" s="634"/>
      <c r="C171" s="634"/>
      <c r="D171" s="634"/>
      <c r="E171" s="634"/>
      <c r="F171" s="634"/>
      <c r="G171" s="634"/>
      <c r="H171" s="114" t="s">
        <v>0</v>
      </c>
      <c r="I171" s="112">
        <f>SUM(I67+I118+I128+I155+I163+I170)</f>
        <v>4378.7566403965275</v>
      </c>
    </row>
    <row r="172" spans="1:9" ht="16.5" customHeight="1">
      <c r="A172" s="113" t="s">
        <v>88</v>
      </c>
      <c r="B172" s="549" t="s">
        <v>233</v>
      </c>
      <c r="C172" s="549"/>
      <c r="D172" s="549"/>
      <c r="E172" s="549"/>
      <c r="F172" s="549"/>
      <c r="G172" s="549"/>
      <c r="H172" s="65">
        <f>Preenchimento!C100</f>
        <v>0.0679</v>
      </c>
      <c r="I172" s="64">
        <f>ROUND(H172*I171,2)</f>
        <v>297.32</v>
      </c>
    </row>
    <row r="173" spans="1:9" ht="53.25" customHeight="1">
      <c r="A173" s="634" t="s">
        <v>234</v>
      </c>
      <c r="B173" s="634"/>
      <c r="C173" s="634"/>
      <c r="D173" s="634"/>
      <c r="E173" s="634"/>
      <c r="F173" s="634"/>
      <c r="G173" s="634"/>
      <c r="H173" s="114" t="s">
        <v>0</v>
      </c>
      <c r="I173" s="112">
        <f>SUM(I67+I118+I128+I155+I163+I170+I172)</f>
        <v>4676.076640396527</v>
      </c>
    </row>
    <row r="174" spans="1:9" ht="16.5" customHeight="1">
      <c r="A174" s="113" t="s">
        <v>90</v>
      </c>
      <c r="B174" s="549" t="s">
        <v>235</v>
      </c>
      <c r="C174" s="549"/>
      <c r="D174" s="549"/>
      <c r="E174" s="549"/>
      <c r="F174" s="549"/>
      <c r="G174" s="549"/>
      <c r="H174" s="115" t="s">
        <v>0</v>
      </c>
      <c r="I174" s="116" t="s">
        <v>0</v>
      </c>
    </row>
    <row r="175" spans="1:9" ht="16.5" customHeight="1">
      <c r="A175" s="58"/>
      <c r="B175" s="549" t="s">
        <v>236</v>
      </c>
      <c r="C175" s="549"/>
      <c r="D175" s="549"/>
      <c r="E175" s="549"/>
      <c r="F175" s="549"/>
      <c r="G175" s="549"/>
      <c r="H175" s="115" t="s">
        <v>0</v>
      </c>
      <c r="I175" s="116" t="s">
        <v>0</v>
      </c>
    </row>
    <row r="176" spans="1:9" ht="16.5" customHeight="1">
      <c r="A176" s="58"/>
      <c r="B176" s="486" t="s">
        <v>367</v>
      </c>
      <c r="C176" s="486"/>
      <c r="D176" s="486"/>
      <c r="E176" s="486"/>
      <c r="F176" s="486"/>
      <c r="G176" s="486"/>
      <c r="H176" s="117">
        <f>Preenchimento!B69</f>
        <v>0.076</v>
      </c>
      <c r="I176" s="64">
        <f>ROUND(($I$173/(1-$H$185))*H176,2)</f>
        <v>404.99</v>
      </c>
    </row>
    <row r="177" spans="1:9" ht="25.5" customHeight="1">
      <c r="A177" s="58"/>
      <c r="B177" s="486" t="s">
        <v>368</v>
      </c>
      <c r="C177" s="486"/>
      <c r="D177" s="486"/>
      <c r="E177" s="486"/>
      <c r="F177" s="486"/>
      <c r="G177" s="486"/>
      <c r="H177" s="117">
        <f>Preenchimento!B68</f>
        <v>0.0165</v>
      </c>
      <c r="I177" s="64">
        <f>ROUND(($I$173/(1-$H$185))*H177,2)</f>
        <v>87.93</v>
      </c>
    </row>
    <row r="178" spans="1:9" ht="25.5" customHeight="1">
      <c r="A178" s="58"/>
      <c r="B178" s="630" t="s">
        <v>239</v>
      </c>
      <c r="C178" s="630"/>
      <c r="D178" s="630"/>
      <c r="E178" s="630"/>
      <c r="F178" s="630"/>
      <c r="G178" s="630"/>
      <c r="H178" s="118" t="s">
        <v>0</v>
      </c>
      <c r="I178" s="116" t="s">
        <v>0</v>
      </c>
    </row>
    <row r="179" spans="1:9" ht="25.5" customHeight="1">
      <c r="A179" s="58"/>
      <c r="B179" s="630" t="s">
        <v>240</v>
      </c>
      <c r="C179" s="630"/>
      <c r="D179" s="630"/>
      <c r="E179" s="630"/>
      <c r="F179" s="630"/>
      <c r="G179" s="630"/>
      <c r="H179" s="118" t="s">
        <v>0</v>
      </c>
      <c r="I179" s="116" t="s">
        <v>0</v>
      </c>
    </row>
    <row r="180" spans="1:9" ht="14.25" customHeight="1">
      <c r="A180" s="58"/>
      <c r="B180" s="711" t="s">
        <v>241</v>
      </c>
      <c r="C180" s="711"/>
      <c r="D180" s="711"/>
      <c r="E180" s="711"/>
      <c r="F180" s="711"/>
      <c r="G180" s="711"/>
      <c r="H180" s="118" t="s">
        <v>0</v>
      </c>
      <c r="I180" s="116" t="s">
        <v>0</v>
      </c>
    </row>
    <row r="181" spans="1:9" ht="16.5" customHeight="1">
      <c r="A181" s="58"/>
      <c r="B181" s="632" t="s">
        <v>242</v>
      </c>
      <c r="C181" s="632"/>
      <c r="D181" s="632"/>
      <c r="E181" s="632"/>
      <c r="F181" s="632"/>
      <c r="G181" s="632"/>
      <c r="H181" s="118" t="s">
        <v>0</v>
      </c>
      <c r="I181" s="116" t="s">
        <v>0</v>
      </c>
    </row>
    <row r="182" spans="1:9" ht="16.5" customHeight="1">
      <c r="A182" s="58"/>
      <c r="B182" s="486" t="s">
        <v>614</v>
      </c>
      <c r="C182" s="486"/>
      <c r="D182" s="486"/>
      <c r="E182" s="486"/>
      <c r="F182" s="486"/>
      <c r="G182" s="486"/>
      <c r="H182" s="117">
        <f>Preenchimento!C101</f>
        <v>0.03</v>
      </c>
      <c r="I182" s="64">
        <f>ROUND(($I$173/(1-$H$185))*H182,2)</f>
        <v>159.87</v>
      </c>
    </row>
    <row r="183" spans="1:9" ht="14.25" customHeight="1">
      <c r="A183" s="633" t="s">
        <v>28</v>
      </c>
      <c r="B183" s="633"/>
      <c r="C183" s="633"/>
      <c r="D183" s="633"/>
      <c r="E183" s="633"/>
      <c r="F183" s="633"/>
      <c r="G183" s="633"/>
      <c r="H183" s="633"/>
      <c r="I183" s="70">
        <f>SUM(I170+I172+I176+I177+I182)</f>
        <v>1077.65</v>
      </c>
    </row>
    <row r="184" spans="1:9" ht="14.25" customHeight="1">
      <c r="A184" s="623"/>
      <c r="B184" s="623"/>
      <c r="C184" s="623"/>
      <c r="D184" s="623"/>
      <c r="E184" s="623"/>
      <c r="F184" s="623"/>
      <c r="G184" s="623"/>
      <c r="H184" s="623"/>
      <c r="I184" s="623"/>
    </row>
    <row r="185" spans="1:9" ht="14.25" customHeight="1">
      <c r="A185" s="626" t="s">
        <v>243</v>
      </c>
      <c r="B185" s="626"/>
      <c r="C185" s="626"/>
      <c r="D185" s="626"/>
      <c r="E185" s="626"/>
      <c r="F185" s="626"/>
      <c r="G185" s="626"/>
      <c r="H185" s="119">
        <f>SUM(H176:H182)</f>
        <v>0.1225</v>
      </c>
      <c r="I185" s="120">
        <f>SUM(I176:I182)</f>
        <v>652.79</v>
      </c>
    </row>
    <row r="186" spans="1:9" ht="14.25" customHeight="1">
      <c r="A186" s="627" t="s">
        <v>244</v>
      </c>
      <c r="B186" s="627"/>
      <c r="C186" s="628" t="s">
        <v>245</v>
      </c>
      <c r="D186" s="628"/>
      <c r="E186" s="628"/>
      <c r="F186" s="628"/>
      <c r="G186" s="628"/>
      <c r="H186" s="628"/>
      <c r="I186" s="628"/>
    </row>
    <row r="187" spans="1:9" ht="14.25" customHeight="1">
      <c r="A187" s="627"/>
      <c r="B187" s="627"/>
      <c r="C187" s="628" t="s">
        <v>246</v>
      </c>
      <c r="D187" s="628"/>
      <c r="E187" s="628"/>
      <c r="F187" s="628"/>
      <c r="G187" s="628"/>
      <c r="H187" s="628"/>
      <c r="I187" s="628"/>
    </row>
    <row r="188" spans="1:9" ht="14.25" customHeight="1">
      <c r="A188" s="710"/>
      <c r="B188" s="710"/>
      <c r="C188" s="628" t="s">
        <v>247</v>
      </c>
      <c r="D188" s="628"/>
      <c r="E188" s="628"/>
      <c r="F188" s="628"/>
      <c r="G188" s="628"/>
      <c r="H188" s="628"/>
      <c r="I188" s="628"/>
    </row>
    <row r="189" spans="1:9" ht="14.25" customHeight="1">
      <c r="A189" s="708"/>
      <c r="B189" s="708"/>
      <c r="C189" s="708"/>
      <c r="D189" s="708"/>
      <c r="E189" s="708"/>
      <c r="F189" s="708"/>
      <c r="G189" s="708"/>
      <c r="H189" s="708"/>
      <c r="I189" s="708"/>
    </row>
    <row r="190" spans="1:9" ht="23.25" customHeight="1">
      <c r="A190" s="709" t="s">
        <v>248</v>
      </c>
      <c r="B190" s="709"/>
      <c r="C190" s="709"/>
      <c r="D190" s="709"/>
      <c r="E190" s="709"/>
      <c r="F190" s="709"/>
      <c r="G190" s="709"/>
      <c r="H190" s="709"/>
      <c r="I190" s="709"/>
    </row>
    <row r="191" spans="1:9" ht="14.25" customHeight="1">
      <c r="A191" s="623"/>
      <c r="B191" s="623"/>
      <c r="C191" s="623"/>
      <c r="D191" s="623"/>
      <c r="E191" s="623"/>
      <c r="F191" s="623"/>
      <c r="G191" s="623"/>
      <c r="H191" s="623"/>
      <c r="I191" s="623"/>
    </row>
    <row r="192" spans="1:9" ht="40.5" customHeight="1">
      <c r="A192" s="624" t="s">
        <v>249</v>
      </c>
      <c r="B192" s="624"/>
      <c r="C192" s="624"/>
      <c r="D192" s="624"/>
      <c r="E192" s="624"/>
      <c r="F192" s="624"/>
      <c r="G192" s="624"/>
      <c r="H192" s="624"/>
      <c r="I192" s="624"/>
    </row>
    <row r="193" spans="1:9" ht="15.75" customHeight="1">
      <c r="A193" s="625" t="s">
        <v>250</v>
      </c>
      <c r="B193" s="625"/>
      <c r="C193" s="625"/>
      <c r="D193" s="625"/>
      <c r="E193" s="625"/>
      <c r="F193" s="625"/>
      <c r="G193" s="625"/>
      <c r="H193" s="625"/>
      <c r="I193" s="44" t="s">
        <v>152</v>
      </c>
    </row>
    <row r="194" spans="1:9" ht="14.25" customHeight="1">
      <c r="A194" s="121" t="s">
        <v>86</v>
      </c>
      <c r="B194" s="621" t="s">
        <v>251</v>
      </c>
      <c r="C194" s="621"/>
      <c r="D194" s="621"/>
      <c r="E194" s="621"/>
      <c r="F194" s="621"/>
      <c r="G194" s="621"/>
      <c r="H194" s="621"/>
      <c r="I194" s="45">
        <f>I67</f>
        <v>1658.9</v>
      </c>
    </row>
    <row r="195" spans="1:9" ht="14.25" customHeight="1">
      <c r="A195" s="121" t="s">
        <v>88</v>
      </c>
      <c r="B195" s="621" t="s">
        <v>150</v>
      </c>
      <c r="C195" s="621"/>
      <c r="D195" s="621"/>
      <c r="E195" s="621"/>
      <c r="F195" s="621"/>
      <c r="G195" s="621"/>
      <c r="H195" s="621"/>
      <c r="I195" s="45">
        <f>I118</f>
        <v>1300.87</v>
      </c>
    </row>
    <row r="196" spans="1:9" ht="14.25" customHeight="1">
      <c r="A196" s="121" t="s">
        <v>90</v>
      </c>
      <c r="B196" s="621" t="s">
        <v>252</v>
      </c>
      <c r="C196" s="621"/>
      <c r="D196" s="621"/>
      <c r="E196" s="621"/>
      <c r="F196" s="621"/>
      <c r="G196" s="621"/>
      <c r="H196" s="621"/>
      <c r="I196" s="45">
        <f>I128</f>
        <v>119.63</v>
      </c>
    </row>
    <row r="197" spans="1:9" ht="14.25" customHeight="1">
      <c r="A197" s="121" t="s">
        <v>92</v>
      </c>
      <c r="B197" s="621" t="s">
        <v>253</v>
      </c>
      <c r="C197" s="621"/>
      <c r="D197" s="621"/>
      <c r="E197" s="621"/>
      <c r="F197" s="621"/>
      <c r="G197" s="621"/>
      <c r="H197" s="621"/>
      <c r="I197" s="45">
        <f>I155</f>
        <v>52.339999999999996</v>
      </c>
    </row>
    <row r="198" spans="1:9" ht="14.25" customHeight="1">
      <c r="A198" s="121" t="s">
        <v>144</v>
      </c>
      <c r="B198" s="621" t="s">
        <v>254</v>
      </c>
      <c r="C198" s="621"/>
      <c r="D198" s="621"/>
      <c r="E198" s="621"/>
      <c r="F198" s="621"/>
      <c r="G198" s="621"/>
      <c r="H198" s="621"/>
      <c r="I198" s="45">
        <f>I163</f>
        <v>1119.4766403965275</v>
      </c>
    </row>
    <row r="199" spans="1:9" ht="14.25" customHeight="1">
      <c r="A199" s="616" t="s">
        <v>255</v>
      </c>
      <c r="B199" s="616"/>
      <c r="C199" s="616"/>
      <c r="D199" s="616"/>
      <c r="E199" s="616"/>
      <c r="F199" s="616"/>
      <c r="G199" s="616"/>
      <c r="H199" s="616"/>
      <c r="I199" s="106">
        <f>SUM(I194:I198)</f>
        <v>4251.2166403965275</v>
      </c>
    </row>
    <row r="200" spans="1:9" ht="14.25" customHeight="1">
      <c r="A200" s="122" t="s">
        <v>146</v>
      </c>
      <c r="B200" s="621" t="s">
        <v>256</v>
      </c>
      <c r="C200" s="621"/>
      <c r="D200" s="621"/>
      <c r="E200" s="621"/>
      <c r="F200" s="621"/>
      <c r="G200" s="621"/>
      <c r="H200" s="621"/>
      <c r="I200" s="45">
        <f>I183</f>
        <v>1077.65</v>
      </c>
    </row>
    <row r="201" spans="1:9" ht="14.25" customHeight="1">
      <c r="A201" s="616" t="s">
        <v>257</v>
      </c>
      <c r="B201" s="616"/>
      <c r="C201" s="616"/>
      <c r="D201" s="616"/>
      <c r="E201" s="616"/>
      <c r="F201" s="616"/>
      <c r="G201" s="616"/>
      <c r="H201" s="616"/>
      <c r="I201" s="106">
        <f>SUM(I199:I200)</f>
        <v>5328.866640396527</v>
      </c>
    </row>
    <row r="202" spans="1:9" ht="12.75">
      <c r="A202" s="123"/>
      <c r="B202" s="123"/>
      <c r="C202" s="123"/>
      <c r="D202" s="123"/>
      <c r="E202" s="123"/>
      <c r="F202" s="123"/>
      <c r="G202" s="123"/>
      <c r="H202" s="124"/>
      <c r="I202" s="125"/>
    </row>
    <row r="203" spans="1:9" ht="15.75" customHeight="1">
      <c r="A203" s="617"/>
      <c r="B203" s="617"/>
      <c r="C203" s="617"/>
      <c r="D203" s="617"/>
      <c r="E203" s="617"/>
      <c r="F203" s="617"/>
      <c r="G203" s="617"/>
      <c r="H203" s="617"/>
      <c r="I203" s="617"/>
    </row>
    <row r="204" spans="1:9" ht="16.5" customHeight="1">
      <c r="A204" s="618" t="s">
        <v>258</v>
      </c>
      <c r="B204" s="618"/>
      <c r="C204" s="618"/>
      <c r="D204" s="618"/>
      <c r="E204" s="618"/>
      <c r="F204" s="618"/>
      <c r="G204" s="618"/>
      <c r="H204" s="618"/>
      <c r="I204" s="618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126"/>
    </row>
    <row r="206" spans="1:9" ht="14.25" customHeight="1">
      <c r="A206" s="619" t="s">
        <v>259</v>
      </c>
      <c r="B206" s="619"/>
      <c r="C206" s="619"/>
      <c r="D206" s="619"/>
      <c r="E206" s="619"/>
      <c r="F206" s="619"/>
      <c r="G206" s="619"/>
      <c r="H206" s="619"/>
      <c r="I206" s="619"/>
    </row>
    <row r="207" spans="1:9" ht="26.25" customHeight="1">
      <c r="A207" s="620" t="s">
        <v>570</v>
      </c>
      <c r="B207" s="620"/>
      <c r="C207" s="620"/>
      <c r="D207" s="620"/>
      <c r="E207" s="620"/>
      <c r="F207" s="620"/>
      <c r="G207" s="620"/>
      <c r="H207" s="620"/>
      <c r="I207" s="620"/>
    </row>
    <row r="208" spans="1:9" ht="47.25" customHeight="1">
      <c r="A208" s="592" t="s">
        <v>571</v>
      </c>
      <c r="B208" s="592"/>
      <c r="C208" s="510" t="s">
        <v>572</v>
      </c>
      <c r="D208" s="510"/>
      <c r="E208" s="510" t="s">
        <v>587</v>
      </c>
      <c r="F208" s="510"/>
      <c r="G208" s="510" t="s">
        <v>260</v>
      </c>
      <c r="H208" s="510"/>
      <c r="I208" s="510"/>
    </row>
    <row r="209" spans="1:9" ht="14.25" customHeight="1">
      <c r="A209" s="601" t="s">
        <v>261</v>
      </c>
      <c r="B209" s="601"/>
      <c r="C209" s="615" t="s">
        <v>262</v>
      </c>
      <c r="D209" s="615"/>
      <c r="E209" s="562">
        <v>0</v>
      </c>
      <c r="F209" s="562"/>
      <c r="G209" s="562">
        <v>0</v>
      </c>
      <c r="H209" s="562"/>
      <c r="I209" s="562"/>
    </row>
    <row r="210" spans="1:9" ht="14.25" customHeight="1">
      <c r="A210" s="601" t="s">
        <v>263</v>
      </c>
      <c r="B210" s="601"/>
      <c r="C210" s="602" t="s">
        <v>264</v>
      </c>
      <c r="D210" s="602"/>
      <c r="E210" s="600">
        <f>I201</f>
        <v>5328.866640396527</v>
      </c>
      <c r="F210" s="600"/>
      <c r="G210" s="578">
        <f>ROUND((1/1200)*E210,2)</f>
        <v>4.44</v>
      </c>
      <c r="H210" s="578"/>
      <c r="I210" s="578"/>
    </row>
    <row r="211" spans="1:9" ht="14.25" customHeight="1">
      <c r="A211" s="577" t="s">
        <v>11</v>
      </c>
      <c r="B211" s="577"/>
      <c r="C211" s="577"/>
      <c r="D211" s="577"/>
      <c r="E211" s="577"/>
      <c r="F211" s="577"/>
      <c r="G211" s="578">
        <f>SUM(G209+G210)</f>
        <v>4.44</v>
      </c>
      <c r="H211" s="578"/>
      <c r="I211" s="578"/>
    </row>
    <row r="212" spans="1:9" ht="14.25" customHeight="1">
      <c r="A212" s="613"/>
      <c r="B212" s="613"/>
      <c r="C212" s="613"/>
      <c r="D212" s="613"/>
      <c r="E212" s="613"/>
      <c r="F212" s="613"/>
      <c r="G212" s="613"/>
      <c r="H212" s="613"/>
      <c r="I212" s="613"/>
    </row>
    <row r="213" spans="1:9" ht="14.25" customHeight="1">
      <c r="A213" s="610" t="s">
        <v>265</v>
      </c>
      <c r="B213" s="610"/>
      <c r="C213" s="608" t="s">
        <v>262</v>
      </c>
      <c r="D213" s="608"/>
      <c r="E213" s="583">
        <v>0</v>
      </c>
      <c r="F213" s="583"/>
      <c r="G213" s="603">
        <v>0</v>
      </c>
      <c r="H213" s="603"/>
      <c r="I213" s="603"/>
    </row>
    <row r="214" spans="1:9" ht="14.25" customHeight="1">
      <c r="A214" s="601" t="s">
        <v>266</v>
      </c>
      <c r="B214" s="601"/>
      <c r="C214" s="602" t="s">
        <v>264</v>
      </c>
      <c r="D214" s="602"/>
      <c r="E214" s="562">
        <f>I201</f>
        <v>5328.866640396527</v>
      </c>
      <c r="F214" s="562"/>
      <c r="G214" s="603">
        <f>ROUND((1/1200)*E214,2)</f>
        <v>4.44</v>
      </c>
      <c r="H214" s="603"/>
      <c r="I214" s="603"/>
    </row>
    <row r="215" spans="1:9" ht="14.25" customHeight="1">
      <c r="A215" s="606" t="s">
        <v>11</v>
      </c>
      <c r="B215" s="606"/>
      <c r="C215" s="606"/>
      <c r="D215" s="606"/>
      <c r="E215" s="606"/>
      <c r="F215" s="606"/>
      <c r="G215" s="578">
        <f>SUM(G213+G214)</f>
        <v>4.44</v>
      </c>
      <c r="H215" s="578"/>
      <c r="I215" s="578"/>
    </row>
    <row r="216" spans="1:9" ht="14.25" customHeight="1">
      <c r="A216" s="613"/>
      <c r="B216" s="613"/>
      <c r="C216" s="613"/>
      <c r="D216" s="613"/>
      <c r="E216" s="613"/>
      <c r="F216" s="613"/>
      <c r="G216" s="613"/>
      <c r="H216" s="613"/>
      <c r="I216" s="613"/>
    </row>
    <row r="217" spans="1:9" ht="14.25" customHeight="1">
      <c r="A217" s="610" t="s">
        <v>267</v>
      </c>
      <c r="B217" s="610"/>
      <c r="C217" s="608" t="s">
        <v>268</v>
      </c>
      <c r="D217" s="608"/>
      <c r="E217" s="609">
        <v>0</v>
      </c>
      <c r="F217" s="609"/>
      <c r="G217" s="603">
        <v>0</v>
      </c>
      <c r="H217" s="603"/>
      <c r="I217" s="603"/>
    </row>
    <row r="218" spans="1:9" ht="14.25" customHeight="1">
      <c r="A218" s="601" t="s">
        <v>269</v>
      </c>
      <c r="B218" s="601"/>
      <c r="C218" s="602" t="s">
        <v>270</v>
      </c>
      <c r="D218" s="602"/>
      <c r="E218" s="578">
        <f>I201</f>
        <v>5328.866640396527</v>
      </c>
      <c r="F218" s="578"/>
      <c r="G218" s="603">
        <f>ROUND((1/450)*E218,2)</f>
        <v>11.84</v>
      </c>
      <c r="H218" s="603"/>
      <c r="I218" s="603"/>
    </row>
    <row r="219" spans="1:9" ht="14.25" customHeight="1">
      <c r="A219" s="606" t="s">
        <v>11</v>
      </c>
      <c r="B219" s="606"/>
      <c r="C219" s="606"/>
      <c r="D219" s="606"/>
      <c r="E219" s="606"/>
      <c r="F219" s="606"/>
      <c r="G219" s="578">
        <f>SUM(G217+G218)</f>
        <v>11.84</v>
      </c>
      <c r="H219" s="578"/>
      <c r="I219" s="578"/>
    </row>
    <row r="220" spans="1:9" ht="14.25" customHeight="1">
      <c r="A220" s="613"/>
      <c r="B220" s="613"/>
      <c r="C220" s="613"/>
      <c r="D220" s="613"/>
      <c r="E220" s="613"/>
      <c r="F220" s="613"/>
      <c r="G220" s="613"/>
      <c r="H220" s="613"/>
      <c r="I220" s="613"/>
    </row>
    <row r="221" spans="1:9" ht="14.25" customHeight="1">
      <c r="A221" s="707" t="s">
        <v>271</v>
      </c>
      <c r="B221" s="707"/>
      <c r="C221" s="608" t="s">
        <v>272</v>
      </c>
      <c r="D221" s="608"/>
      <c r="E221" s="583">
        <v>0</v>
      </c>
      <c r="F221" s="583"/>
      <c r="G221" s="603">
        <v>0</v>
      </c>
      <c r="H221" s="603"/>
      <c r="I221" s="603"/>
    </row>
    <row r="222" spans="1:9" ht="14.25" customHeight="1">
      <c r="A222" s="706" t="s">
        <v>273</v>
      </c>
      <c r="B222" s="706"/>
      <c r="C222" s="602" t="s">
        <v>274</v>
      </c>
      <c r="D222" s="602"/>
      <c r="E222" s="600">
        <f>I201</f>
        <v>5328.866640396527</v>
      </c>
      <c r="F222" s="600"/>
      <c r="G222" s="603">
        <f>ROUND((1/2500)*E222,2)</f>
        <v>2.13</v>
      </c>
      <c r="H222" s="603"/>
      <c r="I222" s="603"/>
    </row>
    <row r="223" spans="1:9" ht="14.25" customHeight="1">
      <c r="A223" s="606" t="s">
        <v>11</v>
      </c>
      <c r="B223" s="606"/>
      <c r="C223" s="606"/>
      <c r="D223" s="606"/>
      <c r="E223" s="606"/>
      <c r="F223" s="606"/>
      <c r="G223" s="612">
        <f>SUM(G221+G222)</f>
        <v>2.13</v>
      </c>
      <c r="H223" s="612"/>
      <c r="I223" s="612"/>
    </row>
    <row r="224" spans="1:9" ht="14.25" customHeight="1">
      <c r="A224" s="607"/>
      <c r="B224" s="607"/>
      <c r="C224" s="607"/>
      <c r="D224" s="607"/>
      <c r="E224" s="607"/>
      <c r="F224" s="607"/>
      <c r="G224" s="607"/>
      <c r="H224" s="607"/>
      <c r="I224" s="607"/>
    </row>
    <row r="225" spans="1:9" ht="14.25" customHeight="1">
      <c r="A225" s="610" t="s">
        <v>275</v>
      </c>
      <c r="B225" s="610"/>
      <c r="C225" s="608" t="s">
        <v>276</v>
      </c>
      <c r="D225" s="608"/>
      <c r="E225" s="609">
        <v>0</v>
      </c>
      <c r="F225" s="609"/>
      <c r="G225" s="603">
        <v>0</v>
      </c>
      <c r="H225" s="603"/>
      <c r="I225" s="603"/>
    </row>
    <row r="226" spans="1:9" ht="14.25" customHeight="1">
      <c r="A226" s="601" t="s">
        <v>277</v>
      </c>
      <c r="B226" s="601"/>
      <c r="C226" s="602" t="s">
        <v>278</v>
      </c>
      <c r="D226" s="602"/>
      <c r="E226" s="578">
        <v>0</v>
      </c>
      <c r="F226" s="578"/>
      <c r="G226" s="603">
        <v>0</v>
      </c>
      <c r="H226" s="603"/>
      <c r="I226" s="603"/>
    </row>
    <row r="227" spans="1:9" ht="14.25" customHeight="1">
      <c r="A227" s="606" t="s">
        <v>11</v>
      </c>
      <c r="B227" s="606"/>
      <c r="C227" s="606"/>
      <c r="D227" s="606"/>
      <c r="E227" s="606"/>
      <c r="F227" s="606"/>
      <c r="G227" s="578">
        <f>SUM(G225+G226)</f>
        <v>0</v>
      </c>
      <c r="H227" s="578"/>
      <c r="I227" s="578"/>
    </row>
    <row r="228" spans="1:9" ht="14.25" customHeight="1">
      <c r="A228" s="607"/>
      <c r="B228" s="607"/>
      <c r="C228" s="607"/>
      <c r="D228" s="607"/>
      <c r="E228" s="607"/>
      <c r="F228" s="607"/>
      <c r="G228" s="607"/>
      <c r="H228" s="607"/>
      <c r="I228" s="607"/>
    </row>
    <row r="229" spans="1:9" ht="24.75" customHeight="1">
      <c r="A229" s="601" t="s">
        <v>279</v>
      </c>
      <c r="B229" s="601"/>
      <c r="C229" s="608" t="s">
        <v>280</v>
      </c>
      <c r="D229" s="608"/>
      <c r="E229" s="609">
        <v>0</v>
      </c>
      <c r="F229" s="609"/>
      <c r="G229" s="603">
        <v>0</v>
      </c>
      <c r="H229" s="603"/>
      <c r="I229" s="603"/>
    </row>
    <row r="230" spans="1:9" ht="24.75" customHeight="1">
      <c r="A230" s="601" t="s">
        <v>281</v>
      </c>
      <c r="B230" s="601"/>
      <c r="C230" s="602" t="s">
        <v>282</v>
      </c>
      <c r="D230" s="602"/>
      <c r="E230" s="600">
        <f>I201</f>
        <v>5328.866640396527</v>
      </c>
      <c r="F230" s="600"/>
      <c r="G230" s="603">
        <f>ROUND((1/1500)*E230,2)</f>
        <v>3.55</v>
      </c>
      <c r="H230" s="603"/>
      <c r="I230" s="603"/>
    </row>
    <row r="231" spans="1:9" ht="14.25" customHeight="1">
      <c r="A231" s="604" t="s">
        <v>11</v>
      </c>
      <c r="B231" s="604"/>
      <c r="C231" s="604"/>
      <c r="D231" s="604"/>
      <c r="E231" s="604"/>
      <c r="F231" s="604"/>
      <c r="G231" s="605">
        <f>SUM(G229+G230)</f>
        <v>3.55</v>
      </c>
      <c r="H231" s="605"/>
      <c r="I231" s="605"/>
    </row>
    <row r="232" spans="1:9" ht="14.25" customHeight="1">
      <c r="A232" s="594"/>
      <c r="B232" s="594"/>
      <c r="C232" s="594"/>
      <c r="D232" s="594"/>
      <c r="E232" s="594"/>
      <c r="F232" s="594"/>
      <c r="G232" s="594"/>
      <c r="H232" s="594"/>
      <c r="I232" s="594"/>
    </row>
    <row r="233" spans="1:9" ht="14.25" customHeight="1">
      <c r="A233" s="597" t="s">
        <v>283</v>
      </c>
      <c r="B233" s="597"/>
      <c r="C233" s="598" t="s">
        <v>284</v>
      </c>
      <c r="D233" s="598"/>
      <c r="E233" s="599">
        <v>0</v>
      </c>
      <c r="F233" s="599"/>
      <c r="G233" s="589">
        <v>0</v>
      </c>
      <c r="H233" s="589"/>
      <c r="I233" s="589"/>
    </row>
    <row r="234" spans="1:9" ht="14.25" customHeight="1">
      <c r="A234" s="597" t="s">
        <v>285</v>
      </c>
      <c r="B234" s="597"/>
      <c r="C234" s="598" t="s">
        <v>286</v>
      </c>
      <c r="D234" s="598"/>
      <c r="E234" s="600">
        <f>I201</f>
        <v>5328.866640396527</v>
      </c>
      <c r="F234" s="600"/>
      <c r="G234" s="589">
        <f>ROUND((1/300)*E234,2)</f>
        <v>17.76</v>
      </c>
      <c r="H234" s="589"/>
      <c r="I234" s="589"/>
    </row>
    <row r="235" spans="1:9" ht="14.25" customHeight="1">
      <c r="A235" s="593" t="s">
        <v>11</v>
      </c>
      <c r="B235" s="593"/>
      <c r="C235" s="593"/>
      <c r="D235" s="593"/>
      <c r="E235" s="593"/>
      <c r="F235" s="593"/>
      <c r="G235" s="589">
        <f>SUM(G233+G234)</f>
        <v>17.76</v>
      </c>
      <c r="H235" s="589"/>
      <c r="I235" s="589"/>
    </row>
    <row r="236" spans="1:9" ht="14.25" customHeight="1">
      <c r="A236" s="594"/>
      <c r="B236" s="594"/>
      <c r="C236" s="594"/>
      <c r="D236" s="594"/>
      <c r="E236" s="594"/>
      <c r="F236" s="594"/>
      <c r="G236" s="594"/>
      <c r="H236" s="594"/>
      <c r="I236" s="594"/>
    </row>
    <row r="237" spans="1:9" ht="14.25" customHeight="1">
      <c r="A237" s="595" t="s">
        <v>287</v>
      </c>
      <c r="B237" s="595"/>
      <c r="C237" s="595"/>
      <c r="D237" s="595"/>
      <c r="E237" s="595"/>
      <c r="F237" s="595"/>
      <c r="G237" s="595"/>
      <c r="H237" s="595"/>
      <c r="I237" s="595"/>
    </row>
    <row r="238" spans="1:9" ht="14.25" customHeight="1">
      <c r="A238" s="508"/>
      <c r="B238" s="508"/>
      <c r="C238" s="508"/>
      <c r="D238" s="508"/>
      <c r="E238" s="508"/>
      <c r="F238" s="508"/>
      <c r="G238" s="508"/>
      <c r="H238" s="508"/>
      <c r="I238" s="508"/>
    </row>
    <row r="239" spans="1:9" ht="27.75" customHeight="1">
      <c r="A239" s="596" t="s">
        <v>575</v>
      </c>
      <c r="B239" s="596"/>
      <c r="C239" s="596"/>
      <c r="D239" s="596"/>
      <c r="E239" s="596"/>
      <c r="F239" s="596"/>
      <c r="G239" s="596"/>
      <c r="H239" s="596"/>
      <c r="I239" s="596"/>
    </row>
    <row r="240" spans="1:9" ht="47.25" customHeight="1">
      <c r="A240" s="592" t="s">
        <v>578</v>
      </c>
      <c r="B240" s="592"/>
      <c r="C240" s="510" t="s">
        <v>572</v>
      </c>
      <c r="D240" s="510"/>
      <c r="E240" s="510" t="s">
        <v>588</v>
      </c>
      <c r="F240" s="510"/>
      <c r="G240" s="510" t="s">
        <v>260</v>
      </c>
      <c r="H240" s="510"/>
      <c r="I240" s="510"/>
    </row>
    <row r="241" spans="1:9" ht="36.75" customHeight="1">
      <c r="A241" s="584" t="s">
        <v>288</v>
      </c>
      <c r="B241" s="584"/>
      <c r="C241" s="585" t="s">
        <v>289</v>
      </c>
      <c r="D241" s="585"/>
      <c r="E241" s="562">
        <v>0</v>
      </c>
      <c r="F241" s="562"/>
      <c r="G241" s="562">
        <f>ROUND(1/(30*2250)*E241,2)</f>
        <v>0</v>
      </c>
      <c r="H241" s="562"/>
      <c r="I241" s="562"/>
    </row>
    <row r="242" spans="1:9" ht="48.75" customHeight="1">
      <c r="A242" s="584" t="s">
        <v>290</v>
      </c>
      <c r="B242" s="584"/>
      <c r="C242" s="585" t="s">
        <v>291</v>
      </c>
      <c r="D242" s="585"/>
      <c r="E242" s="562">
        <f>I201</f>
        <v>5328.866640396527</v>
      </c>
      <c r="F242" s="562"/>
      <c r="G242" s="562">
        <f>ROUND((1/2700)*E242,2)</f>
        <v>1.97</v>
      </c>
      <c r="H242" s="562"/>
      <c r="I242" s="562"/>
    </row>
    <row r="243" spans="1:9" ht="14.25" customHeight="1">
      <c r="A243" s="577" t="s">
        <v>11</v>
      </c>
      <c r="B243" s="577"/>
      <c r="C243" s="577"/>
      <c r="D243" s="577"/>
      <c r="E243" s="577"/>
      <c r="F243" s="577"/>
      <c r="G243" s="578">
        <f>SUM(G241+G242)</f>
        <v>1.97</v>
      </c>
      <c r="H243" s="578"/>
      <c r="I243" s="578"/>
    </row>
    <row r="244" spans="1:9" ht="14.25" customHeight="1">
      <c r="A244" s="591"/>
      <c r="B244" s="591"/>
      <c r="C244" s="591"/>
      <c r="D244" s="591"/>
      <c r="E244" s="591"/>
      <c r="F244" s="591"/>
      <c r="G244" s="591"/>
      <c r="H244" s="591"/>
      <c r="I244" s="591"/>
    </row>
    <row r="245" spans="1:9" ht="24.75" customHeight="1">
      <c r="A245" s="581" t="s">
        <v>292</v>
      </c>
      <c r="B245" s="581"/>
      <c r="C245" s="582" t="s">
        <v>293</v>
      </c>
      <c r="D245" s="582"/>
      <c r="E245" s="583">
        <v>0</v>
      </c>
      <c r="F245" s="583"/>
      <c r="G245" s="562">
        <f>ROUND(1/(30*7500)*E245,2)</f>
        <v>0</v>
      </c>
      <c r="H245" s="562"/>
      <c r="I245" s="562"/>
    </row>
    <row r="246" spans="1:9" ht="24.75" customHeight="1">
      <c r="A246" s="584" t="s">
        <v>294</v>
      </c>
      <c r="B246" s="584"/>
      <c r="C246" s="585" t="s">
        <v>295</v>
      </c>
      <c r="D246" s="585"/>
      <c r="E246" s="562">
        <f>I201</f>
        <v>5328.866640396527</v>
      </c>
      <c r="F246" s="562"/>
      <c r="G246" s="562">
        <f>ROUND((1/9000)*E246,2)</f>
        <v>0.59</v>
      </c>
      <c r="H246" s="562"/>
      <c r="I246" s="562"/>
    </row>
    <row r="247" spans="1:9" ht="14.25" customHeight="1">
      <c r="A247" s="577" t="s">
        <v>11</v>
      </c>
      <c r="B247" s="577"/>
      <c r="C247" s="577"/>
      <c r="D247" s="577"/>
      <c r="E247" s="577"/>
      <c r="F247" s="577"/>
      <c r="G247" s="578">
        <f>SUM(G245+G246)</f>
        <v>0.59</v>
      </c>
      <c r="H247" s="578"/>
      <c r="I247" s="578"/>
    </row>
    <row r="248" spans="1:9" ht="14.25" customHeight="1">
      <c r="A248" s="580"/>
      <c r="B248" s="580"/>
      <c r="C248" s="580"/>
      <c r="D248" s="580"/>
      <c r="E248" s="580"/>
      <c r="F248" s="580"/>
      <c r="G248" s="580"/>
      <c r="H248" s="580"/>
      <c r="I248" s="580"/>
    </row>
    <row r="249" spans="1:9" ht="24.75" customHeight="1">
      <c r="A249" s="581" t="s">
        <v>296</v>
      </c>
      <c r="B249" s="581"/>
      <c r="C249" s="582" t="s">
        <v>289</v>
      </c>
      <c r="D249" s="582"/>
      <c r="E249" s="583">
        <v>0</v>
      </c>
      <c r="F249" s="583"/>
      <c r="G249" s="562">
        <f>ROUND(1/(30*2250)*E249,2)</f>
        <v>0</v>
      </c>
      <c r="H249" s="562"/>
      <c r="I249" s="562"/>
    </row>
    <row r="250" spans="1:9" ht="24.75" customHeight="1">
      <c r="A250" s="584" t="s">
        <v>297</v>
      </c>
      <c r="B250" s="584"/>
      <c r="C250" s="585" t="s">
        <v>291</v>
      </c>
      <c r="D250" s="585"/>
      <c r="E250" s="562">
        <f>I201</f>
        <v>5328.866640396527</v>
      </c>
      <c r="F250" s="562"/>
      <c r="G250" s="562">
        <f>ROUND((1/2700)*E250,2)</f>
        <v>1.97</v>
      </c>
      <c r="H250" s="562"/>
      <c r="I250" s="562"/>
    </row>
    <row r="251" spans="1:9" ht="14.25" customHeight="1">
      <c r="A251" s="577" t="s">
        <v>11</v>
      </c>
      <c r="B251" s="577"/>
      <c r="C251" s="577"/>
      <c r="D251" s="577"/>
      <c r="E251" s="577"/>
      <c r="F251" s="577"/>
      <c r="G251" s="578">
        <f>SUM(G249+G250)</f>
        <v>1.97</v>
      </c>
      <c r="H251" s="578"/>
      <c r="I251" s="578"/>
    </row>
    <row r="252" spans="1:9" ht="14.25" customHeight="1">
      <c r="A252" s="580"/>
      <c r="B252" s="580"/>
      <c r="C252" s="580"/>
      <c r="D252" s="580"/>
      <c r="E252" s="580"/>
      <c r="F252" s="580"/>
      <c r="G252" s="580"/>
      <c r="H252" s="580"/>
      <c r="I252" s="580"/>
    </row>
    <row r="253" spans="1:9" ht="24.75" customHeight="1">
      <c r="A253" s="581" t="s">
        <v>298</v>
      </c>
      <c r="B253" s="581"/>
      <c r="C253" s="582" t="s">
        <v>289</v>
      </c>
      <c r="D253" s="582"/>
      <c r="E253" s="583">
        <v>0</v>
      </c>
      <c r="F253" s="583"/>
      <c r="G253" s="562">
        <f>ROUND(1/(30*2250)*E253,2)</f>
        <v>0</v>
      </c>
      <c r="H253" s="562"/>
      <c r="I253" s="562"/>
    </row>
    <row r="254" spans="1:9" ht="36" customHeight="1">
      <c r="A254" s="584" t="s">
        <v>299</v>
      </c>
      <c r="B254" s="584"/>
      <c r="C254" s="585" t="s">
        <v>291</v>
      </c>
      <c r="D254" s="585"/>
      <c r="E254" s="562">
        <f>I201</f>
        <v>5328.866640396527</v>
      </c>
      <c r="F254" s="562"/>
      <c r="G254" s="562">
        <f>ROUND((1/2700)*E254,2)</f>
        <v>1.97</v>
      </c>
      <c r="H254" s="562"/>
      <c r="I254" s="562"/>
    </row>
    <row r="255" spans="1:9" ht="14.25" customHeight="1">
      <c r="A255" s="577" t="s">
        <v>11</v>
      </c>
      <c r="B255" s="577"/>
      <c r="C255" s="577"/>
      <c r="D255" s="577"/>
      <c r="E255" s="577"/>
      <c r="F255" s="577"/>
      <c r="G255" s="578">
        <f>SUM(G253+G254)</f>
        <v>1.97</v>
      </c>
      <c r="H255" s="578"/>
      <c r="I255" s="578"/>
    </row>
    <row r="256" spans="1:9" ht="14.25" customHeight="1">
      <c r="A256" s="590"/>
      <c r="B256" s="590"/>
      <c r="C256" s="590"/>
      <c r="D256" s="590"/>
      <c r="E256" s="590"/>
      <c r="F256" s="590"/>
      <c r="G256" s="590"/>
      <c r="H256" s="590"/>
      <c r="I256" s="590"/>
    </row>
    <row r="257" spans="1:9" ht="24.75" customHeight="1">
      <c r="A257" s="581" t="s">
        <v>300</v>
      </c>
      <c r="B257" s="581"/>
      <c r="C257" s="582" t="s">
        <v>289</v>
      </c>
      <c r="D257" s="582"/>
      <c r="E257" s="583"/>
      <c r="F257" s="583"/>
      <c r="G257" s="562">
        <f>ROUND(1/(30*2250)*E257,2)</f>
        <v>0</v>
      </c>
      <c r="H257" s="562"/>
      <c r="I257" s="562"/>
    </row>
    <row r="258" spans="1:9" ht="24.75" customHeight="1">
      <c r="A258" s="586" t="s">
        <v>301</v>
      </c>
      <c r="B258" s="586"/>
      <c r="C258" s="585" t="s">
        <v>291</v>
      </c>
      <c r="D258" s="585"/>
      <c r="E258" s="587">
        <f>I201</f>
        <v>5328.866640396527</v>
      </c>
      <c r="F258" s="587"/>
      <c r="G258" s="562">
        <f>ROUND((1/2700)*E258,2)</f>
        <v>1.97</v>
      </c>
      <c r="H258" s="562"/>
      <c r="I258" s="562"/>
    </row>
    <row r="259" spans="1:9" ht="14.25" customHeight="1">
      <c r="A259" s="577" t="s">
        <v>11</v>
      </c>
      <c r="B259" s="577"/>
      <c r="C259" s="577"/>
      <c r="D259" s="577"/>
      <c r="E259" s="577"/>
      <c r="F259" s="577"/>
      <c r="G259" s="578">
        <f>SUM(G257+G258)</f>
        <v>1.97</v>
      </c>
      <c r="H259" s="578"/>
      <c r="I259" s="578"/>
    </row>
    <row r="260" spans="1:9" ht="14.25" customHeight="1">
      <c r="A260" s="580"/>
      <c r="B260" s="580"/>
      <c r="C260" s="580"/>
      <c r="D260" s="580"/>
      <c r="E260" s="580"/>
      <c r="F260" s="580"/>
      <c r="G260" s="580"/>
      <c r="H260" s="580"/>
      <c r="I260" s="580"/>
    </row>
    <row r="261" spans="1:9" ht="36" customHeight="1">
      <c r="A261" s="581" t="s">
        <v>302</v>
      </c>
      <c r="B261" s="581"/>
      <c r="C261" s="582" t="s">
        <v>303</v>
      </c>
      <c r="D261" s="582"/>
      <c r="E261" s="583"/>
      <c r="F261" s="583"/>
      <c r="G261" s="562">
        <f>ROUND(1/(30*100000)*E261,2)</f>
        <v>0</v>
      </c>
      <c r="H261" s="562"/>
      <c r="I261" s="562"/>
    </row>
    <row r="262" spans="1:9" ht="36" customHeight="1">
      <c r="A262" s="584" t="s">
        <v>304</v>
      </c>
      <c r="B262" s="584"/>
      <c r="C262" s="585" t="s">
        <v>305</v>
      </c>
      <c r="D262" s="585"/>
      <c r="E262" s="562">
        <f>I201</f>
        <v>5328.866640396527</v>
      </c>
      <c r="F262" s="562"/>
      <c r="G262" s="562">
        <f>ROUND((1/100000)*E262,2)</f>
        <v>0.05</v>
      </c>
      <c r="H262" s="562"/>
      <c r="I262" s="562"/>
    </row>
    <row r="263" spans="1:9" ht="14.25" customHeight="1">
      <c r="A263" s="577" t="s">
        <v>11</v>
      </c>
      <c r="B263" s="577"/>
      <c r="C263" s="577"/>
      <c r="D263" s="577"/>
      <c r="E263" s="577"/>
      <c r="F263" s="577"/>
      <c r="G263" s="578">
        <f>SUM(G261+G262)</f>
        <v>0.05</v>
      </c>
      <c r="H263" s="578"/>
      <c r="I263" s="578"/>
    </row>
    <row r="264" spans="1:9" ht="14.25" customHeight="1">
      <c r="A264" s="545"/>
      <c r="B264" s="545"/>
      <c r="C264" s="545"/>
      <c r="D264" s="545"/>
      <c r="E264" s="545"/>
      <c r="F264" s="545"/>
      <c r="G264" s="545"/>
      <c r="H264" s="545"/>
      <c r="I264" s="545"/>
    </row>
    <row r="265" spans="1:9" ht="14.25" customHeight="1">
      <c r="A265" s="579" t="s">
        <v>306</v>
      </c>
      <c r="B265" s="579"/>
      <c r="C265" s="579"/>
      <c r="D265" s="579"/>
      <c r="E265" s="579"/>
      <c r="F265" s="579"/>
      <c r="G265" s="579"/>
      <c r="H265" s="579"/>
      <c r="I265" s="579"/>
    </row>
    <row r="266" spans="1:9" ht="14.25" customHeight="1">
      <c r="A266" s="580"/>
      <c r="B266" s="580"/>
      <c r="C266" s="580"/>
      <c r="D266" s="580"/>
      <c r="E266" s="580"/>
      <c r="F266" s="580"/>
      <c r="G266" s="580"/>
      <c r="H266" s="580"/>
      <c r="I266" s="580"/>
    </row>
    <row r="267" spans="1:9" ht="14.25" customHeight="1">
      <c r="A267" s="542" t="s">
        <v>579</v>
      </c>
      <c r="B267" s="542"/>
      <c r="C267" s="542"/>
      <c r="D267" s="542"/>
      <c r="E267" s="542"/>
      <c r="F267" s="542"/>
      <c r="G267" s="542"/>
      <c r="H267" s="542"/>
      <c r="I267" s="542"/>
    </row>
    <row r="268" spans="1:9" ht="21.75" customHeight="1">
      <c r="A268" s="542"/>
      <c r="B268" s="542"/>
      <c r="C268" s="542"/>
      <c r="D268" s="542"/>
      <c r="E268" s="542"/>
      <c r="F268" s="542"/>
      <c r="G268" s="542"/>
      <c r="H268" s="542"/>
      <c r="I268" s="542"/>
    </row>
    <row r="269" spans="1:9" ht="66.75" customHeight="1">
      <c r="A269" s="127" t="s">
        <v>577</v>
      </c>
      <c r="B269" s="130" t="s">
        <v>589</v>
      </c>
      <c r="C269" s="130" t="s">
        <v>590</v>
      </c>
      <c r="D269" s="576" t="s">
        <v>591</v>
      </c>
      <c r="E269" s="576"/>
      <c r="F269" s="130" t="s">
        <v>311</v>
      </c>
      <c r="G269" s="130" t="s">
        <v>592</v>
      </c>
      <c r="H269" s="576" t="s">
        <v>313</v>
      </c>
      <c r="I269" s="576"/>
    </row>
    <row r="270" spans="1:9" ht="66.75" customHeight="1">
      <c r="A270" s="131" t="s">
        <v>314</v>
      </c>
      <c r="B270" s="132" t="s">
        <v>315</v>
      </c>
      <c r="C270" s="133">
        <v>16</v>
      </c>
      <c r="D270" s="574" t="s">
        <v>316</v>
      </c>
      <c r="E270" s="574"/>
      <c r="F270" s="134">
        <f>ROUND((1/(30*160))*16*(1/188.76),7)</f>
        <v>1.77E-05</v>
      </c>
      <c r="G270" s="120">
        <v>0</v>
      </c>
      <c r="H270" s="562">
        <v>0</v>
      </c>
      <c r="I270" s="562"/>
    </row>
    <row r="271" spans="1:9" ht="66" customHeight="1">
      <c r="A271" s="131" t="s">
        <v>317</v>
      </c>
      <c r="B271" s="129" t="s">
        <v>318</v>
      </c>
      <c r="C271" s="133">
        <v>16</v>
      </c>
      <c r="D271" s="574" t="s">
        <v>316</v>
      </c>
      <c r="E271" s="574"/>
      <c r="F271" s="134">
        <f>ROUND((1/160)*16*(1/188.76),7)</f>
        <v>0.0005298</v>
      </c>
      <c r="G271" s="120">
        <f>I201</f>
        <v>5328.866640396527</v>
      </c>
      <c r="H271" s="562">
        <f>ROUND(F271*G271,2)</f>
        <v>2.82</v>
      </c>
      <c r="I271" s="562"/>
    </row>
    <row r="272" spans="1:9" ht="14.25" customHeight="1">
      <c r="A272" s="577" t="s">
        <v>11</v>
      </c>
      <c r="B272" s="577"/>
      <c r="C272" s="577"/>
      <c r="D272" s="577"/>
      <c r="E272" s="577"/>
      <c r="F272" s="577"/>
      <c r="G272" s="577"/>
      <c r="H272" s="562">
        <f>SUM(H270+H271)</f>
        <v>2.82</v>
      </c>
      <c r="I272" s="562"/>
    </row>
    <row r="273" spans="1:9" ht="14.25" customHeight="1">
      <c r="A273" s="575"/>
      <c r="B273" s="575"/>
      <c r="C273" s="575"/>
      <c r="D273" s="575"/>
      <c r="E273" s="575"/>
      <c r="F273" s="575"/>
      <c r="G273" s="575"/>
      <c r="H273" s="575"/>
      <c r="I273" s="575"/>
    </row>
    <row r="274" spans="1:9" ht="58.5" customHeight="1">
      <c r="A274" s="131" t="s">
        <v>319</v>
      </c>
      <c r="B274" s="132" t="s">
        <v>320</v>
      </c>
      <c r="C274" s="133">
        <v>16</v>
      </c>
      <c r="D274" s="574" t="s">
        <v>316</v>
      </c>
      <c r="E274" s="574"/>
      <c r="F274" s="134">
        <f>ROUND((1/(30*380))*16*(1/188.76),7)</f>
        <v>7.4E-06</v>
      </c>
      <c r="G274" s="120">
        <v>0</v>
      </c>
      <c r="H274" s="562">
        <v>0</v>
      </c>
      <c r="I274" s="562"/>
    </row>
    <row r="275" spans="1:9" ht="58.5" customHeight="1">
      <c r="A275" s="131" t="s">
        <v>321</v>
      </c>
      <c r="B275" s="129" t="s">
        <v>322</v>
      </c>
      <c r="C275" s="133">
        <v>16</v>
      </c>
      <c r="D275" s="574" t="s">
        <v>316</v>
      </c>
      <c r="E275" s="574"/>
      <c r="F275" s="134">
        <f>ROUND((1/380)*16*(1/188.76),7)</f>
        <v>0.0002231</v>
      </c>
      <c r="G275" s="120">
        <f>I201</f>
        <v>5328.866640396527</v>
      </c>
      <c r="H275" s="562">
        <f>ROUND(F275*G275,2)</f>
        <v>1.19</v>
      </c>
      <c r="I275" s="562"/>
    </row>
    <row r="276" spans="1:9" ht="14.25" customHeight="1">
      <c r="A276" s="577" t="s">
        <v>11</v>
      </c>
      <c r="B276" s="577"/>
      <c r="C276" s="577"/>
      <c r="D276" s="577"/>
      <c r="E276" s="577"/>
      <c r="F276" s="577"/>
      <c r="G276" s="577"/>
      <c r="H276" s="562">
        <f>SUM(H274+H275)</f>
        <v>1.19</v>
      </c>
      <c r="I276" s="562"/>
    </row>
    <row r="277" spans="1:9" ht="14.25" customHeight="1">
      <c r="A277" s="567"/>
      <c r="B277" s="567"/>
      <c r="C277" s="567"/>
      <c r="D277" s="567"/>
      <c r="E277" s="567"/>
      <c r="F277" s="567"/>
      <c r="G277" s="567"/>
      <c r="H277" s="567"/>
      <c r="I277" s="567"/>
    </row>
    <row r="278" spans="1:9" ht="24.75" customHeight="1">
      <c r="A278" s="128" t="s">
        <v>323</v>
      </c>
      <c r="B278" s="132" t="s">
        <v>320</v>
      </c>
      <c r="C278" s="133">
        <v>16</v>
      </c>
      <c r="D278" s="574" t="s">
        <v>316</v>
      </c>
      <c r="E278" s="574"/>
      <c r="F278" s="134">
        <f>ROUND((1/(30*380))*16*(1/188.76),7)</f>
        <v>7.4E-06</v>
      </c>
      <c r="G278" s="120">
        <v>0</v>
      </c>
      <c r="H278" s="562">
        <v>0</v>
      </c>
      <c r="I278" s="562"/>
    </row>
    <row r="279" spans="1:9" ht="24.75" customHeight="1">
      <c r="A279" s="128" t="s">
        <v>324</v>
      </c>
      <c r="B279" s="135" t="s">
        <v>322</v>
      </c>
      <c r="C279" s="136">
        <v>16</v>
      </c>
      <c r="D279" s="574" t="s">
        <v>316</v>
      </c>
      <c r="E279" s="574"/>
      <c r="F279" s="134">
        <f>ROUND((1/380)*16*(1/188.76),7)</f>
        <v>0.0002231</v>
      </c>
      <c r="G279" s="120">
        <f>I201</f>
        <v>5328.866640396527</v>
      </c>
      <c r="H279" s="562">
        <f>ROUND(F279*G279,2)</f>
        <v>1.19</v>
      </c>
      <c r="I279" s="562"/>
    </row>
    <row r="280" spans="1:9" ht="14.25" customHeight="1">
      <c r="A280" s="577" t="s">
        <v>11</v>
      </c>
      <c r="B280" s="577"/>
      <c r="C280" s="577"/>
      <c r="D280" s="577"/>
      <c r="E280" s="577"/>
      <c r="F280" s="577"/>
      <c r="G280" s="577"/>
      <c r="H280" s="562">
        <f>SUM(H278+H279)</f>
        <v>1.19</v>
      </c>
      <c r="I280" s="562"/>
    </row>
    <row r="281" spans="1:9" ht="14.25" customHeight="1">
      <c r="A281" s="545"/>
      <c r="B281" s="545"/>
      <c r="C281" s="545"/>
      <c r="D281" s="545"/>
      <c r="E281" s="545"/>
      <c r="F281" s="545"/>
      <c r="G281" s="545"/>
      <c r="H281" s="545"/>
      <c r="I281" s="545"/>
    </row>
    <row r="282" spans="1:9" ht="14.25" customHeight="1">
      <c r="A282" s="546" t="s">
        <v>325</v>
      </c>
      <c r="B282" s="546"/>
      <c r="C282" s="546"/>
      <c r="D282" s="546"/>
      <c r="E282" s="546"/>
      <c r="F282" s="546"/>
      <c r="G282" s="546"/>
      <c r="H282" s="546"/>
      <c r="I282" s="546"/>
    </row>
    <row r="283" spans="1:9" ht="14.25" customHeight="1">
      <c r="A283" s="573"/>
      <c r="B283" s="573"/>
      <c r="C283" s="573"/>
      <c r="D283" s="573"/>
      <c r="E283" s="573"/>
      <c r="F283" s="573"/>
      <c r="G283" s="573"/>
      <c r="H283" s="573"/>
      <c r="I283" s="573"/>
    </row>
    <row r="284" spans="1:9" ht="14.25" customHeight="1">
      <c r="A284" s="542" t="s">
        <v>326</v>
      </c>
      <c r="B284" s="542"/>
      <c r="C284" s="542"/>
      <c r="D284" s="542"/>
      <c r="E284" s="542"/>
      <c r="F284" s="542"/>
      <c r="G284" s="542"/>
      <c r="H284" s="542"/>
      <c r="I284" s="542"/>
    </row>
    <row r="285" spans="1:9" ht="58.5" customHeight="1">
      <c r="A285" s="127" t="s">
        <v>577</v>
      </c>
      <c r="B285" s="137" t="s">
        <v>593</v>
      </c>
      <c r="C285" s="137" t="s">
        <v>328</v>
      </c>
      <c r="D285" s="569" t="s">
        <v>594</v>
      </c>
      <c r="E285" s="569"/>
      <c r="F285" s="137" t="s">
        <v>330</v>
      </c>
      <c r="G285" s="137" t="s">
        <v>331</v>
      </c>
      <c r="H285" s="569" t="s">
        <v>595</v>
      </c>
      <c r="I285" s="569"/>
    </row>
    <row r="286" spans="1:9" ht="12.75">
      <c r="A286" s="138" t="s">
        <v>333</v>
      </c>
      <c r="B286" s="135" t="s">
        <v>334</v>
      </c>
      <c r="C286" s="136">
        <v>8</v>
      </c>
      <c r="D286" s="570" t="s">
        <v>335</v>
      </c>
      <c r="E286" s="570"/>
      <c r="F286" s="139">
        <f>ROUND((1/(4*160))*8*(1/1132.6),7)</f>
        <v>1.1E-05</v>
      </c>
      <c r="G286" s="140">
        <v>0</v>
      </c>
      <c r="H286" s="571">
        <f>ROUND(F286*G286,2)</f>
        <v>0</v>
      </c>
      <c r="I286" s="571"/>
    </row>
    <row r="287" spans="1:9" ht="12.75">
      <c r="A287" s="138" t="s">
        <v>336</v>
      </c>
      <c r="B287" s="135" t="s">
        <v>318</v>
      </c>
      <c r="C287" s="136">
        <v>8</v>
      </c>
      <c r="D287" s="572" t="s">
        <v>335</v>
      </c>
      <c r="E287" s="572"/>
      <c r="F287" s="139">
        <f>ROUND((1/160)*8*(1/1132.6),7)</f>
        <v>4.41E-05</v>
      </c>
      <c r="G287" s="140">
        <f>I201</f>
        <v>5328.866640396527</v>
      </c>
      <c r="H287" s="571">
        <f>ROUND(F287*G287,2)</f>
        <v>0.24</v>
      </c>
      <c r="I287" s="571"/>
    </row>
    <row r="288" spans="1:9" ht="14.25" customHeight="1">
      <c r="A288" s="577" t="s">
        <v>11</v>
      </c>
      <c r="B288" s="577"/>
      <c r="C288" s="577"/>
      <c r="D288" s="577"/>
      <c r="E288" s="577"/>
      <c r="F288" s="577"/>
      <c r="G288" s="577"/>
      <c r="H288" s="562">
        <f>SUM(H286+H287)</f>
        <v>0.24</v>
      </c>
      <c r="I288" s="562"/>
    </row>
    <row r="289" spans="1:9" ht="14.25" customHeight="1">
      <c r="A289" s="545"/>
      <c r="B289" s="545"/>
      <c r="C289" s="545"/>
      <c r="D289" s="545"/>
      <c r="E289" s="545"/>
      <c r="F289" s="545"/>
      <c r="G289" s="545"/>
      <c r="H289" s="545"/>
      <c r="I289" s="545"/>
    </row>
    <row r="290" spans="1:9" ht="14.25" customHeight="1">
      <c r="A290" s="546" t="s">
        <v>337</v>
      </c>
      <c r="B290" s="546"/>
      <c r="C290" s="546"/>
      <c r="D290" s="546"/>
      <c r="E290" s="546"/>
      <c r="F290" s="546"/>
      <c r="G290" s="546"/>
      <c r="H290" s="546"/>
      <c r="I290" s="546"/>
    </row>
    <row r="291" spans="1:9" ht="14.25" customHeight="1">
      <c r="A291" s="567"/>
      <c r="B291" s="567"/>
      <c r="C291" s="567"/>
      <c r="D291" s="567"/>
      <c r="E291" s="567"/>
      <c r="F291" s="567"/>
      <c r="G291" s="567"/>
      <c r="H291" s="567"/>
      <c r="I291" s="567"/>
    </row>
    <row r="292" spans="1:9" ht="12.75">
      <c r="A292" s="568" t="s">
        <v>596</v>
      </c>
      <c r="B292" s="568"/>
      <c r="C292" s="568"/>
      <c r="D292" s="568"/>
      <c r="E292" s="568"/>
      <c r="F292" s="568"/>
      <c r="G292" s="568"/>
      <c r="H292" s="568"/>
      <c r="I292" s="141"/>
    </row>
    <row r="293" spans="1:9" ht="12.75">
      <c r="A293" s="568"/>
      <c r="B293" s="568"/>
      <c r="C293" s="568"/>
      <c r="D293" s="568"/>
      <c r="E293" s="568"/>
      <c r="F293" s="568"/>
      <c r="G293" s="568"/>
      <c r="H293" s="568"/>
      <c r="I293" s="142"/>
    </row>
    <row r="294" spans="1:9" ht="36" customHeight="1">
      <c r="A294" s="510" t="s">
        <v>577</v>
      </c>
      <c r="B294" s="510"/>
      <c r="C294" s="563" t="s">
        <v>581</v>
      </c>
      <c r="D294" s="563"/>
      <c r="E294" s="510" t="s">
        <v>582</v>
      </c>
      <c r="F294" s="510"/>
      <c r="G294" s="510" t="s">
        <v>597</v>
      </c>
      <c r="H294" s="510"/>
      <c r="I294" s="510"/>
    </row>
    <row r="295" spans="1:9" ht="14.25" customHeight="1">
      <c r="A295" s="564" t="s">
        <v>333</v>
      </c>
      <c r="B295" s="564"/>
      <c r="C295" s="565" t="s">
        <v>339</v>
      </c>
      <c r="D295" s="565"/>
      <c r="E295" s="566">
        <v>0</v>
      </c>
      <c r="F295" s="566"/>
      <c r="G295" s="562">
        <v>0</v>
      </c>
      <c r="H295" s="562"/>
      <c r="I295" s="562"/>
    </row>
    <row r="296" spans="1:9" ht="14.25" customHeight="1">
      <c r="A296" s="564" t="s">
        <v>336</v>
      </c>
      <c r="B296" s="564"/>
      <c r="C296" s="554" t="s">
        <v>270</v>
      </c>
      <c r="D296" s="554"/>
      <c r="E296" s="566">
        <v>0</v>
      </c>
      <c r="F296" s="566"/>
      <c r="G296" s="705">
        <v>0</v>
      </c>
      <c r="H296" s="705"/>
      <c r="I296" s="705"/>
    </row>
    <row r="297" spans="1:9" ht="14.25" customHeight="1">
      <c r="A297" s="577" t="s">
        <v>11</v>
      </c>
      <c r="B297" s="577"/>
      <c r="C297" s="577"/>
      <c r="D297" s="577"/>
      <c r="E297" s="577"/>
      <c r="F297" s="577"/>
      <c r="G297" s="577">
        <f>SUM(G295+G296)</f>
        <v>0</v>
      </c>
      <c r="H297" s="562">
        <f>SUM(G295:I296)</f>
        <v>0</v>
      </c>
      <c r="I297" s="562"/>
    </row>
    <row r="298" spans="1:9" ht="14.25" customHeight="1">
      <c r="A298" s="545"/>
      <c r="B298" s="545"/>
      <c r="C298" s="545"/>
      <c r="D298" s="545"/>
      <c r="E298" s="545"/>
      <c r="F298" s="545"/>
      <c r="G298" s="545"/>
      <c r="H298" s="545"/>
      <c r="I298" s="545"/>
    </row>
    <row r="299" spans="1:9" ht="14.25" customHeight="1">
      <c r="A299" s="546" t="s">
        <v>340</v>
      </c>
      <c r="B299" s="546"/>
      <c r="C299" s="546"/>
      <c r="D299" s="546"/>
      <c r="E299" s="546"/>
      <c r="F299" s="546"/>
      <c r="G299" s="546"/>
      <c r="H299" s="546"/>
      <c r="I299" s="546"/>
    </row>
    <row r="300" spans="1:9" ht="14.25" customHeight="1">
      <c r="A300" s="547"/>
      <c r="B300" s="547"/>
      <c r="C300" s="547"/>
      <c r="D300" s="547"/>
      <c r="E300" s="547"/>
      <c r="F300" s="547"/>
      <c r="G300" s="547"/>
      <c r="H300" s="547"/>
      <c r="I300" s="547"/>
    </row>
    <row r="301" spans="1:9" ht="90.75" customHeight="1">
      <c r="A301" s="548" t="s">
        <v>598</v>
      </c>
      <c r="B301" s="548"/>
      <c r="C301" s="548"/>
      <c r="D301" s="548"/>
      <c r="E301" s="548"/>
      <c r="F301" s="548"/>
      <c r="G301" s="548"/>
      <c r="H301" s="548"/>
      <c r="I301" s="548"/>
    </row>
    <row r="302" spans="1:9" ht="12.75">
      <c r="A302" s="549" t="s">
        <v>341</v>
      </c>
      <c r="B302" s="549"/>
      <c r="C302" s="549"/>
      <c r="D302" s="549"/>
      <c r="E302" s="549"/>
      <c r="F302" s="549"/>
      <c r="G302" s="549"/>
      <c r="H302" s="549"/>
      <c r="I302" s="549"/>
    </row>
    <row r="303" spans="1:9" ht="12.75">
      <c r="A303" s="549"/>
      <c r="B303" s="549"/>
      <c r="C303" s="549"/>
      <c r="D303" s="549"/>
      <c r="E303" s="549"/>
      <c r="F303" s="549"/>
      <c r="G303" s="549"/>
      <c r="H303" s="549"/>
      <c r="I303" s="549"/>
    </row>
    <row r="304" spans="1:9" ht="24.75" customHeight="1">
      <c r="A304" s="550" t="s">
        <v>29</v>
      </c>
      <c r="B304" s="550"/>
      <c r="C304" s="550"/>
      <c r="D304" s="551" t="s">
        <v>342</v>
      </c>
      <c r="E304" s="551"/>
      <c r="F304" s="143" t="s">
        <v>343</v>
      </c>
      <c r="G304" s="551" t="s">
        <v>344</v>
      </c>
      <c r="H304" s="551"/>
      <c r="I304" s="551"/>
    </row>
    <row r="305" spans="1:9" ht="14.25" customHeight="1">
      <c r="A305" s="504" t="s">
        <v>97</v>
      </c>
      <c r="B305" s="504"/>
      <c r="C305" s="504"/>
      <c r="D305" s="538">
        <f>G211</f>
        <v>4.44</v>
      </c>
      <c r="E305" s="538"/>
      <c r="F305" s="144">
        <f aca="true" t="shared" si="1" ref="F305:F312">H13</f>
        <v>0</v>
      </c>
      <c r="G305" s="529">
        <f aca="true" t="shared" si="2" ref="G305:G311">ROUND(D305*F305,2)</f>
        <v>0</v>
      </c>
      <c r="H305" s="529"/>
      <c r="I305" s="529"/>
    </row>
    <row r="306" spans="1:9" ht="14.25" customHeight="1">
      <c r="A306" s="504" t="s">
        <v>98</v>
      </c>
      <c r="B306" s="504"/>
      <c r="C306" s="504"/>
      <c r="D306" s="538">
        <f>G215</f>
        <v>4.44</v>
      </c>
      <c r="E306" s="538"/>
      <c r="F306" s="144">
        <f t="shared" si="1"/>
        <v>234.711</v>
      </c>
      <c r="G306" s="529">
        <f t="shared" si="2"/>
        <v>1042.12</v>
      </c>
      <c r="H306" s="529"/>
      <c r="I306" s="529"/>
    </row>
    <row r="307" spans="1:9" ht="14.25" customHeight="1">
      <c r="A307" s="504" t="s">
        <v>99</v>
      </c>
      <c r="B307" s="504"/>
      <c r="C307" s="504"/>
      <c r="D307" s="538">
        <f>G219</f>
        <v>11.84</v>
      </c>
      <c r="E307" s="538"/>
      <c r="F307" s="144">
        <f t="shared" si="1"/>
        <v>72.53099999999999</v>
      </c>
      <c r="G307" s="529">
        <f t="shared" si="2"/>
        <v>858.77</v>
      </c>
      <c r="H307" s="529"/>
      <c r="I307" s="529"/>
    </row>
    <row r="308" spans="1:9" ht="14.25" customHeight="1">
      <c r="A308" s="504" t="s">
        <v>100</v>
      </c>
      <c r="B308" s="504"/>
      <c r="C308" s="504"/>
      <c r="D308" s="538">
        <f>G223</f>
        <v>2.13</v>
      </c>
      <c r="E308" s="538"/>
      <c r="F308" s="144">
        <f t="shared" si="1"/>
        <v>2.36628</v>
      </c>
      <c r="G308" s="529">
        <f t="shared" si="2"/>
        <v>5.04</v>
      </c>
      <c r="H308" s="529"/>
      <c r="I308" s="529"/>
    </row>
    <row r="309" spans="1:9" ht="14.25" customHeight="1">
      <c r="A309" s="504" t="s">
        <v>101</v>
      </c>
      <c r="B309" s="504"/>
      <c r="C309" s="504"/>
      <c r="D309" s="538">
        <v>0</v>
      </c>
      <c r="E309" s="538"/>
      <c r="F309" s="144">
        <f t="shared" si="1"/>
        <v>0</v>
      </c>
      <c r="G309" s="529">
        <f t="shared" si="2"/>
        <v>0</v>
      </c>
      <c r="H309" s="529"/>
      <c r="I309" s="529"/>
    </row>
    <row r="310" spans="1:9" ht="24.75" customHeight="1">
      <c r="A310" s="528" t="s">
        <v>102</v>
      </c>
      <c r="B310" s="528"/>
      <c r="C310" s="528"/>
      <c r="D310" s="538">
        <f>G231</f>
        <v>3.55</v>
      </c>
      <c r="E310" s="538"/>
      <c r="F310" s="144">
        <f t="shared" si="1"/>
        <v>125.40419999999996</v>
      </c>
      <c r="G310" s="529">
        <f t="shared" si="2"/>
        <v>445.18</v>
      </c>
      <c r="H310" s="529"/>
      <c r="I310" s="529"/>
    </row>
    <row r="311" spans="1:9" ht="14.25" customHeight="1">
      <c r="A311" s="542" t="s">
        <v>345</v>
      </c>
      <c r="B311" s="542"/>
      <c r="C311" s="542"/>
      <c r="D311" s="543">
        <f>G235</f>
        <v>17.76</v>
      </c>
      <c r="E311" s="543"/>
      <c r="F311" s="145">
        <f t="shared" si="1"/>
        <v>186.2</v>
      </c>
      <c r="G311" s="529">
        <f t="shared" si="2"/>
        <v>3306.91</v>
      </c>
      <c r="H311" s="529"/>
      <c r="I311" s="529"/>
    </row>
    <row r="312" spans="1:9" ht="14.25" customHeight="1">
      <c r="A312" s="531" t="s">
        <v>108</v>
      </c>
      <c r="B312" s="531"/>
      <c r="C312" s="531"/>
      <c r="D312" s="531"/>
      <c r="E312" s="531"/>
      <c r="F312" s="146">
        <f t="shared" si="1"/>
        <v>621.21</v>
      </c>
      <c r="G312" s="532">
        <f>SUM(G305:G311)</f>
        <v>5658.0199999999995</v>
      </c>
      <c r="H312" s="532"/>
      <c r="I312" s="532"/>
    </row>
    <row r="313" spans="1:9" ht="14.25" customHeight="1">
      <c r="A313" s="544"/>
      <c r="B313" s="544"/>
      <c r="C313" s="544"/>
      <c r="D313" s="544"/>
      <c r="E313" s="544"/>
      <c r="F313" s="544"/>
      <c r="G313" s="544"/>
      <c r="H313" s="544"/>
      <c r="I313" s="544"/>
    </row>
    <row r="314" spans="1:9" ht="24.75" customHeight="1">
      <c r="A314" s="541" t="s">
        <v>109</v>
      </c>
      <c r="B314" s="541"/>
      <c r="C314" s="541"/>
      <c r="D314" s="537">
        <f>G243</f>
        <v>1.97</v>
      </c>
      <c r="E314" s="537"/>
      <c r="F314" s="147">
        <f aca="true" t="shared" si="3" ref="F314:F320">H22</f>
        <v>33.858</v>
      </c>
      <c r="G314" s="529">
        <f aca="true" t="shared" si="4" ref="G314:G319">ROUND(D314*F314,2)</f>
        <v>66.7</v>
      </c>
      <c r="H314" s="529"/>
      <c r="I314" s="529"/>
    </row>
    <row r="315" spans="1:9" ht="24.75" customHeight="1">
      <c r="A315" s="528" t="s">
        <v>346</v>
      </c>
      <c r="B315" s="528"/>
      <c r="C315" s="528"/>
      <c r="D315" s="538">
        <f>G246</f>
        <v>0.59</v>
      </c>
      <c r="E315" s="538"/>
      <c r="F315" s="148">
        <f t="shared" si="3"/>
        <v>0</v>
      </c>
      <c r="G315" s="529">
        <f t="shared" si="4"/>
        <v>0</v>
      </c>
      <c r="H315" s="529"/>
      <c r="I315" s="529"/>
    </row>
    <row r="316" spans="1:9" ht="24.75" customHeight="1">
      <c r="A316" s="528" t="s">
        <v>347</v>
      </c>
      <c r="B316" s="528"/>
      <c r="C316" s="528"/>
      <c r="D316" s="538">
        <f>G250</f>
        <v>1.97</v>
      </c>
      <c r="E316" s="538"/>
      <c r="F316" s="148">
        <f t="shared" si="3"/>
        <v>0</v>
      </c>
      <c r="G316" s="529">
        <f t="shared" si="4"/>
        <v>0</v>
      </c>
      <c r="H316" s="529"/>
      <c r="I316" s="529"/>
    </row>
    <row r="317" spans="1:9" ht="24.75" customHeight="1">
      <c r="A317" s="528" t="s">
        <v>348</v>
      </c>
      <c r="B317" s="528"/>
      <c r="C317" s="528"/>
      <c r="D317" s="538">
        <f>G255</f>
        <v>1.97</v>
      </c>
      <c r="E317" s="538"/>
      <c r="F317" s="148">
        <f t="shared" si="3"/>
        <v>0</v>
      </c>
      <c r="G317" s="529">
        <f t="shared" si="4"/>
        <v>0</v>
      </c>
      <c r="H317" s="529"/>
      <c r="I317" s="529"/>
    </row>
    <row r="318" spans="1:9" ht="24.75" customHeight="1">
      <c r="A318" s="528" t="s">
        <v>349</v>
      </c>
      <c r="B318" s="528"/>
      <c r="C318" s="528"/>
      <c r="D318" s="538">
        <f>G258</f>
        <v>1.97</v>
      </c>
      <c r="E318" s="538"/>
      <c r="F318" s="148">
        <f t="shared" si="3"/>
        <v>0</v>
      </c>
      <c r="G318" s="529">
        <f t="shared" si="4"/>
        <v>0</v>
      </c>
      <c r="H318" s="529"/>
      <c r="I318" s="529"/>
    </row>
    <row r="319" spans="1:9" ht="23.25" customHeight="1">
      <c r="A319" s="540" t="s">
        <v>350</v>
      </c>
      <c r="B319" s="540"/>
      <c r="C319" s="540"/>
      <c r="D319" s="538">
        <f>G262</f>
        <v>0.05</v>
      </c>
      <c r="E319" s="538"/>
      <c r="F319" s="148">
        <f t="shared" si="3"/>
        <v>6.77628</v>
      </c>
      <c r="G319" s="529">
        <f t="shared" si="4"/>
        <v>0.34</v>
      </c>
      <c r="H319" s="529"/>
      <c r="I319" s="529"/>
    </row>
    <row r="320" spans="1:9" ht="14.25" customHeight="1">
      <c r="A320" s="531" t="s">
        <v>115</v>
      </c>
      <c r="B320" s="531"/>
      <c r="C320" s="531"/>
      <c r="D320" s="531"/>
      <c r="E320" s="531"/>
      <c r="F320" s="149">
        <f t="shared" si="3"/>
        <v>40.63</v>
      </c>
      <c r="G320" s="532">
        <f>SUM(G314:G319)</f>
        <v>67.04</v>
      </c>
      <c r="H320" s="532"/>
      <c r="I320" s="532"/>
    </row>
    <row r="321" spans="1:9" ht="14.25" customHeight="1">
      <c r="A321" s="533"/>
      <c r="B321" s="533"/>
      <c r="C321" s="533"/>
      <c r="D321" s="533"/>
      <c r="E321" s="533"/>
      <c r="F321" s="533"/>
      <c r="G321" s="533"/>
      <c r="H321" s="533"/>
      <c r="I321" s="533"/>
    </row>
    <row r="322" spans="1:9" ht="24.75" customHeight="1">
      <c r="A322" s="539" t="s">
        <v>116</v>
      </c>
      <c r="B322" s="539"/>
      <c r="C322" s="539"/>
      <c r="D322" s="537">
        <f>H271</f>
        <v>2.82</v>
      </c>
      <c r="E322" s="537"/>
      <c r="F322" s="150">
        <f>H30</f>
        <v>0</v>
      </c>
      <c r="G322" s="529">
        <f>ROUND(D322*F322,2)</f>
        <v>0</v>
      </c>
      <c r="H322" s="529"/>
      <c r="I322" s="529"/>
    </row>
    <row r="323" spans="1:9" ht="24.75" customHeight="1">
      <c r="A323" s="505" t="s">
        <v>351</v>
      </c>
      <c r="B323" s="505"/>
      <c r="C323" s="505"/>
      <c r="D323" s="538">
        <f>H275</f>
        <v>1.19</v>
      </c>
      <c r="E323" s="538"/>
      <c r="F323" s="144">
        <f>H31</f>
        <v>70.77329999999999</v>
      </c>
      <c r="G323" s="529">
        <f>ROUND((D323*F323),2)</f>
        <v>84.22</v>
      </c>
      <c r="H323" s="529"/>
      <c r="I323" s="529"/>
    </row>
    <row r="324" spans="1:9" ht="14.25" customHeight="1">
      <c r="A324" s="505" t="s">
        <v>352</v>
      </c>
      <c r="B324" s="505"/>
      <c r="C324" s="505"/>
      <c r="D324" s="538">
        <f>H279</f>
        <v>1.19</v>
      </c>
      <c r="E324" s="538"/>
      <c r="F324" s="144">
        <f>H32</f>
        <v>70.77329999999999</v>
      </c>
      <c r="G324" s="529">
        <f>ROUND((D324*F324),2)</f>
        <v>84.22</v>
      </c>
      <c r="H324" s="529"/>
      <c r="I324" s="529"/>
    </row>
    <row r="325" spans="1:9" ht="14.25" customHeight="1">
      <c r="A325" s="531" t="s">
        <v>353</v>
      </c>
      <c r="B325" s="531"/>
      <c r="C325" s="531"/>
      <c r="D325" s="531"/>
      <c r="E325" s="531"/>
      <c r="F325" s="146">
        <f>H33</f>
        <v>141.55</v>
      </c>
      <c r="G325" s="532">
        <f>SUM(G322:G324)</f>
        <v>168.44</v>
      </c>
      <c r="H325" s="532"/>
      <c r="I325" s="532"/>
    </row>
    <row r="326" spans="1:9" ht="14.25" customHeight="1">
      <c r="A326" s="533"/>
      <c r="B326" s="533"/>
      <c r="C326" s="533"/>
      <c r="D326" s="533"/>
      <c r="E326" s="533"/>
      <c r="F326" s="533"/>
      <c r="G326" s="533"/>
      <c r="H326" s="533"/>
      <c r="I326" s="533"/>
    </row>
    <row r="327" spans="1:9" ht="14.25" customHeight="1">
      <c r="A327" s="536" t="s">
        <v>354</v>
      </c>
      <c r="B327" s="536"/>
      <c r="C327" s="536"/>
      <c r="D327" s="537">
        <f>H287</f>
        <v>0.24</v>
      </c>
      <c r="E327" s="537"/>
      <c r="F327" s="151">
        <f>H36</f>
        <v>0</v>
      </c>
      <c r="G327" s="521">
        <f>ROUND((D327*F327),2)</f>
        <v>0</v>
      </c>
      <c r="H327" s="521"/>
      <c r="I327" s="521"/>
    </row>
    <row r="328" spans="1:9" ht="14.25" customHeight="1">
      <c r="A328" s="531" t="s">
        <v>355</v>
      </c>
      <c r="B328" s="531"/>
      <c r="C328" s="531"/>
      <c r="D328" s="531"/>
      <c r="E328" s="531"/>
      <c r="F328" s="146">
        <f>F327</f>
        <v>0</v>
      </c>
      <c r="G328" s="532">
        <f>G327</f>
        <v>0</v>
      </c>
      <c r="H328" s="532"/>
      <c r="I328" s="532"/>
    </row>
    <row r="329" spans="1:9" ht="14.25" customHeight="1">
      <c r="A329" s="533"/>
      <c r="B329" s="533"/>
      <c r="C329" s="533"/>
      <c r="D329" s="533"/>
      <c r="E329" s="533"/>
      <c r="F329" s="533"/>
      <c r="G329" s="533"/>
      <c r="H329" s="533"/>
      <c r="I329" s="533"/>
    </row>
    <row r="330" spans="1:9" ht="14.25" customHeight="1">
      <c r="A330" s="534" t="s">
        <v>122</v>
      </c>
      <c r="B330" s="534"/>
      <c r="C330" s="534"/>
      <c r="D330" s="535"/>
      <c r="E330" s="535"/>
      <c r="F330" s="150">
        <v>0</v>
      </c>
      <c r="G330" s="529">
        <v>0</v>
      </c>
      <c r="H330" s="529"/>
      <c r="I330" s="529"/>
    </row>
    <row r="331" spans="1:9" ht="14.25" customHeight="1">
      <c r="A331" s="527" t="s">
        <v>356</v>
      </c>
      <c r="B331" s="527"/>
      <c r="C331" s="527"/>
      <c r="D331" s="527"/>
      <c r="E331" s="527"/>
      <c r="F331" s="152">
        <f>H37</f>
        <v>0</v>
      </c>
      <c r="G331" s="521">
        <f>H330</f>
        <v>0</v>
      </c>
      <c r="H331" s="521"/>
      <c r="I331" s="521"/>
    </row>
    <row r="332" spans="1:9" ht="14.25" customHeight="1">
      <c r="A332" s="522"/>
      <c r="B332" s="522"/>
      <c r="C332" s="522"/>
      <c r="D332" s="522"/>
      <c r="E332" s="522"/>
      <c r="F332" s="522"/>
      <c r="G332" s="522"/>
      <c r="H332" s="522"/>
      <c r="I332" s="522"/>
    </row>
    <row r="333" spans="1:9" ht="14.25" customHeight="1">
      <c r="A333" s="528" t="s">
        <v>124</v>
      </c>
      <c r="B333" s="528"/>
      <c r="C333" s="528"/>
      <c r="D333" s="528"/>
      <c r="E333" s="528"/>
      <c r="F333" s="144">
        <f>H39</f>
        <v>0</v>
      </c>
      <c r="G333" s="529">
        <f>H333</f>
        <v>0</v>
      </c>
      <c r="H333" s="529"/>
      <c r="I333" s="529"/>
    </row>
    <row r="334" spans="1:9" ht="14.25" customHeight="1">
      <c r="A334" s="527" t="s">
        <v>125</v>
      </c>
      <c r="B334" s="527"/>
      <c r="C334" s="527"/>
      <c r="D334" s="527"/>
      <c r="E334" s="527"/>
      <c r="F334" s="152">
        <v>0</v>
      </c>
      <c r="G334" s="521">
        <f>G333</f>
        <v>0</v>
      </c>
      <c r="H334" s="521"/>
      <c r="I334" s="521"/>
    </row>
    <row r="335" spans="1:9" ht="14.25" customHeight="1">
      <c r="A335" s="519"/>
      <c r="B335" s="519"/>
      <c r="C335" s="519"/>
      <c r="D335" s="519"/>
      <c r="E335" s="519"/>
      <c r="F335" s="519"/>
      <c r="G335" s="519"/>
      <c r="H335" s="519"/>
      <c r="I335" s="519"/>
    </row>
    <row r="336" spans="1:9" ht="14.25" customHeight="1">
      <c r="A336" s="520" t="s">
        <v>11</v>
      </c>
      <c r="B336" s="520"/>
      <c r="C336" s="520"/>
      <c r="D336" s="520"/>
      <c r="E336" s="520"/>
      <c r="F336" s="151">
        <f>ROUND(F312+F320+F325+F328+F331+F334,2)</f>
        <v>803.39</v>
      </c>
      <c r="G336" s="521">
        <f>SUM(G312+G320+G325+G328+G331+G334)</f>
        <v>5893.499999999999</v>
      </c>
      <c r="H336" s="521"/>
      <c r="I336" s="521"/>
    </row>
    <row r="337" spans="1:9" ht="14.25" customHeight="1">
      <c r="A337" s="522"/>
      <c r="B337" s="522"/>
      <c r="C337" s="522"/>
      <c r="D337" s="522"/>
      <c r="E337" s="522"/>
      <c r="F337" s="522"/>
      <c r="G337" s="522"/>
      <c r="H337" s="522"/>
      <c r="I337" s="522"/>
    </row>
    <row r="338" spans="1:11" ht="18.75" customHeight="1">
      <c r="A338" s="523" t="s">
        <v>357</v>
      </c>
      <c r="B338" s="523"/>
      <c r="C338" s="523"/>
      <c r="D338" s="523"/>
      <c r="E338" s="523"/>
      <c r="F338" s="523"/>
      <c r="G338" s="704"/>
      <c r="H338" s="526"/>
      <c r="I338" s="324">
        <f>G336</f>
        <v>5893.499999999999</v>
      </c>
      <c r="K338" s="327"/>
    </row>
    <row r="339" spans="1:9" ht="18.75" customHeight="1">
      <c r="A339" s="513"/>
      <c r="B339" s="513"/>
      <c r="C339" s="513"/>
      <c r="D339" s="513"/>
      <c r="E339" s="513"/>
      <c r="F339" s="513"/>
      <c r="G339" s="513"/>
      <c r="H339" s="513"/>
      <c r="I339" s="513"/>
    </row>
    <row r="340" spans="1:9" ht="18.75" customHeight="1">
      <c r="A340" s="514" t="s">
        <v>358</v>
      </c>
      <c r="B340" s="514"/>
      <c r="C340" s="514"/>
      <c r="D340" s="514"/>
      <c r="E340" s="514"/>
      <c r="F340" s="514"/>
      <c r="G340" s="515">
        <f>H10</f>
        <v>12</v>
      </c>
      <c r="H340" s="515"/>
      <c r="I340" s="515"/>
    </row>
    <row r="341" spans="1:9" ht="18.75" customHeight="1">
      <c r="A341" s="516"/>
      <c r="B341" s="516"/>
      <c r="C341" s="516"/>
      <c r="D341" s="516"/>
      <c r="E341" s="516"/>
      <c r="F341" s="516"/>
      <c r="G341" s="516"/>
      <c r="H341" s="516"/>
      <c r="I341" s="516"/>
    </row>
    <row r="342" spans="1:9" ht="29.25" customHeight="1">
      <c r="A342" s="517" t="s">
        <v>359</v>
      </c>
      <c r="B342" s="517"/>
      <c r="C342" s="517"/>
      <c r="D342" s="517"/>
      <c r="E342" s="517"/>
      <c r="F342" s="517"/>
      <c r="G342" s="518">
        <f>ROUND(G336*G340,2)</f>
        <v>70722</v>
      </c>
      <c r="H342" s="518"/>
      <c r="I342" s="518"/>
    </row>
    <row r="343" spans="1:9" ht="14.25" customHeight="1">
      <c r="A343" s="511"/>
      <c r="B343" s="511"/>
      <c r="C343" s="511"/>
      <c r="D343" s="511"/>
      <c r="E343" s="511"/>
      <c r="F343" s="511"/>
      <c r="G343" s="511"/>
      <c r="H343" s="511"/>
      <c r="I343" s="511"/>
    </row>
    <row r="344" spans="1:9" ht="24.75" customHeight="1">
      <c r="A344" s="509" t="s">
        <v>360</v>
      </c>
      <c r="B344" s="509"/>
      <c r="C344" s="509"/>
      <c r="D344" s="509"/>
      <c r="E344" s="509"/>
      <c r="F344" s="509"/>
      <c r="G344" s="509"/>
      <c r="H344" s="509"/>
      <c r="I344" s="509"/>
    </row>
    <row r="345" spans="1:9" ht="14.25" customHeight="1">
      <c r="A345" s="512" t="s">
        <v>361</v>
      </c>
      <c r="B345" s="512"/>
      <c r="C345" s="512"/>
      <c r="D345" s="512"/>
      <c r="E345" s="512"/>
      <c r="F345" s="512"/>
      <c r="G345" s="512"/>
      <c r="H345" s="510" t="s">
        <v>362</v>
      </c>
      <c r="I345" s="510"/>
    </row>
    <row r="346" spans="1:9" ht="12.75">
      <c r="A346" s="512"/>
      <c r="B346" s="512"/>
      <c r="C346" s="512"/>
      <c r="D346" s="512"/>
      <c r="E346" s="512"/>
      <c r="F346" s="512"/>
      <c r="G346" s="512"/>
      <c r="H346" s="510"/>
      <c r="I346" s="510"/>
    </row>
    <row r="347" spans="1:9" ht="14.25" customHeight="1">
      <c r="A347" s="506" t="s">
        <v>336</v>
      </c>
      <c r="B347" s="506"/>
      <c r="C347" s="506"/>
      <c r="D347" s="506"/>
      <c r="E347" s="506"/>
      <c r="F347" s="506"/>
      <c r="G347" s="506"/>
      <c r="H347" s="507"/>
      <c r="I347" s="507"/>
    </row>
    <row r="348" spans="1:9" ht="14.25" customHeight="1">
      <c r="A348" s="506" t="s">
        <v>333</v>
      </c>
      <c r="B348" s="506"/>
      <c r="C348" s="506"/>
      <c r="D348" s="506"/>
      <c r="E348" s="506"/>
      <c r="F348" s="506"/>
      <c r="G348" s="506"/>
      <c r="H348" s="507">
        <v>0</v>
      </c>
      <c r="I348" s="507"/>
    </row>
    <row r="349" spans="1:9" ht="14.25" customHeight="1">
      <c r="A349" s="505"/>
      <c r="B349" s="505"/>
      <c r="C349" s="505"/>
      <c r="D349" s="505"/>
      <c r="E349" s="505"/>
      <c r="F349" s="505"/>
      <c r="G349" s="505"/>
      <c r="H349" s="505"/>
      <c r="I349" s="505"/>
    </row>
    <row r="350" spans="1:9" ht="12.75">
      <c r="A350" s="508"/>
      <c r="B350" s="508"/>
      <c r="C350" s="508"/>
      <c r="D350" s="508"/>
      <c r="E350" s="508"/>
      <c r="F350" s="508"/>
      <c r="G350" s="508"/>
      <c r="H350" s="508"/>
      <c r="I350" s="508"/>
    </row>
    <row r="351" spans="1:9" ht="12.75">
      <c r="A351" s="508"/>
      <c r="B351" s="508"/>
      <c r="C351" s="508"/>
      <c r="D351" s="508"/>
      <c r="E351" s="508"/>
      <c r="F351" s="508"/>
      <c r="G351" s="508"/>
      <c r="H351" s="508"/>
      <c r="I351" s="508"/>
    </row>
    <row r="352" spans="1:9" ht="28.5" customHeight="1">
      <c r="A352" s="509" t="s">
        <v>583</v>
      </c>
      <c r="B352" s="509"/>
      <c r="C352" s="509"/>
      <c r="D352" s="509"/>
      <c r="E352" s="509"/>
      <c r="F352" s="509"/>
      <c r="G352" s="509"/>
      <c r="H352" s="509"/>
      <c r="I352" s="509"/>
    </row>
    <row r="353" spans="1:9" ht="14.25" customHeight="1">
      <c r="A353" s="510" t="s">
        <v>363</v>
      </c>
      <c r="B353" s="510"/>
      <c r="C353" s="510"/>
      <c r="D353" s="510"/>
      <c r="E353" s="510"/>
      <c r="F353" s="510"/>
      <c r="G353" s="510"/>
      <c r="H353" s="510" t="s">
        <v>364</v>
      </c>
      <c r="I353" s="510"/>
    </row>
    <row r="354" spans="1:9" ht="15.75" customHeight="1">
      <c r="A354" s="502"/>
      <c r="B354" s="502"/>
      <c r="C354" s="502"/>
      <c r="D354" s="502"/>
      <c r="E354" s="502"/>
      <c r="F354" s="502"/>
      <c r="G354" s="502"/>
      <c r="H354" s="503"/>
      <c r="I354" s="503"/>
    </row>
    <row r="355" spans="1:9" ht="14.25" customHeight="1">
      <c r="A355" s="504"/>
      <c r="B355" s="504"/>
      <c r="C355" s="504"/>
      <c r="D355" s="504"/>
      <c r="E355" s="504"/>
      <c r="F355" s="504"/>
      <c r="G355" s="504"/>
      <c r="H355" s="503"/>
      <c r="I355" s="503"/>
    </row>
    <row r="356" spans="1:9" ht="14.25" customHeight="1">
      <c r="A356" s="505"/>
      <c r="B356" s="505"/>
      <c r="C356" s="505"/>
      <c r="D356" s="505"/>
      <c r="E356" s="505"/>
      <c r="F356" s="505"/>
      <c r="G356" s="505"/>
      <c r="H356" s="503"/>
      <c r="I356" s="503"/>
    </row>
  </sheetData>
  <sheetProtection selectLockedCells="1" selectUnlockedCells="1"/>
  <mergeCells count="582">
    <mergeCell ref="A1:I1"/>
    <mergeCell ref="A2:I2"/>
    <mergeCell ref="A3:E3"/>
    <mergeCell ref="F3:I3"/>
    <mergeCell ref="A4:E4"/>
    <mergeCell ref="F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G20"/>
    <mergeCell ref="H20:I20"/>
    <mergeCell ref="A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G28"/>
    <mergeCell ref="H28:I28"/>
    <mergeCell ref="A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G33"/>
    <mergeCell ref="H33:I33"/>
    <mergeCell ref="A34:I34"/>
    <mergeCell ref="A35:E35"/>
    <mergeCell ref="F35:G35"/>
    <mergeCell ref="H35:I35"/>
    <mergeCell ref="A36:G36"/>
    <mergeCell ref="H36:I36"/>
    <mergeCell ref="A37:I37"/>
    <mergeCell ref="A38:E38"/>
    <mergeCell ref="F38:G38"/>
    <mergeCell ref="H38:I38"/>
    <mergeCell ref="A39:G39"/>
    <mergeCell ref="H39:I39"/>
    <mergeCell ref="A41:E41"/>
    <mergeCell ref="F41:G41"/>
    <mergeCell ref="H41:I41"/>
    <mergeCell ref="A42:G42"/>
    <mergeCell ref="H42:I42"/>
    <mergeCell ref="A43:I43"/>
    <mergeCell ref="A44:G44"/>
    <mergeCell ref="H44:I44"/>
    <mergeCell ref="A45:I45"/>
    <mergeCell ref="A46:I46"/>
    <mergeCell ref="A47:I47"/>
    <mergeCell ref="A48:I48"/>
    <mergeCell ref="A49:I49"/>
    <mergeCell ref="A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5:G55"/>
    <mergeCell ref="H55:I55"/>
    <mergeCell ref="A56:I56"/>
    <mergeCell ref="A57:I57"/>
    <mergeCell ref="A58:I58"/>
    <mergeCell ref="A59:I59"/>
    <mergeCell ref="B60:G60"/>
    <mergeCell ref="B61:H61"/>
    <mergeCell ref="B62:G62"/>
    <mergeCell ref="B63:G63"/>
    <mergeCell ref="B64:H64"/>
    <mergeCell ref="B65:H65"/>
    <mergeCell ref="B66:H66"/>
    <mergeCell ref="A67:H67"/>
    <mergeCell ref="A68:I68"/>
    <mergeCell ref="A69:I69"/>
    <mergeCell ref="A70:I70"/>
    <mergeCell ref="A71:I71"/>
    <mergeCell ref="A72:I72"/>
    <mergeCell ref="B73:H73"/>
    <mergeCell ref="B74:H74"/>
    <mergeCell ref="B75:H75"/>
    <mergeCell ref="A76:H76"/>
    <mergeCell ref="A77:I77"/>
    <mergeCell ref="A78:I78"/>
    <mergeCell ref="A79:I79"/>
    <mergeCell ref="A80:I80"/>
    <mergeCell ref="B81:G81"/>
    <mergeCell ref="B82:G82"/>
    <mergeCell ref="B83:G83"/>
    <mergeCell ref="B84:C84"/>
    <mergeCell ref="B85:G85"/>
    <mergeCell ref="B86:G86"/>
    <mergeCell ref="B87:G87"/>
    <mergeCell ref="B88:G88"/>
    <mergeCell ref="B89:G89"/>
    <mergeCell ref="A90:G90"/>
    <mergeCell ref="A92:I92"/>
    <mergeCell ref="A93:I93"/>
    <mergeCell ref="A94:I94"/>
    <mergeCell ref="B95:H95"/>
    <mergeCell ref="B96:H96"/>
    <mergeCell ref="B97:G97"/>
    <mergeCell ref="B98:G98"/>
    <mergeCell ref="B99:G99"/>
    <mergeCell ref="B100:G100"/>
    <mergeCell ref="B101:H101"/>
    <mergeCell ref="B102:G102"/>
    <mergeCell ref="B103:G103"/>
    <mergeCell ref="B104:G104"/>
    <mergeCell ref="B105:H105"/>
    <mergeCell ref="B106:H106"/>
    <mergeCell ref="B107:H107"/>
    <mergeCell ref="B108:H108"/>
    <mergeCell ref="B109:H109"/>
    <mergeCell ref="A110:I110"/>
    <mergeCell ref="A111:I111"/>
    <mergeCell ref="A112:I112"/>
    <mergeCell ref="A113:I113"/>
    <mergeCell ref="B114:H114"/>
    <mergeCell ref="B115:H115"/>
    <mergeCell ref="B116:H116"/>
    <mergeCell ref="B117:H117"/>
    <mergeCell ref="A118:H118"/>
    <mergeCell ref="A119:I119"/>
    <mergeCell ref="A120:I120"/>
    <mergeCell ref="B121:H121"/>
    <mergeCell ref="B122:H122"/>
    <mergeCell ref="B123:H123"/>
    <mergeCell ref="B124:H124"/>
    <mergeCell ref="B125:H125"/>
    <mergeCell ref="B126:H126"/>
    <mergeCell ref="B127:H127"/>
    <mergeCell ref="A128:H128"/>
    <mergeCell ref="A129:I129"/>
    <mergeCell ref="A130:I130"/>
    <mergeCell ref="A131:I131"/>
    <mergeCell ref="A132:I132"/>
    <mergeCell ref="A133:I133"/>
    <mergeCell ref="A135:I135"/>
    <mergeCell ref="A136:E136"/>
    <mergeCell ref="F136:G136"/>
    <mergeCell ref="B137:H137"/>
    <mergeCell ref="B138:H138"/>
    <mergeCell ref="B139:H139"/>
    <mergeCell ref="B140:H140"/>
    <mergeCell ref="B141:H141"/>
    <mergeCell ref="B142:H142"/>
    <mergeCell ref="B143:H143"/>
    <mergeCell ref="A144:H144"/>
    <mergeCell ref="A145:I145"/>
    <mergeCell ref="A146:I146"/>
    <mergeCell ref="B147:H147"/>
    <mergeCell ref="B148:H148"/>
    <mergeCell ref="A149:H149"/>
    <mergeCell ref="A150:I150"/>
    <mergeCell ref="A151:I151"/>
    <mergeCell ref="B152:H152"/>
    <mergeCell ref="B153:H153"/>
    <mergeCell ref="B154:H154"/>
    <mergeCell ref="A155:H155"/>
    <mergeCell ref="A156:I156"/>
    <mergeCell ref="A157:I157"/>
    <mergeCell ref="B158:H158"/>
    <mergeCell ref="B159:H159"/>
    <mergeCell ref="B160:H160"/>
    <mergeCell ref="B161:H161"/>
    <mergeCell ref="B162:H162"/>
    <mergeCell ref="A163:H163"/>
    <mergeCell ref="A164:I164"/>
    <mergeCell ref="A165:I165"/>
    <mergeCell ref="A167:I167"/>
    <mergeCell ref="B168:G168"/>
    <mergeCell ref="A169:G169"/>
    <mergeCell ref="B170:G170"/>
    <mergeCell ref="A171:G171"/>
    <mergeCell ref="B172:G172"/>
    <mergeCell ref="A173:G173"/>
    <mergeCell ref="B174:G174"/>
    <mergeCell ref="B175:G175"/>
    <mergeCell ref="B176:G176"/>
    <mergeCell ref="B177:G177"/>
    <mergeCell ref="B178:G178"/>
    <mergeCell ref="B179:G179"/>
    <mergeCell ref="B180:G180"/>
    <mergeCell ref="B181:G181"/>
    <mergeCell ref="B182:G182"/>
    <mergeCell ref="A183:H183"/>
    <mergeCell ref="A184:I184"/>
    <mergeCell ref="A185:G185"/>
    <mergeCell ref="A186:B188"/>
    <mergeCell ref="C186:I186"/>
    <mergeCell ref="C187:I187"/>
    <mergeCell ref="C188:I188"/>
    <mergeCell ref="A189:I189"/>
    <mergeCell ref="A190:I190"/>
    <mergeCell ref="A191:I191"/>
    <mergeCell ref="A192:I192"/>
    <mergeCell ref="A193:H193"/>
    <mergeCell ref="B194:H194"/>
    <mergeCell ref="B195:H195"/>
    <mergeCell ref="B196:H196"/>
    <mergeCell ref="B197:H197"/>
    <mergeCell ref="B198:H198"/>
    <mergeCell ref="A199:H199"/>
    <mergeCell ref="B200:H200"/>
    <mergeCell ref="A201:H201"/>
    <mergeCell ref="A203:I203"/>
    <mergeCell ref="A204:I204"/>
    <mergeCell ref="A206:I206"/>
    <mergeCell ref="A207:I207"/>
    <mergeCell ref="A208:B208"/>
    <mergeCell ref="C208:D208"/>
    <mergeCell ref="E208:F208"/>
    <mergeCell ref="G208:I208"/>
    <mergeCell ref="A209:B209"/>
    <mergeCell ref="C209:D209"/>
    <mergeCell ref="E209:F209"/>
    <mergeCell ref="G209:I209"/>
    <mergeCell ref="A210:B210"/>
    <mergeCell ref="C210:D210"/>
    <mergeCell ref="E210:F210"/>
    <mergeCell ref="G210:I210"/>
    <mergeCell ref="A211:F211"/>
    <mergeCell ref="G211:I211"/>
    <mergeCell ref="A212:I212"/>
    <mergeCell ref="A213:B213"/>
    <mergeCell ref="C213:D213"/>
    <mergeCell ref="E213:F213"/>
    <mergeCell ref="G213:I213"/>
    <mergeCell ref="A214:B214"/>
    <mergeCell ref="C214:D214"/>
    <mergeCell ref="E214:F214"/>
    <mergeCell ref="G214:I214"/>
    <mergeCell ref="A215:F215"/>
    <mergeCell ref="G215:I215"/>
    <mergeCell ref="A216:I216"/>
    <mergeCell ref="A217:B217"/>
    <mergeCell ref="C217:D217"/>
    <mergeCell ref="E217:F217"/>
    <mergeCell ref="G217:I217"/>
    <mergeCell ref="A218:B218"/>
    <mergeCell ref="C218:D218"/>
    <mergeCell ref="E218:F218"/>
    <mergeCell ref="G218:I218"/>
    <mergeCell ref="A219:F219"/>
    <mergeCell ref="G219:I219"/>
    <mergeCell ref="A220:I220"/>
    <mergeCell ref="A221:B221"/>
    <mergeCell ref="C221:D221"/>
    <mergeCell ref="E221:F221"/>
    <mergeCell ref="G221:I221"/>
    <mergeCell ref="A222:B222"/>
    <mergeCell ref="C222:D222"/>
    <mergeCell ref="E222:F222"/>
    <mergeCell ref="G222:I222"/>
    <mergeCell ref="A223:F223"/>
    <mergeCell ref="G223:I223"/>
    <mergeCell ref="A224:I224"/>
    <mergeCell ref="A225:B225"/>
    <mergeCell ref="C225:D225"/>
    <mergeCell ref="E225:F225"/>
    <mergeCell ref="G225:I225"/>
    <mergeCell ref="A226:B226"/>
    <mergeCell ref="C226:D226"/>
    <mergeCell ref="E226:F226"/>
    <mergeCell ref="G226:I226"/>
    <mergeCell ref="A227:F227"/>
    <mergeCell ref="G227:I227"/>
    <mergeCell ref="A228:I228"/>
    <mergeCell ref="A229:B229"/>
    <mergeCell ref="C229:D229"/>
    <mergeCell ref="E229:F229"/>
    <mergeCell ref="G229:I229"/>
    <mergeCell ref="A230:B230"/>
    <mergeCell ref="C230:D230"/>
    <mergeCell ref="E230:F230"/>
    <mergeCell ref="G230:I230"/>
    <mergeCell ref="A231:F231"/>
    <mergeCell ref="G231:I231"/>
    <mergeCell ref="A232:I232"/>
    <mergeCell ref="A233:B233"/>
    <mergeCell ref="C233:D233"/>
    <mergeCell ref="E233:F233"/>
    <mergeCell ref="G233:I233"/>
    <mergeCell ref="A234:B234"/>
    <mergeCell ref="C234:D234"/>
    <mergeCell ref="E234:F234"/>
    <mergeCell ref="G234:I234"/>
    <mergeCell ref="A235:F235"/>
    <mergeCell ref="G235:I235"/>
    <mergeCell ref="A236:I236"/>
    <mergeCell ref="A237:I237"/>
    <mergeCell ref="A238:I238"/>
    <mergeCell ref="A239:I239"/>
    <mergeCell ref="A240:B240"/>
    <mergeCell ref="C240:D240"/>
    <mergeCell ref="E240:F240"/>
    <mergeCell ref="G240:I240"/>
    <mergeCell ref="A241:B241"/>
    <mergeCell ref="C241:D241"/>
    <mergeCell ref="E241:F241"/>
    <mergeCell ref="G241:I241"/>
    <mergeCell ref="A242:B242"/>
    <mergeCell ref="C242:D242"/>
    <mergeCell ref="E242:F242"/>
    <mergeCell ref="G242:I242"/>
    <mergeCell ref="A243:F243"/>
    <mergeCell ref="G243:I243"/>
    <mergeCell ref="A244:I244"/>
    <mergeCell ref="A245:B245"/>
    <mergeCell ref="C245:D245"/>
    <mergeCell ref="E245:F245"/>
    <mergeCell ref="G245:I245"/>
    <mergeCell ref="A246:B246"/>
    <mergeCell ref="C246:D246"/>
    <mergeCell ref="E246:F246"/>
    <mergeCell ref="G246:I246"/>
    <mergeCell ref="A247:F247"/>
    <mergeCell ref="G247:I247"/>
    <mergeCell ref="A248:I248"/>
    <mergeCell ref="A249:B249"/>
    <mergeCell ref="C249:D249"/>
    <mergeCell ref="E249:F249"/>
    <mergeCell ref="G249:I249"/>
    <mergeCell ref="A250:B250"/>
    <mergeCell ref="C250:D250"/>
    <mergeCell ref="E250:F250"/>
    <mergeCell ref="G250:I250"/>
    <mergeCell ref="A251:F251"/>
    <mergeCell ref="G251:I251"/>
    <mergeCell ref="A252:I252"/>
    <mergeCell ref="A253:B253"/>
    <mergeCell ref="C253:D253"/>
    <mergeCell ref="E253:F253"/>
    <mergeCell ref="G253:I253"/>
    <mergeCell ref="A254:B254"/>
    <mergeCell ref="C254:D254"/>
    <mergeCell ref="E254:F254"/>
    <mergeCell ref="G254:I254"/>
    <mergeCell ref="A255:F255"/>
    <mergeCell ref="G255:I255"/>
    <mergeCell ref="A256:I256"/>
    <mergeCell ref="A257:B257"/>
    <mergeCell ref="C257:D257"/>
    <mergeCell ref="E257:F257"/>
    <mergeCell ref="G257:I257"/>
    <mergeCell ref="A258:B258"/>
    <mergeCell ref="C258:D258"/>
    <mergeCell ref="E258:F258"/>
    <mergeCell ref="G258:I258"/>
    <mergeCell ref="A259:F259"/>
    <mergeCell ref="G259:I259"/>
    <mergeCell ref="A260:I260"/>
    <mergeCell ref="A261:B261"/>
    <mergeCell ref="C261:D261"/>
    <mergeCell ref="E261:F261"/>
    <mergeCell ref="G261:I261"/>
    <mergeCell ref="A262:B262"/>
    <mergeCell ref="C262:D262"/>
    <mergeCell ref="E262:F262"/>
    <mergeCell ref="G262:I262"/>
    <mergeCell ref="A263:F263"/>
    <mergeCell ref="G263:I263"/>
    <mergeCell ref="A264:I264"/>
    <mergeCell ref="A265:I265"/>
    <mergeCell ref="A266:I266"/>
    <mergeCell ref="A267:I268"/>
    <mergeCell ref="D269:E269"/>
    <mergeCell ref="H269:I269"/>
    <mergeCell ref="D270:E270"/>
    <mergeCell ref="H270:I270"/>
    <mergeCell ref="D271:E271"/>
    <mergeCell ref="H271:I271"/>
    <mergeCell ref="A272:G272"/>
    <mergeCell ref="H272:I272"/>
    <mergeCell ref="A273:I273"/>
    <mergeCell ref="D274:E274"/>
    <mergeCell ref="H274:I274"/>
    <mergeCell ref="D275:E275"/>
    <mergeCell ref="H275:I275"/>
    <mergeCell ref="A276:G276"/>
    <mergeCell ref="H276:I276"/>
    <mergeCell ref="A277:I277"/>
    <mergeCell ref="D278:E278"/>
    <mergeCell ref="H278:I278"/>
    <mergeCell ref="D279:E279"/>
    <mergeCell ref="H279:I279"/>
    <mergeCell ref="A280:G280"/>
    <mergeCell ref="H280:I280"/>
    <mergeCell ref="A281:I281"/>
    <mergeCell ref="A282:I282"/>
    <mergeCell ref="A283:I283"/>
    <mergeCell ref="A284:I284"/>
    <mergeCell ref="D285:E285"/>
    <mergeCell ref="H285:I285"/>
    <mergeCell ref="D286:E286"/>
    <mergeCell ref="H286:I286"/>
    <mergeCell ref="D287:E287"/>
    <mergeCell ref="H287:I287"/>
    <mergeCell ref="A288:G288"/>
    <mergeCell ref="H288:I288"/>
    <mergeCell ref="A289:I289"/>
    <mergeCell ref="A290:I290"/>
    <mergeCell ref="A291:I291"/>
    <mergeCell ref="A292:H293"/>
    <mergeCell ref="A294:B294"/>
    <mergeCell ref="C294:D294"/>
    <mergeCell ref="E294:F294"/>
    <mergeCell ref="G294:I294"/>
    <mergeCell ref="A295:B295"/>
    <mergeCell ref="C295:D295"/>
    <mergeCell ref="E295:F295"/>
    <mergeCell ref="G295:I295"/>
    <mergeCell ref="A296:B296"/>
    <mergeCell ref="C296:D296"/>
    <mergeCell ref="E296:F296"/>
    <mergeCell ref="G296:I296"/>
    <mergeCell ref="A297:G297"/>
    <mergeCell ref="H297:I297"/>
    <mergeCell ref="A298:I298"/>
    <mergeCell ref="A299:I299"/>
    <mergeCell ref="A300:I300"/>
    <mergeCell ref="A301:I301"/>
    <mergeCell ref="A302:I303"/>
    <mergeCell ref="A304:C304"/>
    <mergeCell ref="D304:E304"/>
    <mergeCell ref="G304:I304"/>
    <mergeCell ref="A305:C305"/>
    <mergeCell ref="D305:E305"/>
    <mergeCell ref="G305:I305"/>
    <mergeCell ref="A306:C306"/>
    <mergeCell ref="D306:E306"/>
    <mergeCell ref="G306:I306"/>
    <mergeCell ref="A307:C307"/>
    <mergeCell ref="D307:E307"/>
    <mergeCell ref="G307:I307"/>
    <mergeCell ref="A308:C308"/>
    <mergeCell ref="D308:E308"/>
    <mergeCell ref="G308:I308"/>
    <mergeCell ref="A309:C309"/>
    <mergeCell ref="D309:E309"/>
    <mergeCell ref="G309:I309"/>
    <mergeCell ref="A310:C310"/>
    <mergeCell ref="D310:E310"/>
    <mergeCell ref="G310:I310"/>
    <mergeCell ref="A311:C311"/>
    <mergeCell ref="D311:E311"/>
    <mergeCell ref="G311:I311"/>
    <mergeCell ref="A312:E312"/>
    <mergeCell ref="G312:I312"/>
    <mergeCell ref="A313:I313"/>
    <mergeCell ref="A314:C314"/>
    <mergeCell ref="D314:E314"/>
    <mergeCell ref="G314:I314"/>
    <mergeCell ref="A315:C315"/>
    <mergeCell ref="D315:E315"/>
    <mergeCell ref="G315:I315"/>
    <mergeCell ref="A316:C316"/>
    <mergeCell ref="D316:E316"/>
    <mergeCell ref="G316:I316"/>
    <mergeCell ref="A317:C317"/>
    <mergeCell ref="D317:E317"/>
    <mergeCell ref="G317:I317"/>
    <mergeCell ref="A318:C318"/>
    <mergeCell ref="D318:E318"/>
    <mergeCell ref="G318:I318"/>
    <mergeCell ref="A319:C319"/>
    <mergeCell ref="D319:E319"/>
    <mergeCell ref="G319:I319"/>
    <mergeCell ref="A320:E320"/>
    <mergeCell ref="G320:I320"/>
    <mergeCell ref="A321:I321"/>
    <mergeCell ref="A322:C322"/>
    <mergeCell ref="D322:E322"/>
    <mergeCell ref="G322:I322"/>
    <mergeCell ref="A323:C323"/>
    <mergeCell ref="D323:E323"/>
    <mergeCell ref="G323:I323"/>
    <mergeCell ref="A324:C324"/>
    <mergeCell ref="D324:E324"/>
    <mergeCell ref="G324:I324"/>
    <mergeCell ref="A325:E325"/>
    <mergeCell ref="G325:I325"/>
    <mergeCell ref="A326:I326"/>
    <mergeCell ref="A327:C327"/>
    <mergeCell ref="D327:E327"/>
    <mergeCell ref="G327:I327"/>
    <mergeCell ref="A328:E328"/>
    <mergeCell ref="G328:I328"/>
    <mergeCell ref="A329:I329"/>
    <mergeCell ref="A330:C330"/>
    <mergeCell ref="D330:E330"/>
    <mergeCell ref="G330:I330"/>
    <mergeCell ref="A331:E331"/>
    <mergeCell ref="G331:I331"/>
    <mergeCell ref="A332:I332"/>
    <mergeCell ref="A333:E333"/>
    <mergeCell ref="G333:I333"/>
    <mergeCell ref="A334:E334"/>
    <mergeCell ref="G334:I334"/>
    <mergeCell ref="A335:I335"/>
    <mergeCell ref="A336:E336"/>
    <mergeCell ref="G336:I336"/>
    <mergeCell ref="A337:I337"/>
    <mergeCell ref="A338:F338"/>
    <mergeCell ref="G338:H338"/>
    <mergeCell ref="A339:I339"/>
    <mergeCell ref="A340:F340"/>
    <mergeCell ref="G340:I340"/>
    <mergeCell ref="A341:I341"/>
    <mergeCell ref="A342:F342"/>
    <mergeCell ref="G342:I342"/>
    <mergeCell ref="A343:I343"/>
    <mergeCell ref="A344:I344"/>
    <mergeCell ref="A345:G346"/>
    <mergeCell ref="H345:I346"/>
    <mergeCell ref="A347:G347"/>
    <mergeCell ref="H347:I347"/>
    <mergeCell ref="A348:G348"/>
    <mergeCell ref="H348:I348"/>
    <mergeCell ref="A349:I349"/>
    <mergeCell ref="A350:I351"/>
    <mergeCell ref="A352:I352"/>
    <mergeCell ref="A353:G353"/>
    <mergeCell ref="H353:I353"/>
    <mergeCell ref="A354:G354"/>
    <mergeCell ref="H354:I354"/>
    <mergeCell ref="A355:G355"/>
    <mergeCell ref="H355:I355"/>
    <mergeCell ref="A356:G356"/>
    <mergeCell ref="H356:I356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8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2276979</dc:creator>
  <cp:keywords/>
  <dc:description/>
  <cp:lastModifiedBy>Marcos</cp:lastModifiedBy>
  <cp:lastPrinted>2020-03-13T18:27:57Z</cp:lastPrinted>
  <dcterms:created xsi:type="dcterms:W3CDTF">2020-03-13T15:41:54Z</dcterms:created>
  <dcterms:modified xsi:type="dcterms:W3CDTF">2021-06-14T16:57:48Z</dcterms:modified>
  <cp:category/>
  <cp:version/>
  <cp:contentType/>
  <cp:contentStatus/>
</cp:coreProperties>
</file>