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Copeira" sheetId="1" r:id="rId1"/>
  </sheets>
  <definedNames>
    <definedName name="_xlfn.AGGREGATE" hidden="1">#NAME?</definedName>
    <definedName name="_xlnm.Print_Area" localSheetId="0">'Copeira'!$A$1:$I$163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<sst xmlns="http://schemas.openxmlformats.org/spreadsheetml/2006/main" count="232" uniqueCount="158">
  <si>
    <t>Nº do processo:</t>
  </si>
  <si>
    <t>Licitação nº: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</si>
  <si>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</si>
  <si>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</si>
  <si>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</si>
  <si>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</si>
  <si>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</si>
  <si>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</si>
  <si>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</si>
  <si>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</si>
  <si>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</si>
  <si>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</si>
  <si>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</si>
  <si>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Dados para composição dos custos referente à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</si>
  <si>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</si>
  <si>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</si>
  <si>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</si>
  <si>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</si>
  <si>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</si>
  <si>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</si>
  <si>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</si>
  <si>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</si>
  <si>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</si>
  <si>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</si>
  <si>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</si>
  <si>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</si>
  <si>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</si>
  <si>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</si>
  <si>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t>2.1</t>
  </si>
  <si>
    <t>Valor (R$)</t>
  </si>
  <si>
    <t>Total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</si>
  <si>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</si>
  <si>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</si>
  <si>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</si>
  <si>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</si>
  <si>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</si>
  <si>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</si>
  <si>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</si>
  <si>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</si>
  <si>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</si>
  <si>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</si>
  <si>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</si>
  <si>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</si>
  <si>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</si>
  <si>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</si>
  <si>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</si>
  <si>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</si>
  <si>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</si>
  <si>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</si>
  <si>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</si>
  <si>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-</t>
  </si>
  <si>
    <t xml:space="preserve">     B.3) Participação do empregado em percentual sobre o auxílio-alimentação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</si>
  <si>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</si>
  <si>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</si>
  <si>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</si>
  <si>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</si>
  <si>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</si>
  <si>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</si>
  <si>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</si>
  <si>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o Afastamento Maternidade que é a Remuneração)
</t>
    </r>
    <r>
      <rPr>
        <sz val="10"/>
        <rFont val="Arial"/>
        <family val="2"/>
      </rPr>
      <t>Conforme item 89 do Relatório do Acórdão TCU nº 1.753/2008 do Plenário</t>
    </r>
  </si>
  <si>
    <t>Submódulo 4.1 – Substituto nas Ausências Legais</t>
  </si>
  <si>
    <t>4.1</t>
  </si>
  <si>
    <t>Substituto nas Ausências Legais</t>
  </si>
  <si>
    <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</si>
  <si>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</si>
  <si>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</si>
  <si>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</si>
  <si>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Substituto na cobertura de Afastamento Maternidade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</si>
  <si>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t>Módulo 5 – Insumos Diversos</t>
  </si>
  <si>
    <t>Insumos diversos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</si>
  <si>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</si>
  <si>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</si>
  <si>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</si>
  <si>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</si>
  <si>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</si>
  <si>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</si>
  <si>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</si>
  <si>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</si>
  <si>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</si>
  <si>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</si>
  <si>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</si>
  <si>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</si>
  <si>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</si>
  <si>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</si>
  <si>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</si>
  <si>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</si>
  <si>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</si>
  <si>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</si>
  <si>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</si>
  <si>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</si>
  <si>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</si>
  <si>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</si>
  <si>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</si>
  <si>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</si>
  <si>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</si>
  <si>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</si>
  <si>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</si>
  <si>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</si>
  <si>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</si>
  <si>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</si>
  <si>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</si>
  <si>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</si>
  <si>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</si>
  <si>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</si>
  <si>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r>
      <t xml:space="preserve">Submódulo 2.1 – 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</si>
  <si>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</si>
  <si>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</si>
  <si>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r>
      <t xml:space="preserve">13º (décimo terceiro) Salário -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</si>
  <si>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 xml:space="preserve">Adicional de Férias </t>
    </r>
    <r>
      <rPr>
        <sz val="10"/>
        <rFont val="Arial"/>
        <family val="2"/>
      </rPr>
      <t>(</t>
    </r>
    <r>
      <rPr>
        <sz val="11"/>
        <rFont val="Arial"/>
        <family val="2"/>
      </rPr>
      <t>1/3) -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[(Rem/3)/12]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</si>
  <si>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</si>
  <si>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 xml:space="preserve">      A.1) Valor da passagem do transporte coletivo no município de prestação dos serviços: 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</si>
  <si>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</si>
  <si>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</si>
  <si>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</si>
  <si>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</si>
  <si>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(depende do regime de tributação - utilizada a hipótese de Lucro Real)</t>
    </r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</si>
  <si>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da Instrução Normativa 05/2017 atualizada.</t>
  </si>
  <si>
    <t>posto</t>
  </si>
  <si>
    <t>TOTAL DE POSTOS</t>
  </si>
  <si>
    <t>DADOS REFERENTES À CONTRATAÇÃO</t>
  </si>
  <si>
    <r>
      <t xml:space="preserve">Transporte - </t>
    </r>
    <r>
      <rPr>
        <b/>
        <sz val="10"/>
        <color indexed="10"/>
        <rFont val="Arial"/>
        <family val="2"/>
      </rPr>
      <t>Cálculo do valor: [(Qtde dias x Valor x Qtde passagens)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xSalário Base)]</t>
    </r>
  </si>
  <si>
    <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 x Percentuais</t>
    </r>
  </si>
  <si>
    <r>
      <t xml:space="preserve">Incidência do GPS, FGTS e outras contribuições sobre o Aviso Prévio Trabalhado  - </t>
    </r>
    <r>
      <rPr>
        <b/>
        <sz val="9"/>
        <color indexed="10"/>
        <rFont val="Arial"/>
        <family val="2"/>
      </rPr>
      <t>Cálculo do valor = Total Submódulo 2.2 (36,80%) x APTrab</t>
    </r>
  </si>
  <si>
    <r>
      <t xml:space="preserve">Incidência do FGTS sobre o Aviso Prévio Indenizado - </t>
    </r>
    <r>
      <rPr>
        <b/>
        <sz val="9"/>
        <color indexed="10"/>
        <rFont val="Arial"/>
        <family val="2"/>
      </rPr>
      <t>Cálculo do valor = %FGTS(8%) x APInd</t>
    </r>
  </si>
  <si>
    <r>
      <t xml:space="preserve">Incidência dos encargos do Submódulo 2.2 sobre o  total do Submódulo 4.1                       </t>
    </r>
    <r>
      <rPr>
        <b/>
        <sz val="9"/>
        <color indexed="10"/>
        <rFont val="Arial"/>
        <family val="2"/>
      </rPr>
      <t>Cálculo do valor = Total Submódulo 2.2 (36,80%) x Total Submódulo 4.1</t>
    </r>
  </si>
  <si>
    <r>
      <t xml:space="preserve">Custos Indiretos - </t>
    </r>
    <r>
      <rPr>
        <b/>
        <sz val="11"/>
        <color indexed="12"/>
        <rFont val="Arial"/>
        <family val="2"/>
      </rPr>
      <t>Cálculo do valor (BCCI x %)</t>
    </r>
  </si>
  <si>
    <r>
      <t xml:space="preserve">Lucro - </t>
    </r>
    <r>
      <rPr>
        <b/>
        <sz val="11"/>
        <color indexed="12"/>
        <rFont val="Arial"/>
        <family val="2"/>
      </rPr>
      <t>Cálculo do valor (BCL x %)</t>
    </r>
  </si>
  <si>
    <r>
      <t>Aviso Previo Trabalhado</t>
    </r>
    <r>
      <rPr>
        <b/>
        <sz val="9"/>
        <color indexed="10"/>
        <rFont val="Arial"/>
        <family val="2"/>
      </rPr>
      <t xml:space="preserve">
Cálculo do valor= [(7dias/30)xRem]/</t>
    </r>
    <r>
      <rPr>
        <b/>
        <sz val="9"/>
        <color indexed="10"/>
        <rFont val="Arial"/>
        <family val="2"/>
      </rPr>
      <t>12 x100% dos empregados (ao final do contrato)</t>
    </r>
  </si>
  <si>
    <t>Nota 1:  Aviso Prévio Indenizado - Na prorrogação, poderão ser considerados 3 dias conforme Lei nº 12.506/2011, dependendo da análise do nº de ocorrências deste evento no período.
Nota 2: Aviso Prévio Trabalhado - será no percentual  máximo de 1,94% no primeiro ano, e, em caso de prorrogação do contrato, o percentual máximo dessa parcela será de 0,194% a cada ano de prorrogação, a ser incluido por ocasião da formulação do aditivo da prorrogação do contrato, conforme lei 12.506/2011.  
Nota 3: Multas do FGTS e Contribuição Social - a rubrica referente às férias que compõe o cálculo das multas sobre os avisos prévios refere-se à remuneração do profissional substituto.</t>
  </si>
  <si>
    <t>Nota 1: Os percentuais dos encargos previdenciários, do FGTS e demais contribuições são aqueles estabelecidos pela legislação vigente.
Nota 2: O RAT vai depender do grau de risco do serviço e irá variar entre 1%, para risco leve, de 2% para risco médio, e de 3% para risco grave.</t>
  </si>
  <si>
    <r>
      <t>Aviso Prévio Indenizado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 = [Rem + 1/12 de 13º + 1/12 de Férias Titular + 1/12 de 1/3 de  Férias] /12 x 30/30 dias x 5% de rotatividade anual</t>
    </r>
  </si>
  <si>
    <r>
      <t xml:space="preserve">Multa do FGTS e contribuição social sobre o Aviso Prévio Indenizado                                    </t>
    </r>
    <r>
      <rPr>
        <b/>
        <sz val="9"/>
        <color indexed="10"/>
        <rFont val="Arial"/>
        <family val="2"/>
      </rPr>
      <t xml:space="preserve">Cálculo do valor = [%FGTSx40%x(Rem+13º+Férias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+1/3xFérias)]x5% de rotatividade</t>
    </r>
  </si>
  <si>
    <r>
      <t xml:space="preserve">Uniformes </t>
    </r>
    <r>
      <rPr>
        <b/>
        <sz val="9"/>
        <color indexed="10"/>
        <rFont val="Arial"/>
        <family val="2"/>
      </rPr>
      <t>(Relação cfe descrito nos estudos preliminares e TR. Utilizou-se valores referência do Banco de Preços)</t>
    </r>
  </si>
  <si>
    <r>
      <t xml:space="preserve">EPIs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</si>
  <si>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Erechim/RS</t>
  </si>
  <si>
    <t>01 DE JANEIRO</t>
  </si>
  <si>
    <r>
      <t xml:space="preserve">Auxílio-Refeição/Alimentação - </t>
    </r>
    <r>
      <rPr>
        <b/>
        <sz val="10"/>
        <color indexed="10"/>
        <rFont val="Arial"/>
        <family val="2"/>
      </rPr>
      <t>Cálculo do valor = [(Qtde x Valor)x(1- Participação (</t>
    </r>
    <r>
      <rPr>
        <b/>
        <sz val="10"/>
        <color indexed="12"/>
        <rFont val="Arial"/>
        <family val="2"/>
      </rPr>
      <t>19%)</t>
    </r>
    <r>
      <rPr>
        <b/>
        <sz val="10"/>
        <color indexed="10"/>
        <rFont val="Arial"/>
        <family val="2"/>
      </rPr>
      <t xml:space="preserve">)] </t>
    </r>
  </si>
  <si>
    <t>Outros</t>
  </si>
  <si>
    <r>
      <t xml:space="preserve">Equipamentos e insumos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</si>
  <si>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Relógio ponto biométrico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</si>
  <si>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(Lei Municipal de Erechim)</t>
    </r>
  </si>
  <si>
    <r>
      <t xml:space="preserve">     </t>
    </r>
    <r>
      <rPr>
        <b/>
        <sz val="10"/>
        <rFont val="Arial"/>
        <family val="2"/>
      </rPr>
      <t xml:space="preserve">A.4) Participação do empregado em percentual do salário-base </t>
    </r>
    <r>
      <rPr>
        <b/>
        <sz val="10"/>
        <color indexed="10"/>
        <rFont val="Arial"/>
        <family val="2"/>
      </rPr>
      <t>(cláus. 20)</t>
    </r>
  </si>
  <si>
    <r>
      <t xml:space="preserve">TRABALHADOR NOS SERVIÇOS DE COPEIRAGEM                                                                                 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</si>
  <si>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r>
      <t xml:space="preserve">ANEXO V
</t>
    </r>
    <r>
      <rPr>
        <b/>
        <sz val="18"/>
        <color indexed="10"/>
        <rFont val="Arial"/>
        <family val="2"/>
      </rPr>
      <t xml:space="preserve">Pregão nº 03/2022
</t>
    </r>
    <r>
      <rPr>
        <b/>
        <sz val="18"/>
        <rFont val="Arial"/>
        <family val="2"/>
      </rP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</si>
  <si>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t>23363.000038/2022-82</t>
  </si>
  <si>
    <r>
      <t>Dia: xx</t>
    </r>
    <r>
      <rPr>
        <b/>
        <sz val="10"/>
        <color indexed="10"/>
        <rFont val="Arial"/>
        <family val="2"/>
      </rPr>
      <t>/xx/2022 às xxhxxmin</t>
    </r>
  </si>
  <si>
    <t>XX/XX/2022</t>
  </si>
  <si>
    <t>01/01/2022 A 31/12/2022 Sind das Empr de Asseio e Conservação do Est do R G S eSind dos Trabalhadores de Emp. De Asseio, Conserv, Zeladoria, Recicl de Lixo, Limpeza Urb, Ambiental e de Areas Verdes e Emp. De Ser. Terceiriz.</t>
  </si>
  <si>
    <t>TRABALHADOR NOS SERVIÇOS DE COPEIRAGEM</t>
  </si>
  <si>
    <t>COPEIRO</t>
  </si>
  <si>
    <t xml:space="preserve"> TRABALHADOR NOS SERVIÇOS DE COPEIRAGEM                              44 horas semanais</t>
  </si>
  <si>
    <t>03/2022</t>
  </si>
  <si>
    <r>
      <t xml:space="preserve">Salário-Base </t>
    </r>
    <r>
      <rPr>
        <b/>
        <sz val="10"/>
        <color indexed="10"/>
        <rFont val="Arial"/>
        <family val="2"/>
      </rPr>
      <t>(conforme cláusula QUARTA da CCT)</t>
    </r>
  </si>
  <si>
    <r>
      <t xml:space="preserve">Salário Normativo da Categoria Profissional - </t>
    </r>
    <r>
      <rPr>
        <b/>
        <sz val="10"/>
        <color indexed="12"/>
        <rFont val="Arial"/>
        <family val="2"/>
      </rPr>
      <t>para a jornada de 44 h/sem</t>
    </r>
  </si>
  <si>
    <r>
      <t xml:space="preserve">Adicional de insalubridade </t>
    </r>
    <r>
      <rPr>
        <b/>
        <sz val="10"/>
        <color indexed="10"/>
        <rFont val="Arial"/>
        <family val="2"/>
      </rPr>
      <t>(conforme cláusula DÉCIMA SÉTIMA da CCT)</t>
    </r>
  </si>
  <si>
    <r>
      <t xml:space="preserve">      B.1) Valor do auxílio-alimentação </t>
    </r>
    <r>
      <rPr>
        <b/>
        <sz val="9"/>
        <color indexed="10"/>
        <rFont val="Arial"/>
        <family val="2"/>
      </rPr>
      <t>(conforme cláusula DÉCIMA OITAVA da CCT)</t>
    </r>
  </si>
  <si>
    <t>QUANTIDADE DE PESSOAL ALOCADO NA EXECUÇÃO CONTRATUAL (item 6.2.e do Anexo VII da IN nº 5/2017)</t>
  </si>
  <si>
    <r>
      <t xml:space="preserve">Multa do FGTS e contribuição social  sobre o Aviso Prévio Trabalhado
</t>
    </r>
    <r>
      <rPr>
        <b/>
        <sz val="9"/>
        <color indexed="10"/>
        <rFont val="Arial"/>
        <family val="2"/>
      </rPr>
      <t xml:space="preserve">Cálculo do valor = [%FGTSx40%x(Rem+13º+Férias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</t>
    </r>
    <r>
      <rPr>
        <b/>
        <sz val="9"/>
        <color indexed="10"/>
        <rFont val="Arial"/>
        <family val="2"/>
      </rPr>
      <t xml:space="preserve">100% </t>
    </r>
    <r>
      <rPr>
        <b/>
        <sz val="9"/>
        <color indexed="10"/>
        <rFont val="Arial"/>
        <family val="2"/>
      </rPr>
      <t>dos empregados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</si>
</sst>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#,##0.0000000"/>
    <numFmt numFmtId="171" formatCode="#,##0.00;[Red]#,##0.00"/>
    <numFmt numFmtId="172" formatCode="0.000%"/>
    <numFmt numFmtId="173" formatCode="[$-416]dddd\,\ d&quot; de &quot;mmmm&quot; de &quot;yyyy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4" fillId="16" borderId="4" applyNumberFormat="0" applyAlignment="0" applyProtection="0"/>
    <xf numFmtId="0" fontId="5" fillId="17" borderId="5" applyNumberFormat="0" applyAlignment="0" applyProtection="0"/>
    <xf numFmtId="0" fontId="6" fillId="0" borderId="6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7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0" fontId="10" fillId="16" borderId="8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7" fillId="26" borderId="10" applyNumberFormat="0" applyAlignment="0" applyProtection="0"/>
    <xf numFmtId="164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27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10" fontId="18" fillId="0" borderId="0" xfId="67" applyNumberFormat="1" applyFont="1" applyFill="1" applyBorder="1" applyAlignment="1" applyProtection="1">
      <alignment horizontal="center" vertical="center"/>
      <protection/>
    </xf>
    <xf numFmtId="165" fontId="18" fillId="0" borderId="0" xfId="52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3" fillId="0" borderId="11" xfId="0" applyNumberFormat="1" applyFont="1" applyFill="1" applyBorder="1" applyAlignment="1">
      <alignment vertical="center"/>
    </xf>
    <xf numFmtId="4" fontId="25" fillId="23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right" vertical="center"/>
    </xf>
    <xf numFmtId="2" fontId="23" fillId="23" borderId="11" xfId="0" applyNumberFormat="1" applyFont="1" applyFill="1" applyBorder="1" applyAlignment="1">
      <alignment horizontal="right" vertical="center"/>
    </xf>
    <xf numFmtId="0" fontId="18" fillId="28" borderId="0" xfId="0" applyFont="1" applyFill="1" applyAlignment="1">
      <alignment/>
    </xf>
    <xf numFmtId="0" fontId="25" fillId="23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left" vertical="center" wrapText="1"/>
    </xf>
    <xf numFmtId="168" fontId="23" fillId="0" borderId="11" xfId="0" applyNumberFormat="1" applyFont="1" applyBorder="1" applyAlignment="1">
      <alignment horizontal="left" vertical="center" wrapText="1"/>
    </xf>
    <xf numFmtId="169" fontId="23" fillId="0" borderId="11" xfId="0" applyNumberFormat="1" applyFont="1" applyBorder="1" applyAlignment="1">
      <alignment horizontal="right" vertical="center"/>
    </xf>
    <xf numFmtId="169" fontId="23" fillId="23" borderId="11" xfId="0" applyNumberFormat="1" applyFont="1" applyFill="1" applyBorder="1" applyAlignment="1">
      <alignment horizontal="right" vertical="center"/>
    </xf>
    <xf numFmtId="4" fontId="23" fillId="23" borderId="11" xfId="0" applyNumberFormat="1" applyFont="1" applyFill="1" applyBorder="1" applyAlignment="1">
      <alignment horizontal="right" vertical="center"/>
    </xf>
    <xf numFmtId="0" fontId="23" fillId="29" borderId="13" xfId="0" applyFont="1" applyFill="1" applyBorder="1" applyAlignment="1">
      <alignment horizontal="right" vertical="center"/>
    </xf>
    <xf numFmtId="0" fontId="0" fillId="29" borderId="14" xfId="0" applyFill="1" applyBorder="1" applyAlignment="1">
      <alignment horizontal="right" vertical="center"/>
    </xf>
    <xf numFmtId="10" fontId="23" fillId="29" borderId="14" xfId="0" applyNumberFormat="1" applyFont="1" applyFill="1" applyBorder="1" applyAlignment="1">
      <alignment horizontal="right" vertical="center"/>
    </xf>
    <xf numFmtId="4" fontId="23" fillId="29" borderId="15" xfId="0" applyNumberFormat="1" applyFont="1" applyFill="1" applyBorder="1" applyAlignment="1">
      <alignment horizontal="right" vertical="center"/>
    </xf>
    <xf numFmtId="0" fontId="25" fillId="23" borderId="11" xfId="0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3" fontId="39" fillId="0" borderId="11" xfId="0" applyNumberFormat="1" applyFont="1" applyBorder="1" applyAlignment="1" applyProtection="1">
      <alignment vertical="center"/>
      <protection/>
    </xf>
    <xf numFmtId="10" fontId="39" fillId="0" borderId="11" xfId="0" applyNumberFormat="1" applyFont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10" fontId="39" fillId="0" borderId="11" xfId="0" applyNumberFormat="1" applyFont="1" applyBorder="1" applyAlignment="1">
      <alignment vertical="center"/>
    </xf>
    <xf numFmtId="0" fontId="0" fillId="2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23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/>
    </xf>
    <xf numFmtId="4" fontId="23" fillId="23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/>
    </xf>
    <xf numFmtId="4" fontId="23" fillId="23" borderId="11" xfId="0" applyNumberFormat="1" applyFont="1" applyFill="1" applyBorder="1" applyAlignment="1">
      <alignment horizontal="right" vertical="center" wrapText="1"/>
    </xf>
    <xf numFmtId="0" fontId="42" fillId="29" borderId="13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29" borderId="15" xfId="0" applyFill="1" applyBorder="1" applyAlignment="1">
      <alignment horizontal="center" vertical="center"/>
    </xf>
    <xf numFmtId="4" fontId="25" fillId="23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0" fontId="23" fillId="0" borderId="11" xfId="0" applyNumberFormat="1" applyFont="1" applyBorder="1" applyAlignment="1">
      <alignment horizontal="right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18" fillId="23" borderId="0" xfId="0" applyFont="1" applyFill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/>
    </xf>
    <xf numFmtId="164" fontId="24" fillId="27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9" fontId="23" fillId="0" borderId="16" xfId="0" applyNumberFormat="1" applyFont="1" applyBorder="1" applyAlignment="1">
      <alignment horizontal="center" vertical="center" wrapText="1"/>
    </xf>
    <xf numFmtId="164" fontId="23" fillId="23" borderId="11" xfId="67" applyFont="1" applyFill="1" applyBorder="1" applyAlignment="1">
      <alignment horizontal="right" vertical="center" wrapText="1"/>
    </xf>
    <xf numFmtId="0" fontId="18" fillId="30" borderId="0" xfId="0" applyFont="1" applyFill="1" applyAlignment="1">
      <alignment/>
    </xf>
    <xf numFmtId="4" fontId="39" fillId="0" borderId="11" xfId="0" applyNumberFormat="1" applyFont="1" applyFill="1" applyBorder="1" applyAlignment="1" applyProtection="1">
      <alignment vertical="center"/>
      <protection/>
    </xf>
    <xf numFmtId="0" fontId="23" fillId="2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23" fillId="23" borderId="13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0" fontId="42" fillId="29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2" fillId="29" borderId="14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166" fontId="46" fillId="0" borderId="11" xfId="0" applyNumberFormat="1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top"/>
    </xf>
    <xf numFmtId="0" fontId="23" fillId="23" borderId="1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9" fillId="29" borderId="13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23" fillId="29" borderId="11" xfId="0" applyFont="1" applyFill="1" applyBorder="1" applyAlignment="1">
      <alignment horizontal="right" vertical="center"/>
    </xf>
    <xf numFmtId="49" fontId="31" fillId="0" borderId="11" xfId="0" applyNumberFormat="1" applyFont="1" applyBorder="1" applyAlignment="1">
      <alignment horizontal="left" vertical="center" wrapText="1"/>
    </xf>
    <xf numFmtId="0" fontId="25" fillId="23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/>
    </xf>
    <xf numFmtId="0" fontId="25" fillId="0" borderId="11" xfId="56" applyFont="1" applyBorder="1" applyAlignment="1">
      <alignment horizontal="left" vertical="center"/>
      <protection/>
    </xf>
    <xf numFmtId="0" fontId="24" fillId="0" borderId="11" xfId="0" applyFont="1" applyFill="1" applyBorder="1" applyAlignment="1">
      <alignment horizontal="justify" vertical="center" wrapText="1"/>
    </xf>
    <xf numFmtId="0" fontId="31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25" fillId="2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42" fillId="29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31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center" wrapText="1"/>
    </xf>
    <xf numFmtId="0" fontId="38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 wrapText="1"/>
    </xf>
    <xf numFmtId="0" fontId="28" fillId="29" borderId="11" xfId="0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shrinkToFit="1"/>
    </xf>
    <xf numFmtId="0" fontId="25" fillId="0" borderId="11" xfId="0" applyFont="1" applyFill="1" applyBorder="1" applyAlignment="1">
      <alignment horizontal="left" vertical="center"/>
    </xf>
    <xf numFmtId="0" fontId="37" fillId="29" borderId="11" xfId="0" applyFont="1" applyFill="1" applyBorder="1" applyAlignment="1">
      <alignment horizontal="right" vertical="center"/>
    </xf>
    <xf numFmtId="0" fontId="35" fillId="29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23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30" fillId="23" borderId="11" xfId="0" applyFont="1" applyFill="1" applyBorder="1" applyAlignment="1">
      <alignment horizontal="right" vertical="center"/>
    </xf>
    <xf numFmtId="0" fontId="23" fillId="23" borderId="11" xfId="0" applyFont="1" applyFill="1" applyBorder="1" applyAlignment="1">
      <alignment horizontal="right" vertical="center" wrapText="1"/>
    </xf>
    <xf numFmtId="0" fontId="23" fillId="29" borderId="11" xfId="0" applyFont="1" applyFill="1" applyBorder="1" applyAlignment="1">
      <alignment horizontal="right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36" fillId="29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4" fontId="32" fillId="0" borderId="11" xfId="0" applyNumberFormat="1" applyFont="1" applyFill="1" applyBorder="1" applyAlignment="1">
      <alignment horizontal="right" vertical="center" wrapText="1"/>
    </xf>
    <xf numFmtId="0" fontId="0" fillId="29" borderId="11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39" fillId="23" borderId="11" xfId="0" applyFont="1" applyFill="1" applyBorder="1" applyAlignment="1">
      <alignment horizontal="center" vertical="center" wrapText="1"/>
    </xf>
    <xf numFmtId="167" fontId="32" fillId="0" borderId="11" xfId="0" applyNumberFormat="1" applyFont="1" applyFill="1" applyBorder="1" applyAlignment="1">
      <alignment horizontal="right" vertical="center"/>
    </xf>
    <xf numFmtId="166" fontId="32" fillId="0" borderId="1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right" vertical="center" wrapText="1" shrinkToFit="1"/>
    </xf>
    <xf numFmtId="0" fontId="24" fillId="0" borderId="11" xfId="0" applyFont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" fontId="39" fillId="23" borderId="11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Bom" xfId="33"/>
    <cellStyle name="Cabeçalho 1" xfId="34"/>
    <cellStyle name="Cabeçalho 2" xfId="35"/>
    <cellStyle name="Cabeçalho 3" xfId="36"/>
    <cellStyle name="Cabeçalho 4" xfId="37"/>
    <cellStyle name="Cálculo" xfId="38"/>
    <cellStyle name="Célula de Verificação" xfId="39"/>
    <cellStyle name="Célula Ligada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Hyperlink" xfId="49"/>
    <cellStyle name="Followed Hyperlink" xfId="50"/>
    <cellStyle name="Incorreto" xfId="51"/>
    <cellStyle name="Currency" xfId="52"/>
    <cellStyle name="Currency [0]" xfId="53"/>
    <cellStyle name="Neutra" xfId="54"/>
    <cellStyle name="Neutro" xfId="55"/>
    <cellStyle name="Normal 2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5" xfId="64"/>
    <cellStyle name="Total" xfId="65"/>
    <cellStyle name="Verificar Célul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3"/>
  <sheetViews>
    <sheetView tabSelected="1" view="pageBreakPreview" zoomScaleSheetLayoutView="100" zoomScalePageLayoutView="0" workbookViewId="0" topLeftCell="A79">
      <selection activeCell="B86" sqref="B86:H86"/>
    </sheetView>
  </sheetViews>
  <sheetFormatPr defaultColWidth="9.140625" defaultRowHeight="12.75"/>
  <cols>
    <col min="1" max="1" width="15.28125" style="3" customWidth="1"/>
    <col min="2" max="2" width="11.140625" style="3" customWidth="1"/>
    <col min="3" max="3" width="13.28125" style="3" customWidth="1"/>
    <col min="4" max="4" width="10.140625" style="3" customWidth="1"/>
    <col min="5" max="5" width="12.421875" style="3" customWidth="1"/>
    <col min="6" max="6" width="11.28125" style="3" customWidth="1"/>
    <col min="7" max="7" width="9.8515625" style="3" customWidth="1"/>
    <col min="8" max="8" width="13.421875" style="3" customWidth="1"/>
    <col min="9" max="9" width="14.57421875" style="4" customWidth="1"/>
    <col min="10" max="10" width="10.7109375" style="3" customWidth="1"/>
    <col min="11" max="11" width="11.140625" style="3" customWidth="1"/>
    <col min="12" max="12" width="7.421875" style="3" customWidth="1"/>
    <col min="13" max="13" width="6.57421875" style="3" customWidth="1"/>
    <col min="14" max="15" width="9.28125" style="3" customWidth="1"/>
    <col min="16" max="16384" width="9.140625" style="3" customWidth="1"/>
  </cols>
  <sheetData>
    <row r="1" ht="12.75" thickBot="1"/>
    <row r="2" spans="1:9" ht="75" customHeight="1" thickBot="1">
      <c r="A2" s="175" t="s">
        <v>142</v>
      </c>
      <c r="B2" s="176"/>
      <c r="C2" s="176"/>
      <c r="D2" s="176"/>
      <c r="E2" s="176"/>
      <c r="F2" s="176"/>
      <c r="G2" s="176"/>
      <c r="H2" s="176"/>
      <c r="I2" s="177"/>
    </row>
    <row r="3" spans="1:9" ht="75" customHeight="1" thickBot="1">
      <c r="A3" s="178" t="s">
        <v>143</v>
      </c>
      <c r="B3" s="179"/>
      <c r="C3" s="179"/>
      <c r="D3" s="179"/>
      <c r="E3" s="179"/>
      <c r="F3" s="179"/>
      <c r="G3" s="179"/>
      <c r="H3" s="179"/>
      <c r="I3" s="180"/>
    </row>
    <row r="4" spans="1:9" ht="15.75" customHeight="1">
      <c r="A4" s="181" t="s">
        <v>0</v>
      </c>
      <c r="B4" s="181"/>
      <c r="C4" s="181"/>
      <c r="D4" s="181"/>
      <c r="E4" s="181"/>
      <c r="F4" s="182" t="s">
        <v>144</v>
      </c>
      <c r="G4" s="183"/>
      <c r="H4" s="183"/>
      <c r="I4" s="183"/>
    </row>
    <row r="5" spans="1:9" ht="15.75" customHeight="1">
      <c r="A5" s="124" t="s">
        <v>1</v>
      </c>
      <c r="B5" s="124"/>
      <c r="C5" s="124"/>
      <c r="D5" s="124"/>
      <c r="E5" s="124"/>
      <c r="F5" s="184" t="s">
        <v>151</v>
      </c>
      <c r="G5" s="184"/>
      <c r="H5" s="184"/>
      <c r="I5" s="184"/>
    </row>
    <row r="6" spans="1:9" ht="15.75" customHeight="1">
      <c r="A6" s="124" t="s">
        <v>145</v>
      </c>
      <c r="B6" s="124"/>
      <c r="C6" s="124"/>
      <c r="D6" s="124"/>
      <c r="E6" s="124"/>
      <c r="F6" s="124"/>
      <c r="G6" s="124"/>
      <c r="H6" s="124"/>
      <c r="I6" s="124"/>
    </row>
    <row r="7" spans="1:9" ht="20.25" customHeight="1">
      <c r="A7" s="127" t="s">
        <v>119</v>
      </c>
      <c r="B7" s="127"/>
      <c r="C7" s="127"/>
      <c r="D7" s="127"/>
      <c r="E7" s="127"/>
      <c r="F7" s="127"/>
      <c r="G7" s="127"/>
      <c r="H7" s="127"/>
      <c r="I7" s="127"/>
    </row>
    <row r="8" spans="1:9" ht="15.75" customHeight="1">
      <c r="A8" s="1" t="s">
        <v>2</v>
      </c>
      <c r="B8" s="124" t="s">
        <v>3</v>
      </c>
      <c r="C8" s="124"/>
      <c r="D8" s="124"/>
      <c r="E8" s="124"/>
      <c r="F8" s="124"/>
      <c r="G8" s="124"/>
      <c r="H8" s="173" t="s">
        <v>146</v>
      </c>
      <c r="I8" s="173"/>
    </row>
    <row r="9" spans="1:9" ht="15.75" customHeight="1">
      <c r="A9" s="1" t="s">
        <v>4</v>
      </c>
      <c r="B9" s="124" t="s">
        <v>5</v>
      </c>
      <c r="C9" s="124"/>
      <c r="D9" s="124"/>
      <c r="E9" s="124"/>
      <c r="F9" s="124"/>
      <c r="G9" s="124"/>
      <c r="H9" s="170" t="s">
        <v>134</v>
      </c>
      <c r="I9" s="170"/>
    </row>
    <row r="10" spans="1:9" ht="117" customHeight="1">
      <c r="A10" s="1" t="s">
        <v>6</v>
      </c>
      <c r="B10" s="124" t="s">
        <v>7</v>
      </c>
      <c r="C10" s="124"/>
      <c r="D10" s="124"/>
      <c r="E10" s="124"/>
      <c r="F10" s="124"/>
      <c r="G10" s="124"/>
      <c r="H10" s="170" t="s">
        <v>147</v>
      </c>
      <c r="I10" s="170"/>
    </row>
    <row r="11" spans="1:9" ht="15.75" customHeight="1">
      <c r="A11" s="1" t="s">
        <v>8</v>
      </c>
      <c r="B11" s="124" t="s">
        <v>9</v>
      </c>
      <c r="C11" s="124"/>
      <c r="D11" s="124"/>
      <c r="E11" s="124"/>
      <c r="F11" s="124"/>
      <c r="G11" s="124"/>
      <c r="H11" s="170">
        <v>12</v>
      </c>
      <c r="I11" s="170"/>
    </row>
    <row r="12" spans="1:12" ht="9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8"/>
      <c r="K12" s="9"/>
      <c r="L12" s="10"/>
    </row>
    <row r="13" spans="1:256" s="11" customFormat="1" ht="21.75" customHeight="1">
      <c r="A13" s="127" t="s">
        <v>13</v>
      </c>
      <c r="B13" s="127"/>
      <c r="C13" s="127"/>
      <c r="D13" s="127"/>
      <c r="E13" s="127"/>
      <c r="F13" s="127"/>
      <c r="G13" s="127"/>
      <c r="H13" s="127"/>
      <c r="I13" s="12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9" ht="78" customHeight="1">
      <c r="A14" s="1">
        <v>1</v>
      </c>
      <c r="B14" s="124" t="s">
        <v>14</v>
      </c>
      <c r="C14" s="124"/>
      <c r="D14" s="124"/>
      <c r="E14" s="124"/>
      <c r="F14" s="124"/>
      <c r="G14" s="124"/>
      <c r="H14" s="169" t="s">
        <v>148</v>
      </c>
      <c r="I14" s="169"/>
    </row>
    <row r="15" spans="1:9" ht="15.75" customHeight="1">
      <c r="A15" s="1">
        <v>2</v>
      </c>
      <c r="B15" s="124" t="s">
        <v>15</v>
      </c>
      <c r="C15" s="124"/>
      <c r="D15" s="124"/>
      <c r="E15" s="124"/>
      <c r="F15" s="124"/>
      <c r="G15" s="124"/>
      <c r="H15" s="166">
        <v>5134</v>
      </c>
      <c r="I15" s="166"/>
    </row>
    <row r="16" spans="1:9" ht="15.75" customHeight="1">
      <c r="A16" s="1">
        <v>3</v>
      </c>
      <c r="B16" s="124" t="s">
        <v>153</v>
      </c>
      <c r="C16" s="124"/>
      <c r="D16" s="124"/>
      <c r="E16" s="124"/>
      <c r="F16" s="124"/>
      <c r="G16" s="124"/>
      <c r="H16" s="167">
        <v>1314.09</v>
      </c>
      <c r="I16" s="167"/>
    </row>
    <row r="17" spans="1:9" ht="33" customHeight="1">
      <c r="A17" s="1">
        <v>4</v>
      </c>
      <c r="B17" s="124" t="s">
        <v>16</v>
      </c>
      <c r="C17" s="124"/>
      <c r="D17" s="124"/>
      <c r="E17" s="124"/>
      <c r="F17" s="124"/>
      <c r="G17" s="124"/>
      <c r="H17" s="157" t="s">
        <v>149</v>
      </c>
      <c r="I17" s="157"/>
    </row>
    <row r="18" spans="1:9" ht="15.75" customHeight="1">
      <c r="A18" s="1">
        <v>5</v>
      </c>
      <c r="B18" s="124" t="s">
        <v>17</v>
      </c>
      <c r="C18" s="124"/>
      <c r="D18" s="124"/>
      <c r="E18" s="124"/>
      <c r="F18" s="124"/>
      <c r="G18" s="124"/>
      <c r="H18" s="157" t="s">
        <v>135</v>
      </c>
      <c r="I18" s="157"/>
    </row>
    <row r="19" spans="1:9" ht="9.75" customHeight="1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 ht="22.5" customHeight="1">
      <c r="A20" s="105" t="s">
        <v>18</v>
      </c>
      <c r="B20" s="105"/>
      <c r="C20" s="105"/>
      <c r="D20" s="105"/>
      <c r="E20" s="105"/>
      <c r="F20" s="105"/>
      <c r="G20" s="105"/>
      <c r="H20" s="105"/>
      <c r="I20" s="105"/>
    </row>
    <row r="21" spans="1:9" ht="43.5" customHeight="1">
      <c r="A21" s="171" t="s">
        <v>10</v>
      </c>
      <c r="B21" s="171"/>
      <c r="C21" s="171"/>
      <c r="D21" s="171"/>
      <c r="E21" s="171"/>
      <c r="F21" s="86" t="s">
        <v>11</v>
      </c>
      <c r="G21" s="86"/>
      <c r="H21" s="172" t="s">
        <v>12</v>
      </c>
      <c r="I21" s="172"/>
    </row>
    <row r="22" spans="1:9" s="7" customFormat="1" ht="29.25" customHeight="1">
      <c r="A22" s="160" t="s">
        <v>150</v>
      </c>
      <c r="B22" s="161"/>
      <c r="C22" s="161"/>
      <c r="D22" s="161"/>
      <c r="E22" s="162"/>
      <c r="F22" s="160" t="s">
        <v>117</v>
      </c>
      <c r="G22" s="162"/>
      <c r="H22" s="163">
        <v>1</v>
      </c>
      <c r="I22" s="164"/>
    </row>
    <row r="23" spans="1:9" s="7" customFormat="1" ht="15.75" customHeight="1">
      <c r="A23" s="165" t="s">
        <v>118</v>
      </c>
      <c r="B23" s="165"/>
      <c r="C23" s="165"/>
      <c r="D23" s="165"/>
      <c r="E23" s="165"/>
      <c r="F23" s="165"/>
      <c r="G23" s="165"/>
      <c r="H23" s="174">
        <v>1</v>
      </c>
      <c r="I23" s="174"/>
    </row>
    <row r="24" spans="1:9" ht="9" customHeight="1">
      <c r="A24" s="159"/>
      <c r="B24" s="159"/>
      <c r="C24" s="159"/>
      <c r="D24" s="159"/>
      <c r="E24" s="159"/>
      <c r="F24" s="159"/>
      <c r="G24" s="159"/>
      <c r="H24" s="159"/>
      <c r="I24" s="159"/>
    </row>
    <row r="25" spans="1:9" ht="22.5" customHeight="1">
      <c r="A25" s="126" t="s">
        <v>19</v>
      </c>
      <c r="B25" s="126"/>
      <c r="C25" s="126"/>
      <c r="D25" s="126"/>
      <c r="E25" s="126"/>
      <c r="F25" s="126"/>
      <c r="G25" s="126"/>
      <c r="H25" s="126"/>
      <c r="I25" s="126"/>
    </row>
    <row r="26" spans="1:9" s="14" customFormat="1" ht="30" customHeight="1">
      <c r="A26" s="12">
        <v>1</v>
      </c>
      <c r="B26" s="127" t="s">
        <v>20</v>
      </c>
      <c r="C26" s="127"/>
      <c r="D26" s="127"/>
      <c r="E26" s="127"/>
      <c r="F26" s="127"/>
      <c r="G26" s="127"/>
      <c r="H26" s="12" t="s">
        <v>21</v>
      </c>
      <c r="I26" s="12" t="s">
        <v>22</v>
      </c>
    </row>
    <row r="27" spans="1:9" ht="15.75" customHeight="1">
      <c r="A27" s="1" t="s">
        <v>2</v>
      </c>
      <c r="B27" s="124" t="s">
        <v>152</v>
      </c>
      <c r="C27" s="124"/>
      <c r="D27" s="124"/>
      <c r="E27" s="124"/>
      <c r="F27" s="124"/>
      <c r="G27" s="124"/>
      <c r="H27" s="124"/>
      <c r="I27" s="15">
        <f>$H$16</f>
        <v>1314.09</v>
      </c>
    </row>
    <row r="28" spans="1:9" ht="31.5" customHeight="1">
      <c r="A28" s="1" t="s">
        <v>4</v>
      </c>
      <c r="B28" s="128" t="s">
        <v>154</v>
      </c>
      <c r="C28" s="156"/>
      <c r="D28" s="156"/>
      <c r="E28" s="156"/>
      <c r="F28" s="156"/>
      <c r="G28" s="156"/>
      <c r="H28" s="82">
        <v>0.2</v>
      </c>
      <c r="I28" s="15">
        <f>$I$27*$H$28</f>
        <v>262.818</v>
      </c>
    </row>
    <row r="29" spans="1:9" ht="15.75" customHeight="1">
      <c r="A29" s="152" t="s">
        <v>25</v>
      </c>
      <c r="B29" s="152"/>
      <c r="C29" s="152"/>
      <c r="D29" s="152"/>
      <c r="E29" s="152"/>
      <c r="F29" s="152"/>
      <c r="G29" s="152"/>
      <c r="H29" s="152"/>
      <c r="I29" s="16">
        <f>SUM(I27:I28)</f>
        <v>1576.908</v>
      </c>
    </row>
    <row r="30" spans="1:9" ht="9.75" customHeight="1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9" ht="15.75" customHeight="1">
      <c r="A31" s="154" t="s">
        <v>26</v>
      </c>
      <c r="B31" s="154"/>
      <c r="C31" s="154"/>
      <c r="D31" s="154"/>
      <c r="E31" s="154"/>
      <c r="F31" s="154"/>
      <c r="G31" s="154"/>
      <c r="H31" s="154"/>
      <c r="I31" s="154"/>
    </row>
    <row r="32" spans="1:9" ht="9.75" customHeight="1">
      <c r="A32" s="155"/>
      <c r="B32" s="155"/>
      <c r="C32" s="155"/>
      <c r="D32" s="155"/>
      <c r="E32" s="155"/>
      <c r="F32" s="155"/>
      <c r="G32" s="155"/>
      <c r="H32" s="155"/>
      <c r="I32" s="155"/>
    </row>
    <row r="33" spans="1:9" ht="21.75" customHeight="1">
      <c r="A33" s="122" t="s">
        <v>27</v>
      </c>
      <c r="B33" s="122"/>
      <c r="C33" s="122"/>
      <c r="D33" s="122"/>
      <c r="E33" s="122"/>
      <c r="F33" s="122"/>
      <c r="G33" s="122"/>
      <c r="H33" s="122"/>
      <c r="I33" s="122"/>
    </row>
    <row r="34" spans="1:9" ht="25.5" customHeight="1">
      <c r="A34" s="149" t="s">
        <v>104</v>
      </c>
      <c r="B34" s="149"/>
      <c r="C34" s="149"/>
      <c r="D34" s="149"/>
      <c r="E34" s="149"/>
      <c r="F34" s="149"/>
      <c r="G34" s="149"/>
      <c r="H34" s="149"/>
      <c r="I34" s="149"/>
    </row>
    <row r="35" spans="1:9" ht="15.75" customHeight="1">
      <c r="A35" s="17" t="s">
        <v>28</v>
      </c>
      <c r="B35" s="145" t="s">
        <v>105</v>
      </c>
      <c r="C35" s="145"/>
      <c r="D35" s="145"/>
      <c r="E35" s="145"/>
      <c r="F35" s="145"/>
      <c r="G35" s="145"/>
      <c r="H35" s="145"/>
      <c r="I35" s="5" t="s">
        <v>29</v>
      </c>
    </row>
    <row r="36" spans="1:9" ht="15.75" customHeight="1">
      <c r="A36" s="18" t="s">
        <v>2</v>
      </c>
      <c r="B36" s="131" t="s">
        <v>107</v>
      </c>
      <c r="C36" s="131"/>
      <c r="D36" s="131"/>
      <c r="E36" s="131"/>
      <c r="F36" s="131"/>
      <c r="G36" s="131"/>
      <c r="H36" s="131"/>
      <c r="I36" s="19">
        <f>ROUND($I$29/12,2)</f>
        <v>131.41</v>
      </c>
    </row>
    <row r="37" spans="1:9" ht="15.75" customHeight="1">
      <c r="A37" s="18" t="s">
        <v>4</v>
      </c>
      <c r="B37" s="131" t="s">
        <v>108</v>
      </c>
      <c r="C37" s="150"/>
      <c r="D37" s="150"/>
      <c r="E37" s="150"/>
      <c r="F37" s="150"/>
      <c r="G37" s="150"/>
      <c r="H37" s="150"/>
      <c r="I37" s="19">
        <f>ROUND(($I$29/3)/12,2)</f>
        <v>43.8</v>
      </c>
    </row>
    <row r="38" spans="1:9" ht="19.5" customHeight="1">
      <c r="A38" s="151" t="s">
        <v>30</v>
      </c>
      <c r="B38" s="151"/>
      <c r="C38" s="151"/>
      <c r="D38" s="151"/>
      <c r="E38" s="151"/>
      <c r="F38" s="151"/>
      <c r="G38" s="151"/>
      <c r="H38" s="151"/>
      <c r="I38" s="20">
        <f>SUM(I36+I37)</f>
        <v>175.20999999999998</v>
      </c>
    </row>
    <row r="39" spans="1:9" s="21" customFormat="1" ht="9.75" customHeight="1">
      <c r="A39" s="146"/>
      <c r="B39" s="146"/>
      <c r="C39" s="146"/>
      <c r="D39" s="146"/>
      <c r="E39" s="146"/>
      <c r="F39" s="146"/>
      <c r="G39" s="146"/>
      <c r="H39" s="146"/>
      <c r="I39" s="146"/>
    </row>
    <row r="40" spans="1:9" ht="63" customHeight="1">
      <c r="A40" s="133" t="s">
        <v>109</v>
      </c>
      <c r="B40" s="133"/>
      <c r="C40" s="133"/>
      <c r="D40" s="133"/>
      <c r="E40" s="133"/>
      <c r="F40" s="133"/>
      <c r="G40" s="133"/>
      <c r="H40" s="133"/>
      <c r="I40" s="133"/>
    </row>
    <row r="41" spans="1:9" ht="9.75" customHeight="1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s="7" customFormat="1" ht="32.25" customHeight="1">
      <c r="A42" s="148" t="s">
        <v>121</v>
      </c>
      <c r="B42" s="148"/>
      <c r="C42" s="148"/>
      <c r="D42" s="148"/>
      <c r="E42" s="148"/>
      <c r="F42" s="148"/>
      <c r="G42" s="148"/>
      <c r="H42" s="148"/>
      <c r="I42" s="148"/>
    </row>
    <row r="43" spans="1:9" s="7" customFormat="1" ht="30" customHeight="1">
      <c r="A43" s="22" t="s">
        <v>31</v>
      </c>
      <c r="B43" s="127" t="s">
        <v>32</v>
      </c>
      <c r="C43" s="127"/>
      <c r="D43" s="127"/>
      <c r="E43" s="127"/>
      <c r="F43" s="127"/>
      <c r="G43" s="127"/>
      <c r="H43" s="13" t="s">
        <v>33</v>
      </c>
      <c r="I43" s="13" t="s">
        <v>34</v>
      </c>
    </row>
    <row r="44" spans="1:9" s="7" customFormat="1" ht="15.75" customHeight="1">
      <c r="A44" s="23" t="s">
        <v>2</v>
      </c>
      <c r="B44" s="130" t="s">
        <v>35</v>
      </c>
      <c r="C44" s="130"/>
      <c r="D44" s="130"/>
      <c r="E44" s="130"/>
      <c r="F44" s="130"/>
      <c r="G44" s="130"/>
      <c r="H44" s="24">
        <v>0.2</v>
      </c>
      <c r="I44" s="25">
        <f>ROUND(($I$29+$I$38)*$H$44,2)</f>
        <v>350.42</v>
      </c>
    </row>
    <row r="45" spans="1:9" s="7" customFormat="1" ht="15.75" customHeight="1">
      <c r="A45" s="23" t="s">
        <v>4</v>
      </c>
      <c r="B45" s="124" t="s">
        <v>36</v>
      </c>
      <c r="C45" s="124"/>
      <c r="D45" s="124"/>
      <c r="E45" s="124"/>
      <c r="F45" s="124"/>
      <c r="G45" s="124"/>
      <c r="H45" s="26">
        <v>0.025</v>
      </c>
      <c r="I45" s="25">
        <f>ROUND(($I$29+$I$38)*$H$45,2)</f>
        <v>43.8</v>
      </c>
    </row>
    <row r="46" spans="1:9" s="7" customFormat="1" ht="63" customHeight="1">
      <c r="A46" s="23" t="s">
        <v>6</v>
      </c>
      <c r="B46" s="124" t="s">
        <v>37</v>
      </c>
      <c r="C46" s="124"/>
      <c r="D46" s="27" t="s">
        <v>38</v>
      </c>
      <c r="E46" s="28">
        <v>0.03</v>
      </c>
      <c r="F46" s="27" t="s">
        <v>39</v>
      </c>
      <c r="G46" s="29">
        <v>1</v>
      </c>
      <c r="H46" s="30">
        <f>ROUND((E46*G46),6)</f>
        <v>0.03</v>
      </c>
      <c r="I46" s="25">
        <f>ROUND(($I$29+$I$38)*$H$46,2)</f>
        <v>52.56</v>
      </c>
    </row>
    <row r="47" spans="1:9" s="7" customFormat="1" ht="15.75" customHeight="1">
      <c r="A47" s="23" t="s">
        <v>8</v>
      </c>
      <c r="B47" s="130" t="s">
        <v>40</v>
      </c>
      <c r="C47" s="130"/>
      <c r="D47" s="130"/>
      <c r="E47" s="130"/>
      <c r="F47" s="130"/>
      <c r="G47" s="130"/>
      <c r="H47" s="24">
        <v>0.015</v>
      </c>
      <c r="I47" s="25">
        <f>ROUND(($I$29+$I$38)*$H$47,2)</f>
        <v>26.28</v>
      </c>
    </row>
    <row r="48" spans="1:9" s="7" customFormat="1" ht="15.75" customHeight="1">
      <c r="A48" s="23" t="s">
        <v>23</v>
      </c>
      <c r="B48" s="130" t="s">
        <v>41</v>
      </c>
      <c r="C48" s="130"/>
      <c r="D48" s="130"/>
      <c r="E48" s="130"/>
      <c r="F48" s="130"/>
      <c r="G48" s="130"/>
      <c r="H48" s="24">
        <v>0.01</v>
      </c>
      <c r="I48" s="25">
        <f>ROUND(($I$29+$I$38)*$H$48,2)</f>
        <v>17.52</v>
      </c>
    </row>
    <row r="49" spans="1:9" s="7" customFormat="1" ht="15.75" customHeight="1">
      <c r="A49" s="23" t="s">
        <v>24</v>
      </c>
      <c r="B49" s="124" t="s">
        <v>42</v>
      </c>
      <c r="C49" s="124"/>
      <c r="D49" s="124"/>
      <c r="E49" s="124"/>
      <c r="F49" s="124"/>
      <c r="G49" s="124"/>
      <c r="H49" s="26">
        <v>0.006</v>
      </c>
      <c r="I49" s="25">
        <f>ROUND(($I$29+$I$38)*$H$49,2)</f>
        <v>10.51</v>
      </c>
    </row>
    <row r="50" spans="1:9" ht="15.75" customHeight="1">
      <c r="A50" s="23" t="s">
        <v>43</v>
      </c>
      <c r="B50" s="130" t="s">
        <v>44</v>
      </c>
      <c r="C50" s="130"/>
      <c r="D50" s="130"/>
      <c r="E50" s="130"/>
      <c r="F50" s="130"/>
      <c r="G50" s="130"/>
      <c r="H50" s="24">
        <v>0.002</v>
      </c>
      <c r="I50" s="25">
        <f>ROUND(($I$29+$I$38)*$H$50,2)</f>
        <v>3.5</v>
      </c>
    </row>
    <row r="51" spans="1:9" ht="15.75" customHeight="1">
      <c r="A51" s="23" t="s">
        <v>45</v>
      </c>
      <c r="B51" s="124" t="s">
        <v>46</v>
      </c>
      <c r="C51" s="124"/>
      <c r="D51" s="124"/>
      <c r="E51" s="124"/>
      <c r="F51" s="124"/>
      <c r="G51" s="124"/>
      <c r="H51" s="26">
        <v>0.08</v>
      </c>
      <c r="I51" s="25">
        <f>ROUND(($I$29+$I$38)*$H$51,2)</f>
        <v>140.17</v>
      </c>
    </row>
    <row r="52" spans="1:9" ht="15.75" customHeight="1">
      <c r="A52" s="117" t="s">
        <v>30</v>
      </c>
      <c r="B52" s="117"/>
      <c r="C52" s="117"/>
      <c r="D52" s="117"/>
      <c r="E52" s="117"/>
      <c r="F52" s="117"/>
      <c r="G52" s="117"/>
      <c r="H52" s="31">
        <f>SUM(H44:H51)</f>
        <v>0.36800000000000005</v>
      </c>
      <c r="I52" s="32">
        <f>SUM(I44:I51)</f>
        <v>644.76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33" t="s">
        <v>129</v>
      </c>
      <c r="B54" s="133"/>
      <c r="C54" s="133"/>
      <c r="D54" s="133"/>
      <c r="E54" s="133"/>
      <c r="F54" s="133"/>
      <c r="G54" s="133"/>
      <c r="H54" s="133"/>
      <c r="I54" s="133"/>
    </row>
    <row r="55" spans="1:9" ht="9.75" customHeight="1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ht="18" customHeight="1">
      <c r="A56" s="145" t="s">
        <v>47</v>
      </c>
      <c r="B56" s="145"/>
      <c r="C56" s="145"/>
      <c r="D56" s="145"/>
      <c r="E56" s="145"/>
      <c r="F56" s="145"/>
      <c r="G56" s="145"/>
      <c r="H56" s="145"/>
      <c r="I56" s="145"/>
    </row>
    <row r="57" spans="1:9" ht="18.75" customHeight="1">
      <c r="A57" s="37" t="s">
        <v>48</v>
      </c>
      <c r="B57" s="127" t="s">
        <v>49</v>
      </c>
      <c r="C57" s="127"/>
      <c r="D57" s="127"/>
      <c r="E57" s="127"/>
      <c r="F57" s="127"/>
      <c r="G57" s="127"/>
      <c r="H57" s="127"/>
      <c r="I57" s="13" t="s">
        <v>29</v>
      </c>
    </row>
    <row r="58" spans="1:9" ht="15.75" customHeight="1">
      <c r="A58" s="18" t="s">
        <v>2</v>
      </c>
      <c r="B58" s="128" t="s">
        <v>120</v>
      </c>
      <c r="C58" s="128"/>
      <c r="D58" s="128"/>
      <c r="E58" s="128"/>
      <c r="F58" s="128"/>
      <c r="G58" s="128"/>
      <c r="H58" s="128"/>
      <c r="I58" s="38">
        <f>IF(ROUND(($H$61*$H$59*$H$60)-($I$27*$H$62),2)&lt;0,0,ROUND(($H$61*$H$59*$H$60)-($I$27*$H$62),2))</f>
        <v>97.15</v>
      </c>
    </row>
    <row r="59" spans="1:9" ht="31.5" customHeight="1">
      <c r="A59" s="18"/>
      <c r="B59" s="142" t="s">
        <v>110</v>
      </c>
      <c r="C59" s="142"/>
      <c r="D59" s="142"/>
      <c r="E59" s="142"/>
      <c r="F59" s="142"/>
      <c r="G59" s="142"/>
      <c r="H59" s="39">
        <v>4</v>
      </c>
      <c r="I59" s="40" t="s">
        <v>50</v>
      </c>
    </row>
    <row r="60" spans="1:9" ht="15.75" customHeight="1">
      <c r="A60" s="18"/>
      <c r="B60" s="143" t="s">
        <v>111</v>
      </c>
      <c r="C60" s="143"/>
      <c r="D60" s="143"/>
      <c r="E60" s="143"/>
      <c r="F60" s="143"/>
      <c r="G60" s="143"/>
      <c r="H60" s="85">
        <v>2</v>
      </c>
      <c r="I60" s="40"/>
    </row>
    <row r="61" spans="1:9" ht="15.75" customHeight="1">
      <c r="A61" s="18"/>
      <c r="B61" s="143" t="s">
        <v>112</v>
      </c>
      <c r="C61" s="143"/>
      <c r="D61" s="143"/>
      <c r="E61" s="143"/>
      <c r="F61" s="143"/>
      <c r="G61" s="143"/>
      <c r="H61" s="42">
        <v>22</v>
      </c>
      <c r="I61" s="40"/>
    </row>
    <row r="62" spans="1:9" ht="15.75" customHeight="1">
      <c r="A62" s="18"/>
      <c r="B62" s="144" t="s">
        <v>141</v>
      </c>
      <c r="C62" s="144"/>
      <c r="D62" s="144"/>
      <c r="E62" s="144"/>
      <c r="F62" s="144"/>
      <c r="G62" s="144"/>
      <c r="H62" s="43">
        <v>0.06</v>
      </c>
      <c r="I62" s="41"/>
    </row>
    <row r="63" spans="1:9" ht="15.75" customHeight="1">
      <c r="A63" s="18" t="s">
        <v>4</v>
      </c>
      <c r="B63" s="128" t="s">
        <v>136</v>
      </c>
      <c r="C63" s="128"/>
      <c r="D63" s="128"/>
      <c r="E63" s="128"/>
      <c r="F63" s="128"/>
      <c r="G63" s="128"/>
      <c r="H63" s="128"/>
      <c r="I63" s="38">
        <f>($H$65*$H$64)*(1-$H$66)</f>
        <v>359.6076</v>
      </c>
    </row>
    <row r="64" spans="1:9" ht="15.75" customHeight="1">
      <c r="A64" s="18"/>
      <c r="B64" s="142" t="s">
        <v>155</v>
      </c>
      <c r="C64" s="142"/>
      <c r="D64" s="142"/>
      <c r="E64" s="142"/>
      <c r="F64" s="142"/>
      <c r="G64" s="142"/>
      <c r="H64" s="39">
        <v>20.18</v>
      </c>
      <c r="I64" s="40" t="s">
        <v>50</v>
      </c>
    </row>
    <row r="65" spans="1:9" ht="15.75" customHeight="1">
      <c r="A65" s="44"/>
      <c r="B65" s="142" t="s">
        <v>113</v>
      </c>
      <c r="C65" s="142"/>
      <c r="D65" s="142"/>
      <c r="E65" s="142"/>
      <c r="F65" s="142"/>
      <c r="G65" s="142"/>
      <c r="H65" s="45">
        <v>22</v>
      </c>
      <c r="I65" s="40"/>
    </row>
    <row r="66" spans="1:9" ht="15.75" customHeight="1">
      <c r="A66" s="44"/>
      <c r="B66" s="142" t="s">
        <v>51</v>
      </c>
      <c r="C66" s="142"/>
      <c r="D66" s="142"/>
      <c r="E66" s="142"/>
      <c r="F66" s="142"/>
      <c r="G66" s="142"/>
      <c r="H66" s="46">
        <v>0.19</v>
      </c>
      <c r="I66" s="40"/>
    </row>
    <row r="67" spans="1:9" ht="31.5" customHeight="1">
      <c r="A67" s="18" t="s">
        <v>6</v>
      </c>
      <c r="B67" s="128" t="s">
        <v>137</v>
      </c>
      <c r="C67" s="128"/>
      <c r="D67" s="128"/>
      <c r="E67" s="128"/>
      <c r="F67" s="128"/>
      <c r="G67" s="128"/>
      <c r="H67" s="128"/>
      <c r="I67" s="38">
        <v>0</v>
      </c>
    </row>
    <row r="68" spans="1:9" ht="15.75" customHeight="1">
      <c r="A68" s="47"/>
      <c r="B68" s="117" t="s">
        <v>25</v>
      </c>
      <c r="C68" s="117"/>
      <c r="D68" s="117"/>
      <c r="E68" s="117"/>
      <c r="F68" s="117"/>
      <c r="G68" s="117"/>
      <c r="H68" s="117"/>
      <c r="I68" s="32">
        <f>SUM(I58:I67)</f>
        <v>456.7576</v>
      </c>
    </row>
    <row r="69" spans="1:9" ht="9.75" customHeight="1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ht="47.25" customHeight="1">
      <c r="A70" s="105" t="s">
        <v>116</v>
      </c>
      <c r="B70" s="105"/>
      <c r="C70" s="105"/>
      <c r="D70" s="105"/>
      <c r="E70" s="105"/>
      <c r="F70" s="105"/>
      <c r="G70" s="105"/>
      <c r="H70" s="105"/>
      <c r="I70" s="105"/>
    </row>
    <row r="71" spans="1:9" ht="9.75" customHeight="1">
      <c r="A71" s="141"/>
      <c r="B71" s="141"/>
      <c r="C71" s="141"/>
      <c r="D71" s="141"/>
      <c r="E71" s="141"/>
      <c r="F71" s="141"/>
      <c r="G71" s="141"/>
      <c r="H71" s="141"/>
      <c r="I71" s="141"/>
    </row>
    <row r="72" spans="1:9" ht="21.75" customHeight="1">
      <c r="A72" s="126" t="s">
        <v>52</v>
      </c>
      <c r="B72" s="126"/>
      <c r="C72" s="126"/>
      <c r="D72" s="126"/>
      <c r="E72" s="126"/>
      <c r="F72" s="126"/>
      <c r="G72" s="126"/>
      <c r="H72" s="126"/>
      <c r="I72" s="126"/>
    </row>
    <row r="73" spans="1:9" ht="29.25" customHeight="1">
      <c r="A73" s="13">
        <v>2</v>
      </c>
      <c r="B73" s="127" t="s">
        <v>53</v>
      </c>
      <c r="C73" s="127"/>
      <c r="D73" s="127"/>
      <c r="E73" s="127"/>
      <c r="F73" s="127"/>
      <c r="G73" s="127"/>
      <c r="H73" s="127"/>
      <c r="I73" s="13" t="s">
        <v>29</v>
      </c>
    </row>
    <row r="74" spans="1:9" ht="15.75" customHeight="1">
      <c r="A74" s="48" t="s">
        <v>28</v>
      </c>
      <c r="B74" s="137" t="s">
        <v>106</v>
      </c>
      <c r="C74" s="137"/>
      <c r="D74" s="137"/>
      <c r="E74" s="137"/>
      <c r="F74" s="137"/>
      <c r="G74" s="137"/>
      <c r="H74" s="137"/>
      <c r="I74" s="49">
        <f>$I$38</f>
        <v>175.20999999999998</v>
      </c>
    </row>
    <row r="75" spans="1:9" ht="15.75" customHeight="1">
      <c r="A75" s="48" t="s">
        <v>31</v>
      </c>
      <c r="B75" s="137" t="s">
        <v>32</v>
      </c>
      <c r="C75" s="137"/>
      <c r="D75" s="137"/>
      <c r="E75" s="137"/>
      <c r="F75" s="137"/>
      <c r="G75" s="137"/>
      <c r="H75" s="137"/>
      <c r="I75" s="49">
        <f>$I$52</f>
        <v>644.76</v>
      </c>
    </row>
    <row r="76" spans="1:9" ht="15.75" customHeight="1">
      <c r="A76" s="48" t="s">
        <v>48</v>
      </c>
      <c r="B76" s="137" t="s">
        <v>49</v>
      </c>
      <c r="C76" s="137"/>
      <c r="D76" s="137"/>
      <c r="E76" s="137"/>
      <c r="F76" s="137"/>
      <c r="G76" s="137"/>
      <c r="H76" s="137"/>
      <c r="I76" s="49">
        <f>$I$68</f>
        <v>456.7576</v>
      </c>
    </row>
    <row r="77" spans="1:9" ht="21.75" customHeight="1">
      <c r="A77" s="138" t="s">
        <v>30</v>
      </c>
      <c r="B77" s="138"/>
      <c r="C77" s="138"/>
      <c r="D77" s="138"/>
      <c r="E77" s="138"/>
      <c r="F77" s="138"/>
      <c r="G77" s="138"/>
      <c r="H77" s="138"/>
      <c r="I77" s="83">
        <f>SUM(I74+I75+I76)</f>
        <v>1276.7276000000002</v>
      </c>
    </row>
    <row r="78" spans="1:9" ht="9.75" customHeight="1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s="7" customFormat="1" ht="26.25" customHeight="1">
      <c r="A79" s="122" t="s">
        <v>54</v>
      </c>
      <c r="B79" s="122"/>
      <c r="C79" s="122"/>
      <c r="D79" s="122"/>
      <c r="E79" s="122"/>
      <c r="F79" s="122"/>
      <c r="G79" s="122"/>
      <c r="H79" s="122"/>
      <c r="I79" s="122"/>
    </row>
    <row r="80" spans="1:9" s="7" customFormat="1" ht="28.5" customHeight="1">
      <c r="A80" s="37">
        <v>3</v>
      </c>
      <c r="B80" s="123" t="s">
        <v>55</v>
      </c>
      <c r="C80" s="123"/>
      <c r="D80" s="123"/>
      <c r="E80" s="123"/>
      <c r="F80" s="123"/>
      <c r="G80" s="123"/>
      <c r="H80" s="123"/>
      <c r="I80" s="37" t="s">
        <v>56</v>
      </c>
    </row>
    <row r="81" spans="1:9" s="7" customFormat="1" ht="31.5" customHeight="1">
      <c r="A81" s="18" t="s">
        <v>2</v>
      </c>
      <c r="B81" s="130" t="s">
        <v>130</v>
      </c>
      <c r="C81" s="130"/>
      <c r="D81" s="130"/>
      <c r="E81" s="130"/>
      <c r="F81" s="130"/>
      <c r="G81" s="130"/>
      <c r="H81" s="130"/>
      <c r="I81" s="25">
        <f>ROUND((($I$29)+($I$36)+($I$29/12)+($I$37))/12*(30/30)*0.05,2)</f>
        <v>7.85</v>
      </c>
    </row>
    <row r="82" spans="1:9" s="7" customFormat="1" ht="15.75" customHeight="1">
      <c r="A82" s="18" t="s">
        <v>4</v>
      </c>
      <c r="B82" s="131" t="s">
        <v>123</v>
      </c>
      <c r="C82" s="131"/>
      <c r="D82" s="131"/>
      <c r="E82" s="131"/>
      <c r="F82" s="131"/>
      <c r="G82" s="131"/>
      <c r="H82" s="131"/>
      <c r="I82" s="25">
        <f>ROUND($H$51*$I$81,2)</f>
        <v>0.63</v>
      </c>
    </row>
    <row r="83" spans="1:9" s="7" customFormat="1" ht="31.5" customHeight="1">
      <c r="A83" s="18" t="s">
        <v>6</v>
      </c>
      <c r="B83" s="130" t="s">
        <v>131</v>
      </c>
      <c r="C83" s="130"/>
      <c r="D83" s="130"/>
      <c r="E83" s="130"/>
      <c r="F83" s="130"/>
      <c r="G83" s="130"/>
      <c r="H83" s="130"/>
      <c r="I83" s="25">
        <f>ROUND($H$51*0.4*($I$29+$I$36+$I$96+$I$37)*0.05,2)</f>
        <v>3.05</v>
      </c>
    </row>
    <row r="84" spans="1:9" s="7" customFormat="1" ht="31.5" customHeight="1">
      <c r="A84" s="18" t="s">
        <v>8</v>
      </c>
      <c r="B84" s="136" t="s">
        <v>127</v>
      </c>
      <c r="C84" s="136"/>
      <c r="D84" s="136"/>
      <c r="E84" s="136"/>
      <c r="F84" s="136"/>
      <c r="G84" s="136"/>
      <c r="H84" s="136"/>
      <c r="I84" s="25">
        <f>ROUND((7/30*$I$29)/12*1,2)</f>
        <v>30.66</v>
      </c>
    </row>
    <row r="85" spans="1:9" s="7" customFormat="1" ht="31.5" customHeight="1">
      <c r="A85" s="18" t="s">
        <v>23</v>
      </c>
      <c r="B85" s="130" t="s">
        <v>122</v>
      </c>
      <c r="C85" s="130"/>
      <c r="D85" s="130"/>
      <c r="E85" s="130"/>
      <c r="F85" s="130"/>
      <c r="G85" s="130"/>
      <c r="H85" s="130"/>
      <c r="I85" s="25">
        <f>ROUND($H$52*$I$84,2)</f>
        <v>11.28</v>
      </c>
    </row>
    <row r="86" spans="1:9" s="7" customFormat="1" ht="31.5" customHeight="1">
      <c r="A86" s="18" t="s">
        <v>24</v>
      </c>
      <c r="B86" s="130" t="s">
        <v>157</v>
      </c>
      <c r="C86" s="130"/>
      <c r="D86" s="130"/>
      <c r="E86" s="130"/>
      <c r="F86" s="130"/>
      <c r="G86" s="130"/>
      <c r="H86" s="130"/>
      <c r="I86" s="25">
        <f>ROUND($H$51*0.4*($I$29+$I$36+$I$96+$I$37)*1,2)</f>
        <v>61.09</v>
      </c>
    </row>
    <row r="87" spans="1:9" s="7" customFormat="1" ht="15.75" customHeight="1">
      <c r="A87" s="117" t="s">
        <v>30</v>
      </c>
      <c r="B87" s="117"/>
      <c r="C87" s="117"/>
      <c r="D87" s="117"/>
      <c r="E87" s="117"/>
      <c r="F87" s="117"/>
      <c r="G87" s="117"/>
      <c r="H87" s="117"/>
      <c r="I87" s="32">
        <f>SUM(I81:I86)</f>
        <v>114.56</v>
      </c>
    </row>
    <row r="88" spans="1:9" s="84" customFormat="1" ht="9.75" customHeight="1">
      <c r="A88" s="132"/>
      <c r="B88" s="132"/>
      <c r="C88" s="132"/>
      <c r="D88" s="132"/>
      <c r="E88" s="132"/>
      <c r="F88" s="132"/>
      <c r="G88" s="132"/>
      <c r="H88" s="132"/>
      <c r="I88" s="132"/>
    </row>
    <row r="89" spans="1:9" ht="110.25" customHeight="1">
      <c r="A89" s="105" t="s">
        <v>128</v>
      </c>
      <c r="B89" s="105"/>
      <c r="C89" s="105"/>
      <c r="D89" s="105"/>
      <c r="E89" s="105"/>
      <c r="F89" s="105"/>
      <c r="G89" s="105"/>
      <c r="H89" s="105"/>
      <c r="I89" s="105"/>
    </row>
    <row r="90" spans="1:9" s="7" customFormat="1" ht="9.75" customHeight="1">
      <c r="A90" s="132"/>
      <c r="B90" s="132"/>
      <c r="C90" s="132"/>
      <c r="D90" s="132"/>
      <c r="E90" s="132"/>
      <c r="F90" s="132"/>
      <c r="G90" s="132"/>
      <c r="H90" s="132"/>
      <c r="I90" s="132"/>
    </row>
    <row r="91" spans="1:9" ht="24" customHeight="1">
      <c r="A91" s="126" t="s">
        <v>57</v>
      </c>
      <c r="B91" s="126"/>
      <c r="C91" s="126"/>
      <c r="D91" s="126"/>
      <c r="E91" s="126"/>
      <c r="F91" s="126"/>
      <c r="G91" s="126"/>
      <c r="H91" s="126"/>
      <c r="I91" s="126"/>
    </row>
    <row r="92" spans="1:9" ht="48" customHeight="1">
      <c r="A92" s="134" t="s">
        <v>59</v>
      </c>
      <c r="B92" s="134"/>
      <c r="C92" s="134"/>
      <c r="D92" s="134"/>
      <c r="E92" s="134"/>
      <c r="F92" s="134"/>
      <c r="G92" s="134"/>
      <c r="H92" s="134"/>
      <c r="I92" s="50">
        <f>ROUND($I$29+$I$36+($I$29/12)+$I$37,2)</f>
        <v>1883.53</v>
      </c>
    </row>
    <row r="93" spans="1:9" ht="31.5" customHeight="1">
      <c r="A93" s="133" t="s">
        <v>58</v>
      </c>
      <c r="B93" s="133"/>
      <c r="C93" s="133"/>
      <c r="D93" s="133"/>
      <c r="E93" s="133"/>
      <c r="F93" s="133"/>
      <c r="G93" s="133"/>
      <c r="H93" s="133"/>
      <c r="I93" s="133"/>
    </row>
    <row r="94" spans="1:9" ht="24" customHeight="1">
      <c r="A94" s="135" t="s">
        <v>60</v>
      </c>
      <c r="B94" s="135"/>
      <c r="C94" s="135"/>
      <c r="D94" s="135"/>
      <c r="E94" s="135"/>
      <c r="F94" s="135"/>
      <c r="G94" s="135"/>
      <c r="H94" s="135"/>
      <c r="I94" s="135"/>
    </row>
    <row r="95" spans="1:9" ht="15.75" customHeight="1">
      <c r="A95" s="51" t="s">
        <v>61</v>
      </c>
      <c r="B95" s="123" t="s">
        <v>62</v>
      </c>
      <c r="C95" s="123"/>
      <c r="D95" s="123"/>
      <c r="E95" s="123"/>
      <c r="F95" s="123"/>
      <c r="G95" s="123"/>
      <c r="H95" s="123"/>
      <c r="I95" s="51" t="s">
        <v>29</v>
      </c>
    </row>
    <row r="96" spans="1:9" ht="15.75" customHeight="1">
      <c r="A96" s="18" t="s">
        <v>2</v>
      </c>
      <c r="B96" s="131" t="s">
        <v>63</v>
      </c>
      <c r="C96" s="131"/>
      <c r="D96" s="131"/>
      <c r="E96" s="131"/>
      <c r="F96" s="131"/>
      <c r="G96" s="131"/>
      <c r="H96" s="131"/>
      <c r="I96" s="25">
        <f>ROUND(($I$92/12),2)</f>
        <v>156.96</v>
      </c>
    </row>
    <row r="97" spans="1:9" ht="15.75" customHeight="1">
      <c r="A97" s="18" t="s">
        <v>4</v>
      </c>
      <c r="B97" s="130" t="s">
        <v>64</v>
      </c>
      <c r="C97" s="130"/>
      <c r="D97" s="130"/>
      <c r="E97" s="130"/>
      <c r="F97" s="130"/>
      <c r="G97" s="130"/>
      <c r="H97" s="130"/>
      <c r="I97" s="25">
        <f>ROUND((($I$92/30)*2.96)/12,2)</f>
        <v>15.49</v>
      </c>
    </row>
    <row r="98" spans="1:9" ht="31.5" customHeight="1">
      <c r="A98" s="18" t="s">
        <v>6</v>
      </c>
      <c r="B98" s="130" t="s">
        <v>65</v>
      </c>
      <c r="C98" s="130"/>
      <c r="D98" s="130"/>
      <c r="E98" s="130"/>
      <c r="F98" s="130"/>
      <c r="G98" s="130"/>
      <c r="H98" s="130"/>
      <c r="I98" s="25">
        <f>ROUND((($I$92/30)*5)/12*0.015,2)</f>
        <v>0.39</v>
      </c>
    </row>
    <row r="99" spans="1:9" ht="31.5" customHeight="1">
      <c r="A99" s="18" t="s">
        <v>8</v>
      </c>
      <c r="B99" s="130" t="s">
        <v>66</v>
      </c>
      <c r="C99" s="130"/>
      <c r="D99" s="130"/>
      <c r="E99" s="130"/>
      <c r="F99" s="130"/>
      <c r="G99" s="130"/>
      <c r="H99" s="130"/>
      <c r="I99" s="25">
        <f>ROUND(((($I$92/30)*15)/12)*0.0078,2)</f>
        <v>0.61</v>
      </c>
    </row>
    <row r="100" spans="1:9" ht="31.5" customHeight="1">
      <c r="A100" s="18" t="s">
        <v>23</v>
      </c>
      <c r="B100" s="124" t="s">
        <v>67</v>
      </c>
      <c r="C100" s="124"/>
      <c r="D100" s="124"/>
      <c r="E100" s="124"/>
      <c r="F100" s="124"/>
      <c r="G100" s="124"/>
      <c r="H100" s="124"/>
      <c r="I100" s="52">
        <f>ROUND((($I$29+$I$29/3)/12*4/12)*0.02,2)</f>
        <v>1.17</v>
      </c>
    </row>
    <row r="101" spans="1:9" ht="31.5" customHeight="1">
      <c r="A101" s="53" t="s">
        <v>24</v>
      </c>
      <c r="B101" s="130" t="s">
        <v>114</v>
      </c>
      <c r="C101" s="130"/>
      <c r="D101" s="130"/>
      <c r="E101" s="130"/>
      <c r="F101" s="130"/>
      <c r="G101" s="130"/>
      <c r="H101" s="130"/>
      <c r="I101" s="25">
        <f>ROUND(((($I$92/30)*5)/12),2)</f>
        <v>26.16</v>
      </c>
    </row>
    <row r="102" spans="1:9" ht="15.75" customHeight="1">
      <c r="A102" s="117" t="s">
        <v>30</v>
      </c>
      <c r="B102" s="117"/>
      <c r="C102" s="117"/>
      <c r="D102" s="117"/>
      <c r="E102" s="117"/>
      <c r="F102" s="117"/>
      <c r="G102" s="117"/>
      <c r="H102" s="117"/>
      <c r="I102" s="54">
        <f>SUM(I96:I101)</f>
        <v>200.78</v>
      </c>
    </row>
    <row r="103" spans="1:9" ht="31.5" customHeight="1">
      <c r="A103" s="55" t="s">
        <v>43</v>
      </c>
      <c r="B103" s="124" t="s">
        <v>124</v>
      </c>
      <c r="C103" s="124"/>
      <c r="D103" s="124"/>
      <c r="E103" s="124"/>
      <c r="F103" s="124"/>
      <c r="G103" s="124"/>
      <c r="H103" s="124"/>
      <c r="I103" s="56">
        <f>ROUND($H$52*$I$102,2)</f>
        <v>73.89</v>
      </c>
    </row>
    <row r="104" spans="1:9" ht="14.25" customHeight="1">
      <c r="A104" s="117" t="s">
        <v>30</v>
      </c>
      <c r="B104" s="117"/>
      <c r="C104" s="117"/>
      <c r="D104" s="117"/>
      <c r="E104" s="117"/>
      <c r="F104" s="117"/>
      <c r="G104" s="117"/>
      <c r="H104" s="117"/>
      <c r="I104" s="32">
        <f>SUM(I102:I103)</f>
        <v>274.67</v>
      </c>
    </row>
    <row r="105" spans="1:9" ht="30" customHeight="1">
      <c r="A105" s="126" t="s">
        <v>68</v>
      </c>
      <c r="B105" s="126"/>
      <c r="C105" s="126"/>
      <c r="D105" s="126"/>
      <c r="E105" s="126"/>
      <c r="F105" s="126"/>
      <c r="G105" s="126"/>
      <c r="H105" s="126"/>
      <c r="I105" s="126"/>
    </row>
    <row r="106" spans="1:9" ht="25.5" customHeight="1">
      <c r="A106" s="37">
        <v>5</v>
      </c>
      <c r="B106" s="127" t="s">
        <v>69</v>
      </c>
      <c r="C106" s="127"/>
      <c r="D106" s="127"/>
      <c r="E106" s="127"/>
      <c r="F106" s="127"/>
      <c r="G106" s="127"/>
      <c r="H106" s="127"/>
      <c r="I106" s="37" t="s">
        <v>29</v>
      </c>
    </row>
    <row r="107" spans="1:9" ht="37.5" customHeight="1">
      <c r="A107" s="18" t="s">
        <v>2</v>
      </c>
      <c r="B107" s="124" t="s">
        <v>132</v>
      </c>
      <c r="C107" s="124"/>
      <c r="D107" s="124"/>
      <c r="E107" s="124"/>
      <c r="F107" s="124"/>
      <c r="G107" s="124"/>
      <c r="H107" s="124"/>
      <c r="I107" s="38">
        <v>68.42</v>
      </c>
    </row>
    <row r="108" spans="1:9" ht="30.75" customHeight="1">
      <c r="A108" s="18" t="s">
        <v>4</v>
      </c>
      <c r="B108" s="124" t="s">
        <v>133</v>
      </c>
      <c r="C108" s="124"/>
      <c r="D108" s="124"/>
      <c r="E108" s="124"/>
      <c r="F108" s="124"/>
      <c r="G108" s="124"/>
      <c r="H108" s="124"/>
      <c r="I108" s="6">
        <v>48.98</v>
      </c>
    </row>
    <row r="109" spans="1:9" ht="33" customHeight="1">
      <c r="A109" s="18" t="s">
        <v>6</v>
      </c>
      <c r="B109" s="124" t="s">
        <v>138</v>
      </c>
      <c r="C109" s="124"/>
      <c r="D109" s="124"/>
      <c r="E109" s="124"/>
      <c r="F109" s="124"/>
      <c r="G109" s="124"/>
      <c r="H109" s="124"/>
      <c r="I109" s="6">
        <v>0</v>
      </c>
    </row>
    <row r="110" spans="1:9" ht="33" customHeight="1">
      <c r="A110" s="18" t="s">
        <v>8</v>
      </c>
      <c r="B110" s="128" t="s">
        <v>139</v>
      </c>
      <c r="C110" s="103"/>
      <c r="D110" s="103"/>
      <c r="E110" s="103"/>
      <c r="F110" s="103"/>
      <c r="G110" s="103"/>
      <c r="H110" s="129"/>
      <c r="I110" s="6">
        <v>23.4</v>
      </c>
    </row>
    <row r="111" spans="1:9" ht="15.75" customHeight="1">
      <c r="A111" s="117" t="s">
        <v>25</v>
      </c>
      <c r="B111" s="117"/>
      <c r="C111" s="117"/>
      <c r="D111" s="117"/>
      <c r="E111" s="117"/>
      <c r="F111" s="117"/>
      <c r="G111" s="117"/>
      <c r="H111" s="117"/>
      <c r="I111" s="57">
        <f>SUM(I107:I110)</f>
        <v>140.8</v>
      </c>
    </row>
    <row r="112" spans="1:9" ht="9.75" customHeight="1">
      <c r="A112" s="125"/>
      <c r="B112" s="125"/>
      <c r="C112" s="125"/>
      <c r="D112" s="125"/>
      <c r="E112" s="125"/>
      <c r="F112" s="125"/>
      <c r="G112" s="125"/>
      <c r="H112" s="125"/>
      <c r="I112" s="125"/>
    </row>
    <row r="113" spans="1:9" ht="14.25" customHeight="1">
      <c r="A113" s="121" t="s">
        <v>70</v>
      </c>
      <c r="B113" s="121"/>
      <c r="C113" s="121"/>
      <c r="D113" s="121"/>
      <c r="E113" s="121"/>
      <c r="F113" s="121"/>
      <c r="G113" s="121"/>
      <c r="H113" s="121"/>
      <c r="I113" s="121"/>
    </row>
    <row r="114" spans="1:9" ht="9.75" customHeight="1">
      <c r="A114" s="58"/>
      <c r="B114" s="59"/>
      <c r="C114" s="59"/>
      <c r="D114" s="59"/>
      <c r="E114" s="59"/>
      <c r="F114" s="59"/>
      <c r="G114" s="59"/>
      <c r="H114" s="59"/>
      <c r="I114" s="60"/>
    </row>
    <row r="115" spans="1:9" s="7" customFormat="1" ht="29.25" customHeight="1">
      <c r="A115" s="122" t="s">
        <v>71</v>
      </c>
      <c r="B115" s="122"/>
      <c r="C115" s="122"/>
      <c r="D115" s="122"/>
      <c r="E115" s="122"/>
      <c r="F115" s="122"/>
      <c r="G115" s="122"/>
      <c r="H115" s="122"/>
      <c r="I115" s="122"/>
    </row>
    <row r="116" spans="1:9" ht="32.25" customHeight="1">
      <c r="A116" s="37">
        <v>6</v>
      </c>
      <c r="B116" s="123" t="s">
        <v>72</v>
      </c>
      <c r="C116" s="123"/>
      <c r="D116" s="123"/>
      <c r="E116" s="123"/>
      <c r="F116" s="123"/>
      <c r="G116" s="123"/>
      <c r="H116" s="13" t="s">
        <v>33</v>
      </c>
      <c r="I116" s="61" t="s">
        <v>73</v>
      </c>
    </row>
    <row r="117" spans="1:9" ht="56.25" customHeight="1">
      <c r="A117" s="119" t="s">
        <v>74</v>
      </c>
      <c r="B117" s="119"/>
      <c r="C117" s="119"/>
      <c r="D117" s="119"/>
      <c r="E117" s="119"/>
      <c r="F117" s="119"/>
      <c r="G117" s="119"/>
      <c r="H117" s="62" t="s">
        <v>50</v>
      </c>
      <c r="I117" s="63">
        <f>$I$29+$I$77+$I$87+$I$104+$I$111</f>
        <v>3383.6656000000003</v>
      </c>
    </row>
    <row r="118" spans="1:9" ht="15.75" customHeight="1">
      <c r="A118" s="64" t="s">
        <v>2</v>
      </c>
      <c r="B118" s="118" t="s">
        <v>125</v>
      </c>
      <c r="C118" s="118"/>
      <c r="D118" s="118"/>
      <c r="E118" s="118"/>
      <c r="F118" s="118"/>
      <c r="G118" s="118"/>
      <c r="H118" s="26">
        <v>0.06</v>
      </c>
      <c r="I118" s="25">
        <f>ROUND($H$118*$I$117,2)</f>
        <v>203.02</v>
      </c>
    </row>
    <row r="119" spans="1:9" ht="56.25" customHeight="1">
      <c r="A119" s="119" t="s">
        <v>75</v>
      </c>
      <c r="B119" s="119"/>
      <c r="C119" s="119"/>
      <c r="D119" s="119"/>
      <c r="E119" s="119"/>
      <c r="F119" s="119"/>
      <c r="G119" s="119"/>
      <c r="H119" s="65" t="s">
        <v>50</v>
      </c>
      <c r="I119" s="63">
        <f>$I$29+$I$77+$I$87+$I$104+$I$111+$I$118</f>
        <v>3586.6856000000002</v>
      </c>
    </row>
    <row r="120" spans="1:9" ht="15.75" customHeight="1">
      <c r="A120" s="64" t="s">
        <v>4</v>
      </c>
      <c r="B120" s="118" t="s">
        <v>126</v>
      </c>
      <c r="C120" s="118"/>
      <c r="D120" s="118"/>
      <c r="E120" s="118"/>
      <c r="F120" s="118"/>
      <c r="G120" s="118"/>
      <c r="H120" s="26">
        <v>0.0679</v>
      </c>
      <c r="I120" s="25">
        <f>ROUND($H$120*$I$119,2)</f>
        <v>243.54</v>
      </c>
    </row>
    <row r="121" spans="1:9" ht="62.25" customHeight="1">
      <c r="A121" s="119" t="s">
        <v>76</v>
      </c>
      <c r="B121" s="119"/>
      <c r="C121" s="119"/>
      <c r="D121" s="119"/>
      <c r="E121" s="119"/>
      <c r="F121" s="119"/>
      <c r="G121" s="119"/>
      <c r="H121" s="65" t="s">
        <v>50</v>
      </c>
      <c r="I121" s="63">
        <f>$I$29+$I$77+$I$87+$I$104+$I$111+$I$118+$I$120</f>
        <v>3830.2256</v>
      </c>
    </row>
    <row r="122" spans="1:9" ht="15.75" customHeight="1">
      <c r="A122" s="64" t="s">
        <v>6</v>
      </c>
      <c r="B122" s="120" t="s">
        <v>77</v>
      </c>
      <c r="C122" s="120"/>
      <c r="D122" s="120"/>
      <c r="E122" s="120"/>
      <c r="F122" s="120"/>
      <c r="G122" s="120"/>
      <c r="H122" s="66" t="s">
        <v>50</v>
      </c>
      <c r="I122" s="67" t="s">
        <v>50</v>
      </c>
    </row>
    <row r="123" spans="1:9" ht="15.75" customHeight="1">
      <c r="A123" s="18"/>
      <c r="B123" s="120" t="s">
        <v>78</v>
      </c>
      <c r="C123" s="120"/>
      <c r="D123" s="120"/>
      <c r="E123" s="120"/>
      <c r="F123" s="120"/>
      <c r="G123" s="120"/>
      <c r="H123" s="66" t="s">
        <v>50</v>
      </c>
      <c r="I123" s="67" t="s">
        <v>50</v>
      </c>
    </row>
    <row r="124" spans="1:9" ht="15.75" customHeight="1">
      <c r="A124" s="18"/>
      <c r="B124" s="116" t="s">
        <v>79</v>
      </c>
      <c r="C124" s="116"/>
      <c r="D124" s="116"/>
      <c r="E124" s="116"/>
      <c r="F124" s="116"/>
      <c r="G124" s="116"/>
      <c r="H124" s="68">
        <v>0.076</v>
      </c>
      <c r="I124" s="25">
        <f>ROUND(($I$121/(1-$H$133))*$H$124,2)</f>
        <v>331.73</v>
      </c>
    </row>
    <row r="125" spans="1:9" ht="15.75" customHeight="1">
      <c r="A125" s="18"/>
      <c r="B125" s="116" t="s">
        <v>115</v>
      </c>
      <c r="C125" s="116"/>
      <c r="D125" s="116"/>
      <c r="E125" s="116"/>
      <c r="F125" s="116"/>
      <c r="G125" s="116"/>
      <c r="H125" s="68">
        <v>0.0165</v>
      </c>
      <c r="I125" s="25">
        <f>ROUND(($I$121/(1-$H$133))*$H$125,2)</f>
        <v>72.02</v>
      </c>
    </row>
    <row r="126" spans="1:9" ht="31.5" customHeight="1">
      <c r="A126" s="18"/>
      <c r="B126" s="113" t="s">
        <v>80</v>
      </c>
      <c r="C126" s="113"/>
      <c r="D126" s="113"/>
      <c r="E126" s="113"/>
      <c r="F126" s="113"/>
      <c r="G126" s="113"/>
      <c r="H126" s="69" t="s">
        <v>50</v>
      </c>
      <c r="I126" s="67" t="s">
        <v>50</v>
      </c>
    </row>
    <row r="127" spans="1:9" ht="31.5" customHeight="1">
      <c r="A127" s="18"/>
      <c r="B127" s="113" t="s">
        <v>81</v>
      </c>
      <c r="C127" s="113"/>
      <c r="D127" s="113"/>
      <c r="E127" s="113"/>
      <c r="F127" s="113"/>
      <c r="G127" s="113"/>
      <c r="H127" s="69" t="s">
        <v>50</v>
      </c>
      <c r="I127" s="67" t="s">
        <v>50</v>
      </c>
    </row>
    <row r="128" spans="1:9" ht="15.75" customHeight="1">
      <c r="A128" s="18"/>
      <c r="B128" s="114" t="s">
        <v>82</v>
      </c>
      <c r="C128" s="114"/>
      <c r="D128" s="114"/>
      <c r="E128" s="114"/>
      <c r="F128" s="114"/>
      <c r="G128" s="114"/>
      <c r="H128" s="69" t="s">
        <v>50</v>
      </c>
      <c r="I128" s="67" t="s">
        <v>50</v>
      </c>
    </row>
    <row r="129" spans="1:9" ht="15.75" customHeight="1">
      <c r="A129" s="18"/>
      <c r="B129" s="115" t="s">
        <v>83</v>
      </c>
      <c r="C129" s="115"/>
      <c r="D129" s="115"/>
      <c r="E129" s="115"/>
      <c r="F129" s="115"/>
      <c r="G129" s="115"/>
      <c r="H129" s="69" t="s">
        <v>50</v>
      </c>
      <c r="I129" s="67" t="s">
        <v>50</v>
      </c>
    </row>
    <row r="130" spans="1:9" ht="15.75" customHeight="1">
      <c r="A130" s="18"/>
      <c r="B130" s="116" t="s">
        <v>140</v>
      </c>
      <c r="C130" s="116"/>
      <c r="D130" s="116"/>
      <c r="E130" s="116"/>
      <c r="F130" s="116"/>
      <c r="G130" s="116"/>
      <c r="H130" s="68">
        <v>0.03</v>
      </c>
      <c r="I130" s="25">
        <f>ROUND(($I$121/(1-$H$133))*$H$130,2)</f>
        <v>130.95</v>
      </c>
    </row>
    <row r="131" spans="1:9" ht="15.75" customHeight="1">
      <c r="A131" s="117" t="s">
        <v>30</v>
      </c>
      <c r="B131" s="117"/>
      <c r="C131" s="117"/>
      <c r="D131" s="117"/>
      <c r="E131" s="117"/>
      <c r="F131" s="117"/>
      <c r="G131" s="117"/>
      <c r="H131" s="117"/>
      <c r="I131" s="32">
        <f>SUM(I118+I120+I124+I125+I130)</f>
        <v>981.26</v>
      </c>
    </row>
    <row r="132" spans="1:9" ht="9.75" customHeight="1">
      <c r="A132" s="106"/>
      <c r="B132" s="106"/>
      <c r="C132" s="106"/>
      <c r="D132" s="106"/>
      <c r="E132" s="106"/>
      <c r="F132" s="106"/>
      <c r="G132" s="106"/>
      <c r="H132" s="106"/>
      <c r="I132" s="106"/>
    </row>
    <row r="133" spans="1:9" ht="15.75" customHeight="1">
      <c r="A133" s="109" t="s">
        <v>84</v>
      </c>
      <c r="B133" s="109"/>
      <c r="C133" s="109"/>
      <c r="D133" s="109"/>
      <c r="E133" s="109"/>
      <c r="F133" s="109"/>
      <c r="G133" s="109"/>
      <c r="H133" s="70">
        <f>SUM(H124:H130)</f>
        <v>0.1225</v>
      </c>
      <c r="I133" s="71">
        <f>SUM(I124:I130)</f>
        <v>534.7</v>
      </c>
    </row>
    <row r="134" spans="1:9" ht="12.75" customHeight="1">
      <c r="A134" s="110" t="s">
        <v>85</v>
      </c>
      <c r="B134" s="110"/>
      <c r="C134" s="111" t="s">
        <v>86</v>
      </c>
      <c r="D134" s="111"/>
      <c r="E134" s="111"/>
      <c r="F134" s="111"/>
      <c r="G134" s="111"/>
      <c r="H134" s="111"/>
      <c r="I134" s="111"/>
    </row>
    <row r="135" spans="1:9" ht="12" customHeight="1">
      <c r="A135" s="110"/>
      <c r="B135" s="110"/>
      <c r="C135" s="111" t="s">
        <v>87</v>
      </c>
      <c r="D135" s="111"/>
      <c r="E135" s="111"/>
      <c r="F135" s="111"/>
      <c r="G135" s="111"/>
      <c r="H135" s="111"/>
      <c r="I135" s="111"/>
    </row>
    <row r="136" spans="1:9" ht="12.75" customHeight="1">
      <c r="A136" s="110"/>
      <c r="B136" s="110"/>
      <c r="C136" s="112" t="s">
        <v>88</v>
      </c>
      <c r="D136" s="112"/>
      <c r="E136" s="112"/>
      <c r="F136" s="112"/>
      <c r="G136" s="112"/>
      <c r="H136" s="112"/>
      <c r="I136" s="112"/>
    </row>
    <row r="137" spans="1:9" ht="9.75" customHeight="1">
      <c r="A137" s="104"/>
      <c r="B137" s="104"/>
      <c r="C137" s="104"/>
      <c r="D137" s="104"/>
      <c r="E137" s="104"/>
      <c r="F137" s="104"/>
      <c r="G137" s="104"/>
      <c r="H137" s="104"/>
      <c r="I137" s="104"/>
    </row>
    <row r="138" spans="1:9" ht="25.5" customHeight="1">
      <c r="A138" s="105" t="s">
        <v>89</v>
      </c>
      <c r="B138" s="105"/>
      <c r="C138" s="105"/>
      <c r="D138" s="105"/>
      <c r="E138" s="105"/>
      <c r="F138" s="105"/>
      <c r="G138" s="105"/>
      <c r="H138" s="105"/>
      <c r="I138" s="105"/>
    </row>
    <row r="139" spans="1:9" ht="9.75" customHeight="1">
      <c r="A139" s="106"/>
      <c r="B139" s="106"/>
      <c r="C139" s="106"/>
      <c r="D139" s="106"/>
      <c r="E139" s="106"/>
      <c r="F139" s="106"/>
      <c r="G139" s="106"/>
      <c r="H139" s="106"/>
      <c r="I139" s="106"/>
    </row>
    <row r="140" spans="1:9" ht="21" customHeight="1">
      <c r="A140" s="107" t="s">
        <v>90</v>
      </c>
      <c r="B140" s="107"/>
      <c r="C140" s="107"/>
      <c r="D140" s="107"/>
      <c r="E140" s="107"/>
      <c r="F140" s="107"/>
      <c r="G140" s="107"/>
      <c r="H140" s="107"/>
      <c r="I140" s="107"/>
    </row>
    <row r="141" spans="1:9" ht="15" customHeight="1">
      <c r="A141" s="108" t="s">
        <v>91</v>
      </c>
      <c r="B141" s="108"/>
      <c r="C141" s="108"/>
      <c r="D141" s="108"/>
      <c r="E141" s="108"/>
      <c r="F141" s="108"/>
      <c r="G141" s="108"/>
      <c r="H141" s="108"/>
      <c r="I141" s="2" t="s">
        <v>29</v>
      </c>
    </row>
    <row r="142" spans="1:11" ht="15.75" customHeight="1">
      <c r="A142" s="72" t="s">
        <v>2</v>
      </c>
      <c r="B142" s="103" t="s">
        <v>92</v>
      </c>
      <c r="C142" s="103"/>
      <c r="D142" s="103"/>
      <c r="E142" s="103"/>
      <c r="F142" s="103"/>
      <c r="G142" s="103"/>
      <c r="H142" s="103"/>
      <c r="I142" s="6">
        <f>$I$29</f>
        <v>1576.908</v>
      </c>
      <c r="K142" s="73"/>
    </row>
    <row r="143" spans="1:9" ht="15.75" customHeight="1">
      <c r="A143" s="72" t="s">
        <v>4</v>
      </c>
      <c r="B143" s="103" t="s">
        <v>27</v>
      </c>
      <c r="C143" s="103"/>
      <c r="D143" s="103"/>
      <c r="E143" s="103"/>
      <c r="F143" s="103"/>
      <c r="G143" s="103"/>
      <c r="H143" s="103"/>
      <c r="I143" s="6">
        <f>$I$77</f>
        <v>1276.7276000000002</v>
      </c>
    </row>
    <row r="144" spans="1:9" ht="15.75" customHeight="1">
      <c r="A144" s="72" t="s">
        <v>6</v>
      </c>
      <c r="B144" s="103" t="s">
        <v>93</v>
      </c>
      <c r="C144" s="103"/>
      <c r="D144" s="103"/>
      <c r="E144" s="103"/>
      <c r="F144" s="103"/>
      <c r="G144" s="103"/>
      <c r="H144" s="103"/>
      <c r="I144" s="6">
        <f>$I$87</f>
        <v>114.56</v>
      </c>
    </row>
    <row r="145" spans="1:9" ht="15.75" customHeight="1">
      <c r="A145" s="72" t="s">
        <v>8</v>
      </c>
      <c r="B145" s="103" t="s">
        <v>94</v>
      </c>
      <c r="C145" s="103"/>
      <c r="D145" s="103"/>
      <c r="E145" s="103"/>
      <c r="F145" s="103"/>
      <c r="G145" s="103"/>
      <c r="H145" s="103"/>
      <c r="I145" s="6">
        <f>$I$104</f>
        <v>274.67</v>
      </c>
    </row>
    <row r="146" spans="1:9" ht="15.75" customHeight="1">
      <c r="A146" s="72" t="s">
        <v>23</v>
      </c>
      <c r="B146" s="103" t="s">
        <v>95</v>
      </c>
      <c r="C146" s="103"/>
      <c r="D146" s="103"/>
      <c r="E146" s="103"/>
      <c r="F146" s="103"/>
      <c r="G146" s="103"/>
      <c r="H146" s="103"/>
      <c r="I146" s="6">
        <f>$I$111</f>
        <v>140.8</v>
      </c>
    </row>
    <row r="147" spans="1:9" ht="15" customHeight="1">
      <c r="A147" s="89" t="s">
        <v>96</v>
      </c>
      <c r="B147" s="89"/>
      <c r="C147" s="89"/>
      <c r="D147" s="89"/>
      <c r="E147" s="89"/>
      <c r="F147" s="89"/>
      <c r="G147" s="89"/>
      <c r="H147" s="89"/>
      <c r="I147" s="57">
        <f>SUM(I142:I146)</f>
        <v>3383.6656000000003</v>
      </c>
    </row>
    <row r="148" spans="1:9" ht="15.75" customHeight="1">
      <c r="A148" s="74" t="s">
        <v>24</v>
      </c>
      <c r="B148" s="103" t="s">
        <v>97</v>
      </c>
      <c r="C148" s="103"/>
      <c r="D148" s="103"/>
      <c r="E148" s="103"/>
      <c r="F148" s="103"/>
      <c r="G148" s="103"/>
      <c r="H148" s="103"/>
      <c r="I148" s="6">
        <f>$I$131</f>
        <v>981.26</v>
      </c>
    </row>
    <row r="149" spans="1:9" ht="15" customHeight="1">
      <c r="A149" s="89" t="s">
        <v>98</v>
      </c>
      <c r="B149" s="89"/>
      <c r="C149" s="89"/>
      <c r="D149" s="89"/>
      <c r="E149" s="89"/>
      <c r="F149" s="89"/>
      <c r="G149" s="89"/>
      <c r="H149" s="89"/>
      <c r="I149" s="57">
        <f>ROUND(SUM(I147:I148),2)</f>
        <v>4364.93</v>
      </c>
    </row>
    <row r="150" spans="1:13" ht="15" customHeight="1" hidden="1">
      <c r="A150" s="75"/>
      <c r="B150" s="75"/>
      <c r="C150" s="75"/>
      <c r="D150" s="75"/>
      <c r="E150" s="75"/>
      <c r="F150" s="75"/>
      <c r="G150" s="75"/>
      <c r="H150" s="76"/>
      <c r="I150" s="77"/>
      <c r="J150" s="78"/>
      <c r="K150" s="79"/>
      <c r="L150" s="80"/>
      <c r="M150" s="81"/>
    </row>
    <row r="151" spans="1:9" ht="12" customHeight="1">
      <c r="A151" s="90"/>
      <c r="B151" s="90"/>
      <c r="C151" s="90"/>
      <c r="D151" s="90"/>
      <c r="E151" s="90"/>
      <c r="F151" s="90"/>
      <c r="G151" s="90"/>
      <c r="H151" s="90"/>
      <c r="I151" s="90"/>
    </row>
    <row r="152" spans="1:9" ht="9.75" customHeight="1">
      <c r="A152" s="91"/>
      <c r="B152" s="91"/>
      <c r="C152" s="91"/>
      <c r="D152" s="91"/>
      <c r="E152" s="91"/>
      <c r="F152" s="91"/>
      <c r="G152" s="91"/>
      <c r="H152" s="91"/>
      <c r="I152" s="91"/>
    </row>
    <row r="153" spans="1:9" ht="18.75" customHeight="1">
      <c r="A153" s="92" t="s">
        <v>99</v>
      </c>
      <c r="B153" s="92"/>
      <c r="C153" s="92"/>
      <c r="D153" s="92"/>
      <c r="E153" s="92"/>
      <c r="F153" s="92"/>
      <c r="G153" s="93">
        <f>$I$149*$H$22</f>
        <v>4364.93</v>
      </c>
      <c r="H153" s="93"/>
      <c r="I153" s="93"/>
    </row>
    <row r="154" spans="1:9" ht="9.75" customHeight="1">
      <c r="A154" s="94"/>
      <c r="B154" s="94"/>
      <c r="C154" s="94"/>
      <c r="D154" s="94"/>
      <c r="E154" s="94"/>
      <c r="F154" s="94"/>
      <c r="G154" s="94"/>
      <c r="H154" s="94"/>
      <c r="I154" s="94"/>
    </row>
    <row r="155" spans="1:9" ht="19.5" customHeight="1">
      <c r="A155" s="95" t="s">
        <v>100</v>
      </c>
      <c r="B155" s="95"/>
      <c r="C155" s="95"/>
      <c r="D155" s="95"/>
      <c r="E155" s="95"/>
      <c r="F155" s="95"/>
      <c r="G155" s="96">
        <f>$H$11</f>
        <v>12</v>
      </c>
      <c r="H155" s="96"/>
      <c r="I155" s="96"/>
    </row>
    <row r="156" spans="1:9" ht="9.75" customHeight="1">
      <c r="A156" s="97"/>
      <c r="B156" s="97"/>
      <c r="C156" s="97"/>
      <c r="D156" s="97"/>
      <c r="E156" s="97"/>
      <c r="F156" s="97"/>
      <c r="G156" s="97"/>
      <c r="H156" s="97"/>
      <c r="I156" s="97"/>
    </row>
    <row r="157" spans="1:9" ht="31.5" customHeight="1">
      <c r="A157" s="98" t="s">
        <v>101</v>
      </c>
      <c r="B157" s="98"/>
      <c r="C157" s="98"/>
      <c r="D157" s="98"/>
      <c r="E157" s="98"/>
      <c r="F157" s="98"/>
      <c r="G157" s="99">
        <f>$G$153*$G$155</f>
        <v>52379.16</v>
      </c>
      <c r="H157" s="99"/>
      <c r="I157" s="99"/>
    </row>
    <row r="158" spans="1:9" ht="9.75" customHeight="1">
      <c r="A158" s="100"/>
      <c r="B158" s="100"/>
      <c r="C158" s="100"/>
      <c r="D158" s="100"/>
      <c r="E158" s="100"/>
      <c r="F158" s="100"/>
      <c r="G158" s="100"/>
      <c r="H158" s="100"/>
      <c r="I158" s="100"/>
    </row>
    <row r="159" spans="1:9" ht="29.25" customHeight="1">
      <c r="A159" s="101" t="s">
        <v>156</v>
      </c>
      <c r="B159" s="101"/>
      <c r="C159" s="101"/>
      <c r="D159" s="101"/>
      <c r="E159" s="101"/>
      <c r="F159" s="101"/>
      <c r="G159" s="101"/>
      <c r="H159" s="101"/>
      <c r="I159" s="101"/>
    </row>
    <row r="160" spans="1:9" ht="12" customHeight="1">
      <c r="A160" s="102" t="s">
        <v>102</v>
      </c>
      <c r="B160" s="102"/>
      <c r="C160" s="102"/>
      <c r="D160" s="102"/>
      <c r="E160" s="102"/>
      <c r="F160" s="102"/>
      <c r="G160" s="102"/>
      <c r="H160" s="86" t="s">
        <v>103</v>
      </c>
      <c r="I160" s="86"/>
    </row>
    <row r="161" spans="1:9" ht="12">
      <c r="A161" s="102"/>
      <c r="B161" s="102"/>
      <c r="C161" s="102"/>
      <c r="D161" s="102"/>
      <c r="E161" s="102"/>
      <c r="F161" s="102"/>
      <c r="G161" s="102"/>
      <c r="H161" s="86"/>
      <c r="I161" s="86"/>
    </row>
    <row r="162" spans="1:9" ht="12.75">
      <c r="A162" s="87" t="s">
        <v>148</v>
      </c>
      <c r="B162" s="87"/>
      <c r="C162" s="87"/>
      <c r="D162" s="87"/>
      <c r="E162" s="87"/>
      <c r="F162" s="87"/>
      <c r="G162" s="87"/>
      <c r="H162" s="88">
        <v>1</v>
      </c>
      <c r="I162" s="88"/>
    </row>
    <row r="163" spans="1:9" ht="14.25" customHeight="1">
      <c r="A163" s="87"/>
      <c r="B163" s="87"/>
      <c r="C163" s="87"/>
      <c r="D163" s="87"/>
      <c r="E163" s="87"/>
      <c r="F163" s="87"/>
      <c r="G163" s="87"/>
      <c r="H163" s="88"/>
      <c r="I163" s="88"/>
    </row>
  </sheetData>
  <sheetProtection selectLockedCells="1" selectUnlockedCells="1"/>
  <mergeCells count="212">
    <mergeCell ref="A7:I7"/>
    <mergeCell ref="H10:I10"/>
    <mergeCell ref="H23:I23"/>
    <mergeCell ref="B67:H67"/>
    <mergeCell ref="A2:I2"/>
    <mergeCell ref="A3:I3"/>
    <mergeCell ref="A4:E4"/>
    <mergeCell ref="F4:I4"/>
    <mergeCell ref="A5:E5"/>
    <mergeCell ref="F5:I5"/>
    <mergeCell ref="A6:I6"/>
    <mergeCell ref="B11:G11"/>
    <mergeCell ref="H11:I11"/>
    <mergeCell ref="A21:E21"/>
    <mergeCell ref="F21:G21"/>
    <mergeCell ref="H21:I21"/>
    <mergeCell ref="B8:G8"/>
    <mergeCell ref="H8:I8"/>
    <mergeCell ref="B9:G9"/>
    <mergeCell ref="H9:I9"/>
    <mergeCell ref="B10:G10"/>
    <mergeCell ref="A13:I13"/>
    <mergeCell ref="J13:P13"/>
    <mergeCell ref="Q13:X13"/>
    <mergeCell ref="Y13:AF13"/>
    <mergeCell ref="AG13:AN13"/>
    <mergeCell ref="A12:I12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GK13:GR13"/>
    <mergeCell ref="GS13:GZ13"/>
    <mergeCell ref="HA13:HH13"/>
    <mergeCell ref="DQ13:DX13"/>
    <mergeCell ref="DY13:EF13"/>
    <mergeCell ref="EG13:EN13"/>
    <mergeCell ref="EO13:EV13"/>
    <mergeCell ref="EW13:FD13"/>
    <mergeCell ref="FE13:FL13"/>
    <mergeCell ref="HI13:HP13"/>
    <mergeCell ref="HQ13:HX13"/>
    <mergeCell ref="HY13:IF13"/>
    <mergeCell ref="IG13:IN13"/>
    <mergeCell ref="IO13:IV13"/>
    <mergeCell ref="B14:G14"/>
    <mergeCell ref="H14:I14"/>
    <mergeCell ref="FM13:FT13"/>
    <mergeCell ref="FU13:GB13"/>
    <mergeCell ref="GC13:GJ13"/>
    <mergeCell ref="B15:G15"/>
    <mergeCell ref="H15:I15"/>
    <mergeCell ref="B16:G16"/>
    <mergeCell ref="H16:I16"/>
    <mergeCell ref="B17:G17"/>
    <mergeCell ref="H17:I17"/>
    <mergeCell ref="B18:G18"/>
    <mergeCell ref="H18:I18"/>
    <mergeCell ref="A19:I19"/>
    <mergeCell ref="A20:I20"/>
    <mergeCell ref="A24:I24"/>
    <mergeCell ref="A25:I25"/>
    <mergeCell ref="A22:E22"/>
    <mergeCell ref="F22:G22"/>
    <mergeCell ref="H22:I22"/>
    <mergeCell ref="A23:G23"/>
    <mergeCell ref="B26:G26"/>
    <mergeCell ref="B27:H27"/>
    <mergeCell ref="A29:H29"/>
    <mergeCell ref="A30:I30"/>
    <mergeCell ref="A31:I31"/>
    <mergeCell ref="A32:I32"/>
    <mergeCell ref="B28:G28"/>
    <mergeCell ref="A33:I33"/>
    <mergeCell ref="A34:I34"/>
    <mergeCell ref="B35:H35"/>
    <mergeCell ref="B36:H36"/>
    <mergeCell ref="B37:H37"/>
    <mergeCell ref="A38:H38"/>
    <mergeCell ref="A39:I39"/>
    <mergeCell ref="A40:I40"/>
    <mergeCell ref="A41:I41"/>
    <mergeCell ref="A42:I42"/>
    <mergeCell ref="B43:G43"/>
    <mergeCell ref="B44:G44"/>
    <mergeCell ref="B45:G45"/>
    <mergeCell ref="B46:C46"/>
    <mergeCell ref="B47:G47"/>
    <mergeCell ref="B48:G48"/>
    <mergeCell ref="B49:G49"/>
    <mergeCell ref="B50:G50"/>
    <mergeCell ref="B51:G51"/>
    <mergeCell ref="A52:G52"/>
    <mergeCell ref="A54:I54"/>
    <mergeCell ref="A55:I55"/>
    <mergeCell ref="A56:I56"/>
    <mergeCell ref="B57:H57"/>
    <mergeCell ref="B64:G64"/>
    <mergeCell ref="B65:G65"/>
    <mergeCell ref="B66:G66"/>
    <mergeCell ref="B68:H68"/>
    <mergeCell ref="B58:H58"/>
    <mergeCell ref="B59:G59"/>
    <mergeCell ref="B60:G60"/>
    <mergeCell ref="B61:G61"/>
    <mergeCell ref="B62:G62"/>
    <mergeCell ref="B63:H63"/>
    <mergeCell ref="A69:I69"/>
    <mergeCell ref="A70:I70"/>
    <mergeCell ref="A71:I71"/>
    <mergeCell ref="A72:I72"/>
    <mergeCell ref="B73:H73"/>
    <mergeCell ref="B74:H74"/>
    <mergeCell ref="B75:H75"/>
    <mergeCell ref="B76:H76"/>
    <mergeCell ref="A77:H77"/>
    <mergeCell ref="A78:I78"/>
    <mergeCell ref="A79:I79"/>
    <mergeCell ref="B80:H80"/>
    <mergeCell ref="B81:H81"/>
    <mergeCell ref="B82:H82"/>
    <mergeCell ref="B83:H83"/>
    <mergeCell ref="B84:H84"/>
    <mergeCell ref="B85:H85"/>
    <mergeCell ref="B86:H86"/>
    <mergeCell ref="A87:H87"/>
    <mergeCell ref="A90:I90"/>
    <mergeCell ref="A91:I91"/>
    <mergeCell ref="A93:I93"/>
    <mergeCell ref="A92:H92"/>
    <mergeCell ref="A94:I94"/>
    <mergeCell ref="A88:I88"/>
    <mergeCell ref="A89:I89"/>
    <mergeCell ref="B101:H101"/>
    <mergeCell ref="A102:H102"/>
    <mergeCell ref="B103:H103"/>
    <mergeCell ref="A104:H104"/>
    <mergeCell ref="B95:H95"/>
    <mergeCell ref="B96:H96"/>
    <mergeCell ref="B97:H97"/>
    <mergeCell ref="B98:H98"/>
    <mergeCell ref="B99:H99"/>
    <mergeCell ref="B100:H100"/>
    <mergeCell ref="B107:H107"/>
    <mergeCell ref="B108:H108"/>
    <mergeCell ref="B109:H109"/>
    <mergeCell ref="A111:H111"/>
    <mergeCell ref="A112:I112"/>
    <mergeCell ref="A105:I105"/>
    <mergeCell ref="B106:H106"/>
    <mergeCell ref="B110:H110"/>
    <mergeCell ref="A113:I113"/>
    <mergeCell ref="A115:I115"/>
    <mergeCell ref="B116:G116"/>
    <mergeCell ref="A117:G117"/>
    <mergeCell ref="B118:G118"/>
    <mergeCell ref="A119:G119"/>
    <mergeCell ref="B120:G120"/>
    <mergeCell ref="A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H131"/>
    <mergeCell ref="A132:I132"/>
    <mergeCell ref="A133:G133"/>
    <mergeCell ref="A134:B136"/>
    <mergeCell ref="C134:I134"/>
    <mergeCell ref="C135:I135"/>
    <mergeCell ref="C136:I136"/>
    <mergeCell ref="A137:I137"/>
    <mergeCell ref="A138:I138"/>
    <mergeCell ref="A139:I139"/>
    <mergeCell ref="A140:I140"/>
    <mergeCell ref="A141:H141"/>
    <mergeCell ref="B142:H142"/>
    <mergeCell ref="B143:H143"/>
    <mergeCell ref="B144:H144"/>
    <mergeCell ref="B145:H145"/>
    <mergeCell ref="B146:H146"/>
    <mergeCell ref="A147:H147"/>
    <mergeCell ref="B148:H148"/>
    <mergeCell ref="A163:G163"/>
    <mergeCell ref="H163:I163"/>
    <mergeCell ref="A155:F155"/>
    <mergeCell ref="G155:I155"/>
    <mergeCell ref="A156:I156"/>
    <mergeCell ref="A157:F157"/>
    <mergeCell ref="G157:I157"/>
    <mergeCell ref="A158:I158"/>
    <mergeCell ref="A159:I159"/>
    <mergeCell ref="A160:G161"/>
    <mergeCell ref="H160:I161"/>
    <mergeCell ref="A162:G162"/>
    <mergeCell ref="H162:I162"/>
    <mergeCell ref="A149:H149"/>
    <mergeCell ref="A151:I151"/>
    <mergeCell ref="A152:I152"/>
    <mergeCell ref="A153:F153"/>
    <mergeCell ref="G153:I153"/>
    <mergeCell ref="A154:I154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Edinete Rita</dc:creator>
  <cp:keywords/>
  <dc:description/>
  <cp:lastModifiedBy>Patricia Czervinski</cp:lastModifiedBy>
  <cp:lastPrinted>2020-01-23T16:14:43Z</cp:lastPrinted>
  <dcterms:created xsi:type="dcterms:W3CDTF">2019-02-25T16:03:54Z</dcterms:created>
  <dcterms:modified xsi:type="dcterms:W3CDTF">2022-02-24T14:35:13Z</dcterms:modified>
  <cp:category/>
  <cp:version/>
  <cp:contentType/>
  <cp:contentStatus/>
</cp:coreProperties>
</file>