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mpus Caxias do Sul - Diurno" sheetId="1" state="visible" r:id="rId2"/>
    <sheet name="Campus Caxias do Sul - Noturno" sheetId="2" state="visible" r:id="rId3"/>
    <sheet name="Resumo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<sst xmlns="http://schemas.openxmlformats.org/spreadsheetml/2006/main" count="621" uniqueCount="249">
  <si>
    <r>
      <rPr>
        <b val="true"/>
        <sz val="15"/>
        <color rgb="FF800080"/>
        <rFont val="Arial"/>
        <family val="0"/>
        <charset val="1"/>
      </rPr>
      <t xml:space="preserve">VIGILÂNCIA 12 x 36 DIURNO - </t>
    </r>
    <r>
      <rPr>
        <b val="true"/>
        <sz val="16"/>
        <color rgb="FF800080"/>
        <rFont val="Arial"/>
        <family val="0"/>
        <charset val="1"/>
      </rPr>
      <t xml:space="preserve">Lucro Real e Presumid</t>
    </r>
    <r>
      <rPr>
        <b val="true"/>
        <sz val="14"/>
        <color rgb="FF800080"/>
        <rFont val="Arial"/>
        <family val="0"/>
        <charset val="1"/>
      </rPr>
      <t xml:space="preserve">o </t>
    </r>
  </si>
  <si>
    <r>
      <rPr>
        <b val="true"/>
        <sz val="18"/>
        <color rgb="FF000000"/>
        <rFont val="Arial"/>
        <family val="0"/>
        <charset val="1"/>
      </rPr>
      <t xml:space="preserve">ANEXO III  </t>
    </r>
    <r>
      <rPr>
        <b val="true"/>
        <sz val="18"/>
        <color rgb="FFFF0000"/>
        <rFont val="Arial"/>
        <family val="0"/>
        <charset val="1"/>
      </rPr>
      <t xml:space="preserve">do Pregão  nº 9005/2024 - </t>
    </r>
    <r>
      <rPr>
        <b val="true"/>
        <sz val="18"/>
        <color rgb="FF0000FF"/>
        <rFont val="Arial"/>
        <family val="0"/>
        <charset val="1"/>
      </rPr>
      <t xml:space="preserve">COM PERI NO FIM
</t>
    </r>
    <r>
      <rPr>
        <b val="true"/>
        <sz val="16"/>
        <color rgb="FF0000FF"/>
        <rFont val="Arial"/>
        <family val="0"/>
        <charset val="1"/>
      </rPr>
      <t xml:space="preserve">Conta Vinculada - Com Intervalo Intrajornada
</t>
    </r>
    <r>
      <rPr>
        <b val="true"/>
        <sz val="18"/>
        <color rgb="FF000000"/>
        <rFont val="Arial"/>
        <family val="0"/>
        <charset val="1"/>
      </rPr>
      <t xml:space="preserve">MODELO DE 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</si>
  <si>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Nº do processo: 23362.000088/2024-31</t>
  </si>
  <si>
    <t xml:space="preserve">Licitação nº: 9005/2024</t>
  </si>
  <si>
    <t xml:space="preserve">Pregão  nº 9005/2024</t>
  </si>
  <si>
    <t xml:space="preserve">Dia: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</si>
  <si>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</si>
  <si>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</si>
  <si>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</si>
  <si>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</si>
  <si>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</si>
  <si>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Caxias do Sul/RS</t>
  </si>
  <si>
    <t xml:space="preserve">C</t>
  </si>
  <si>
    <t xml:space="preserve">Ano do Acordo, Convenção ou Dissídio coletivo</t>
  </si>
  <si>
    <t xml:space="preserve">01/04/2024 a 31/03/2025</t>
  </si>
  <si>
    <t xml:space="preserve">D</t>
  </si>
  <si>
    <r>
      <rPr>
        <b val="true"/>
        <sz val="10"/>
        <color rgb="FF000000"/>
        <rFont val="Arial"/>
        <family val="0"/>
        <charset val="1"/>
      </rPr>
      <t xml:space="preserve">Número de meses de execução contratual </t>
    </r>
    <r>
      <rPr>
        <b val="true"/>
        <strike val="true"/>
        <sz val="8"/>
        <color rgb="FF0000FF"/>
        <rFont val="Arial"/>
        <family val="0"/>
        <charset val="1"/>
      </rPr>
      <t xml:space="preserve"> (OBS a ser excluída: se o prazo do contrato for superior a 12 meses, a planilha poderá ter fórmulas diferentes no Módulo 3 e no Submódulo 4.1, letra B em diante)</t>
    </r>
  </si>
  <si>
    <t xml:space="preserve">IDENTIFICAÇÃO DO SERVIÇO</t>
  </si>
  <si>
    <t xml:space="preserve">Tipo de serviço:
                  Vigilância e Segurança Armada e Desarmada                                                                                            </t>
  </si>
  <si>
    <t xml:space="preserve">Unidade
 de 
Medida</t>
  </si>
  <si>
    <t xml:space="preserve">Quantidade total a contratar (Em função da unidade de medida) </t>
  </si>
  <si>
    <t xml:space="preserve">12 x 36 horas diurnas - de segunda-feira à sexta-feira</t>
  </si>
  <si>
    <t xml:space="preserve">posto</t>
  </si>
  <si>
    <t xml:space="preserve">-</t>
  </si>
  <si>
    <t xml:space="preserve">12  x 36 horas diurnas - de segunda-feira a domingo</t>
  </si>
  <si>
    <t xml:space="preserve">12 x 36 horas noturnas - de segunda-feira à sexta-feira</t>
  </si>
  <si>
    <t xml:space="preserve">12 x 36 horas noturnas - de segunda-feira a domingo</t>
  </si>
  <si>
    <t xml:space="preserve">44 horas semanais diurnas -  de segunda à sexta-feira</t>
  </si>
  <si>
    <r>
      <rPr>
        <b val="true"/>
        <sz val="10"/>
        <color rgb="FF000000"/>
        <rFont val="Arial"/>
        <family val="0"/>
        <charset val="1"/>
      </rPr>
      <t xml:space="preserve">Outros (especificar) </t>
    </r>
    <r>
      <rPr>
        <b val="true"/>
        <sz val="12"/>
        <color rgb="FFFF0000"/>
        <rFont val="Arial"/>
        <family val="0"/>
        <charset val="1"/>
      </rPr>
      <t xml:space="preserve">(excluir as linhas não utilizadas)</t>
    </r>
  </si>
  <si>
    <t xml:space="preserve">TOTAL DE POSTOS</t>
  </si>
  <si>
    <t xml:space="preserve"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</si>
  <si>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 val="true"/>
        <sz val="15"/>
        <color rgb="FF000000"/>
        <rFont val="Arial"/>
        <family val="0"/>
        <charset val="1"/>
      </rPr>
      <t xml:space="preserve">1. MÓDULOS 
</t>
    </r>
    <r>
      <rPr>
        <b val="true"/>
        <sz val="12"/>
        <color rgb="FF000000"/>
        <rFont val="Arial"/>
        <family val="0"/>
        <charset val="1"/>
      </rPr>
      <t xml:space="preserve">Mão de obra
</t>
    </r>
    <r>
      <rPr>
        <b val="true"/>
        <sz val="11"/>
        <color rgb="FF000000"/>
        <rFont val="Arial"/>
        <family val="0"/>
        <charset val="1"/>
      </rPr>
      <t xml:space="preserve">Mão de obra vinculada à execução contratual</t>
    </r>
  </si>
  <si>
    <t xml:space="preserve">Dados para composição dos custos referente à mão de obra</t>
  </si>
  <si>
    <t xml:space="preserve">Tipo de serviço (mesmo serviço com características distintas)</t>
  </si>
  <si>
    <t xml:space="preserve">Vigilância e Segurança Armada </t>
  </si>
  <si>
    <t xml:space="preserve">Classificação Brasileira de Ocupações (CBO)</t>
  </si>
  <si>
    <t xml:space="preserve">5173-30</t>
  </si>
  <si>
    <t xml:space="preserve">Salário Normativo da Categoria Profissional (180h)</t>
  </si>
  <si>
    <t xml:space="preserve">Categoria Profissional (vinculada à execução contratual) </t>
  </si>
  <si>
    <t xml:space="preserve">vigilante</t>
  </si>
  <si>
    <t xml:space="preserve">Data-Base da Categoria (dia/mês/ano) </t>
  </si>
  <si>
    <t xml:space="preserve">1º de Abril de 2024</t>
  </si>
  <si>
    <r>
      <rPr>
        <b val="true"/>
        <sz val="10"/>
        <color rgb="FFFF0000"/>
        <rFont val="Arial"/>
        <family val="0"/>
        <charset val="1"/>
      </rPr>
      <t xml:space="preserve">Valor do salárioxhora sem periculosidade - 
</t>
    </r>
    <r>
      <rPr>
        <b val="true"/>
        <sz val="10"/>
        <color rgb="FF0000FF"/>
        <rFont val="Arial"/>
        <family val="0"/>
        <charset val="1"/>
      </rPr>
      <t xml:space="preserve">VSH (s/peri) = (Valor do salário normativo / 180 h)</t>
    </r>
  </si>
  <si>
    <r>
      <rPr>
        <b val="true"/>
        <sz val="10"/>
        <color rgb="FFFF0000"/>
        <rFont val="Arial"/>
        <family val="0"/>
        <charset val="1"/>
      </rPr>
      <t xml:space="preserve">Valor da hora extra sem periculosidade com 50% 
</t>
    </r>
    <r>
      <rPr>
        <b val="true"/>
        <sz val="10"/>
        <color rgb="FF0000FF"/>
        <rFont val="Arial"/>
        <family val="0"/>
        <charset val="1"/>
      </rPr>
      <t xml:space="preserve">HE (s/peri) = valor da hora + 50%</t>
    </r>
  </si>
  <si>
    <r>
      <rPr>
        <b val="true"/>
        <sz val="10"/>
        <color rgb="FFFF0000"/>
        <rFont val="Arial"/>
        <family val="0"/>
        <charset val="1"/>
      </rPr>
      <t xml:space="preserve">Valor da hora do adicional noturno sem periculosidade
</t>
    </r>
    <r>
      <rPr>
        <b val="true"/>
        <sz val="10"/>
        <color rgb="FF0000FF"/>
        <rFont val="Arial"/>
        <family val="0"/>
        <charset val="1"/>
      </rPr>
      <t xml:space="preserve">AN (s/peri) =</t>
    </r>
    <r>
      <rPr>
        <b val="true"/>
        <sz val="10"/>
        <color rgb="FFFF0000"/>
        <rFont val="Arial"/>
        <family val="0"/>
        <charset val="1"/>
      </rPr>
      <t xml:space="preserve"> </t>
    </r>
    <r>
      <rPr>
        <b val="true"/>
        <sz val="10"/>
        <color rgb="FF0000FF"/>
        <rFont val="Arial"/>
        <family val="0"/>
        <charset val="1"/>
      </rPr>
      <t xml:space="preserve">valor da hora x 20%</t>
    </r>
  </si>
  <si>
    <t xml:space="preserve">Adicional de troca de uniforme sem periculosidade</t>
  </si>
  <si>
    <t xml:space="preserve">Quantidade de vigilantes por posto de serviço</t>
  </si>
  <si>
    <t xml:space="preserve">Nota 1:  Deverá ser elaborado um quadro para cada tipo de serviço.
Nota 2: A planilha será calculada considerando o valor mensal do empregado</t>
  </si>
  <si>
    <t xml:space="preserve">Módulo 1: Composição da Remuneração (por Posto)</t>
  </si>
  <si>
    <t xml:space="preserve">Composição da Remuneração (por Posto)</t>
  </si>
  <si>
    <t xml:space="preserve">Percentual (%)</t>
  </si>
  <si>
    <t xml:space="preserve">Valor 
(R$) </t>
  </si>
  <si>
    <r>
      <rPr>
        <b val="true"/>
        <sz val="10"/>
        <color rgb="FF000000"/>
        <rFont val="Arial"/>
        <family val="0"/>
        <charset val="1"/>
      </rPr>
      <t xml:space="preserve">Salário-Base </t>
    </r>
    <r>
      <rPr>
        <b val="true"/>
        <sz val="10"/>
        <color rgb="FFFF0000"/>
        <rFont val="Arial"/>
        <family val="0"/>
        <charset val="1"/>
      </rPr>
      <t xml:space="preserve"> (valor para 2 vigilantes = 1 posto) </t>
    </r>
    <r>
      <rPr>
        <b val="true"/>
        <sz val="10"/>
        <color rgb="FF000000"/>
        <rFont val="Arial"/>
        <family val="0"/>
        <charset val="1"/>
      </rPr>
      <t xml:space="preserve">(cláusulas 3, 4 e 9  da CCT)</t>
    </r>
  </si>
  <si>
    <t xml:space="preserve">Adicional para Troca de Uniforme -  (cláusula 38 da CCT “As partes esclarecem que o valor do VA restou neste patamar, considerando a não adoção na presente convenção da cláusula de troca de uniforme na conformidade do disposto no art. 4º, § 2º, inciso VIII da lei nº 13.467/2017”)</t>
  </si>
  <si>
    <t xml:space="preserve">0.00</t>
  </si>
  <si>
    <r>
      <rPr>
        <b val="true"/>
        <sz val="10"/>
        <color rgb="FF000000"/>
        <rFont val="Arial"/>
        <family val="0"/>
        <charset val="1"/>
      </rPr>
      <t xml:space="preserve">RSR (Repouso Semanal Remunerado) – Cláusulas 68 da CCT - </t>
    </r>
    <r>
      <rPr>
        <b val="true"/>
        <sz val="10"/>
        <color rgb="FFFF0000"/>
        <rFont val="Arial"/>
        <family val="0"/>
        <charset val="1"/>
      </rPr>
      <t xml:space="preserve">Cálculo do valor: 20% sobre os adicionais pertinentes) </t>
    </r>
    <r>
      <rPr>
        <b val="true"/>
        <sz val="10"/>
        <color rgb="FF0000FF"/>
        <rFont val="Arial"/>
        <family val="0"/>
        <charset val="1"/>
      </rPr>
      <t xml:space="preserve">(???? Item controverso - consulte sua CCT ou assessoria jurídica)</t>
    </r>
    <r>
      <rPr>
        <b val="true"/>
        <sz val="10"/>
        <color rgb="FF000000"/>
        <rFont val="Arial"/>
        <family val="0"/>
        <charset val="1"/>
      </rPr>
      <t xml:space="preserve">.</t>
    </r>
    <r>
      <rPr>
        <b val="true"/>
        <sz val="10"/>
        <color rgb="FF33CCCC"/>
        <rFont val="Arial"/>
        <family val="0"/>
        <charset val="1"/>
      </rPr>
      <t xml:space="preserve"> </t>
    </r>
    <r>
      <rPr>
        <b val="true"/>
        <sz val="10"/>
        <color rgb="FF0066CC"/>
        <rFont val="Arial"/>
        <family val="0"/>
        <charset val="1"/>
      </rPr>
      <t xml:space="preserve">Se não tiver na CCT não cotar</t>
    </r>
  </si>
  <si>
    <r>
      <rPr>
        <b val="true"/>
        <sz val="10"/>
        <color rgb="FF000000"/>
        <rFont val="Arial"/>
        <family val="0"/>
        <charset val="1"/>
      </rPr>
      <t xml:space="preserve">Adicional de Periculosidade</t>
    </r>
    <r>
      <rPr>
        <b val="true"/>
        <sz val="10"/>
        <color rgb="FFFF0000"/>
        <rFont val="Arial"/>
        <family val="0"/>
        <charset val="1"/>
      </rPr>
      <t xml:space="preserve"> (Lei nº 12.740/2012)    (30% das rubricas pertinentes) </t>
    </r>
    <r>
      <rPr>
        <b val="true"/>
        <sz val="10"/>
        <color rgb="FF000000"/>
        <rFont val="Arial"/>
        <family val="0"/>
        <charset val="1"/>
      </rPr>
      <t xml:space="preserve">(cláusula 26 da CCT)</t>
    </r>
  </si>
  <si>
    <t xml:space="preserve">E</t>
  </si>
  <si>
    <t xml:space="preserve">Outros (especificar)                      </t>
  </si>
  <si>
    <t xml:space="preserve">Remuneração 1 = Total da Remuneração de verbas de natureza salarial nas quais incidem INSS + FGTS + Férias + 13º, etc. </t>
  </si>
  <si>
    <t xml:space="preserve">F</t>
  </si>
  <si>
    <r>
      <rPr>
        <b val="true"/>
        <sz val="10"/>
        <color rgb="FF000000"/>
        <rFont val="Arial"/>
        <family val="0"/>
        <charset val="1"/>
      </rPr>
      <t xml:space="preserve">Intervalo Intrajornada </t>
    </r>
    <r>
      <rPr>
        <b val="true"/>
        <sz val="10"/>
        <color rgb="FFFF0000"/>
        <rFont val="Arial"/>
        <family val="0"/>
        <charset val="1"/>
      </rPr>
      <t xml:space="preserve">(Adicional de Intervalo)  Cálculo do valor: HE (s/peri) x 15d x2vigx</t>
    </r>
    <r>
      <rPr>
        <b val="true"/>
        <sz val="10"/>
        <color rgb="FF0000FF"/>
        <rFont val="Arial"/>
        <family val="0"/>
        <charset val="1"/>
      </rPr>
      <t xml:space="preserve">0,5h</t>
    </r>
    <r>
      <rPr>
        <b val="true"/>
        <sz val="10"/>
        <color rgb="FFFF0000"/>
        <rFont val="Arial"/>
        <family val="0"/>
        <charset val="1"/>
      </rPr>
      <t xml:space="preserve">) - </t>
    </r>
  </si>
  <si>
    <r>
      <rPr>
        <b val="true"/>
        <sz val="11"/>
        <color rgb="FF000000"/>
        <rFont val="Arial"/>
        <family val="0"/>
        <charset val="1"/>
      </rPr>
      <t xml:space="preserve">Total da verba de natureza salarial na qual incidem somente INSS (mais terceiras entidades) e FGTS, em face da Solução de Consulta RFB/Cosit nº 108/2023 e Parecer Jurídico. </t>
    </r>
    <r>
      <rPr>
        <b val="true"/>
        <sz val="11"/>
        <color rgb="FFFF0000"/>
        <rFont val="Arial"/>
        <family val="0"/>
        <charset val="1"/>
      </rPr>
      <t xml:space="preserve">Empregado só recebe se estiver trabalhando.  </t>
    </r>
    <r>
      <rPr>
        <b val="true"/>
        <sz val="11"/>
        <color rgb="FF0000FF"/>
        <rFont val="Arial"/>
        <family val="0"/>
        <charset val="1"/>
      </rPr>
      <t xml:space="preserve">Consulte sua assessoria jurídica</t>
    </r>
  </si>
  <si>
    <r>
      <rPr>
        <b val="true"/>
        <sz val="14"/>
        <color rgb="FF000000"/>
        <rFont val="Arial"/>
        <family val="0"/>
        <charset val="1"/>
      </rPr>
      <t xml:space="preserve">Remuneração 2 = Total da Remuneração que o empregado irá receber
</t>
    </r>
    <r>
      <rPr>
        <b val="true"/>
        <sz val="11"/>
        <color rgb="FF0000FF"/>
        <rFont val="Arial"/>
        <family val="0"/>
        <charset val="1"/>
      </rPr>
      <t xml:space="preserve">Valor entra nos seguintes cálculos: Item 2, "A" - Quadro-Resumo do Custo por Posto de Trabalho, Custos Indiretos, Lucro e Tributos. </t>
    </r>
  </si>
  <si>
    <t xml:space="preserve">Nota1:  O Módulo 1 refere-se ao valor mensal devido ao empregado pela prestação do serviço no período de 12 meses.</t>
  </si>
  <si>
    <t xml:space="preserve">Módulo 2 : Encargos e Benefícios Anuais, Mensais e Diários</t>
  </si>
  <si>
    <r>
      <rPr>
        <b val="true"/>
        <sz val="11"/>
        <color rgb="FF000000"/>
        <rFont val="Arial"/>
        <family val="0"/>
        <charset val="1"/>
      </rPr>
      <t xml:space="preserve">Submódulo 2.1 – 13º (décimo terceiro) Salário, (</t>
    </r>
    <r>
      <rPr>
        <b val="true"/>
        <strike val="true"/>
        <sz val="11"/>
        <color rgb="FFFF0000"/>
        <rFont val="Arial"/>
        <family val="0"/>
        <charset val="1"/>
      </rPr>
      <t xml:space="preserve">Férias)</t>
    </r>
    <r>
      <rPr>
        <b val="true"/>
        <sz val="11"/>
        <color rgb="FF000000"/>
        <rFont val="Arial"/>
        <family val="0"/>
        <charset val="1"/>
      </rPr>
      <t xml:space="preserve"> e Adicional de Férias</t>
    </r>
  </si>
  <si>
    <t xml:space="preserve">2.1</t>
  </si>
  <si>
    <t xml:space="preserve">13º (décimo terceiro) Salário, Férias e Adicional de Férias</t>
  </si>
  <si>
    <t xml:space="preserve">Valor (R$)</t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</si>
  <si>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0"/>
        <color rgb="FFFF0000"/>
        <rFont val="Arial"/>
        <family val="0"/>
        <charset val="1"/>
      </rPr>
      <t xml:space="preserve"> </t>
    </r>
    <r>
      <rPr>
        <b val="true"/>
        <sz val="9"/>
        <color rgb="FFFF0000"/>
        <rFont val="Arial"/>
        <family val="0"/>
        <charset val="1"/>
      </rPr>
      <t xml:space="preserve">Obrigatória a cotação de 8,33% sobre o valor do Módulo 1 – Composição da Remuneração1, conforme Anexo XII da IN 5/2017</t>
    </r>
  </si>
  <si>
    <r>
      <rPr>
        <b val="true"/>
        <sz val="10"/>
        <color rgb="FF000000"/>
        <rFont val="Arial"/>
        <family val="0"/>
        <charset val="1"/>
      </rPr>
      <t xml:space="preserve">Adicional de Férias 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3,025% sobre o valor do Módulo 1 - Composição da Remuneração, conforme Anexo XII da IN 5/17 (Férias + Adicional = 12,10% = 9,075% + 3,025%).  </t>
    </r>
    <r>
      <rPr>
        <b val="true"/>
        <sz val="8"/>
        <color rgb="FF0000FF"/>
        <rFont val="Arial"/>
        <family val="0"/>
        <charset val="1"/>
      </rPr>
      <t xml:space="preserve"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 Na hipótese de o contrato não ser prorrogado, o pagamento relativo a Férias do empregado deverá ser efetivado pela provisão feita no Submódulo 4.1.A.</t>
    </r>
  </si>
  <si>
    <t xml:space="preserve">Total</t>
  </si>
  <si>
    <t xml:space="preserve">OBS a ser excluída: Se o prazo do contrato for superior a 12 meses, complementar  o item "B" acima com a seguinte redação: "Além disso, como o prazo do contrato é superior a 12 meses, não cabe cotar o item Férias, conforme recomendação da SEGES/MGI"</t>
  </si>
  <si>
    <r>
      <rPr>
        <sz val="9"/>
        <color rgb="FF000000"/>
        <rFont val="Arial"/>
        <family val="0"/>
        <charset val="1"/>
      </rPr>
      <t xml:space="preserve">Nota 1:  Como a planilha de custos e formação de preços é calculada mensalmente, provisiona-se proporcionalmente 1/12 (um doze avos) dos valores referentes à gratificação natalina,</t>
    </r>
    <r>
      <rPr>
        <b val="true"/>
        <sz val="9"/>
        <color rgb="FFFF0000"/>
        <rFont val="Arial"/>
        <family val="0"/>
        <charset val="1"/>
      </rPr>
      <t xml:space="preserve"> </t>
    </r>
    <r>
      <rPr>
        <b val="true"/>
        <strike val="true"/>
        <sz val="9"/>
        <color rgb="FFFF0000"/>
        <rFont val="Arial"/>
        <family val="0"/>
        <charset val="1"/>
      </rPr>
      <t xml:space="preserve">férias</t>
    </r>
    <r>
      <rPr>
        <b val="true"/>
        <sz val="9"/>
        <color rgb="FFFF0000"/>
        <rFont val="Arial"/>
        <family val="0"/>
        <charset val="1"/>
      </rPr>
      <t xml:space="preserve"> </t>
    </r>
    <r>
      <rPr>
        <sz val="9"/>
        <color rgb="FF000000"/>
        <rFont val="Arial"/>
        <family val="0"/>
        <charset val="1"/>
      </rPr>
      <t xml:space="preserve">e adicional de férias.
</t>
    </r>
    <r>
      <rPr>
        <strike val="true"/>
        <sz val="9"/>
        <color rgb="FF000000"/>
        <rFont val="Arial"/>
        <family val="0"/>
        <charset val="1"/>
      </rPr>
      <t xml:space="preserve">Nota 2:  O adicional de férias contido no Submódulo 2.1 corresponde a 1/3 (um terço) da remuneração que por sua vez é dividido por 12 (doze) conforme Nota 1 acima.</t>
    </r>
    <r>
      <rPr>
        <b val="true"/>
        <strike val="true"/>
        <sz val="9"/>
        <color rgb="FFFF0000"/>
        <rFont val="Arial"/>
        <family val="0"/>
        <charset val="1"/>
      </rPr>
      <t xml:space="preserve"> (Alterar a redação da Nota 2 quando for CV. Ver sugestão abaixo)
</t>
    </r>
    <r>
      <rPr>
        <b val="true"/>
        <sz val="9"/>
        <color rgb="FF0000FF"/>
        <rFont val="Arial"/>
        <family val="0"/>
        <charset val="1"/>
      </rPr>
      <t xml:space="preserve">Nota 2: O adicional de férias contido no Submódulo 2.1 corresponde a 3,025% do Módulo 1, em face do Anexo XII da IN nº 5/2017 exigir 12,10% no somatório de Férias + 1/3 de Férias (9,075% + 3,025%).
</t>
    </r>
    <r>
      <rPr>
        <strike val="true"/>
        <sz val="9"/>
        <color rgb="FFFF0000"/>
        <rFont val="Arial"/>
        <family val="0"/>
        <charset val="1"/>
      </rPr>
      <t xml:space="preserve"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 </t>
    </r>
    <r>
      <rPr>
        <b val="true"/>
        <strike val="true"/>
        <sz val="9"/>
        <color rgb="FFFF0000"/>
        <rFont val="Arial"/>
        <family val="0"/>
        <charset val="1"/>
      </rPr>
      <t xml:space="preserve"> </t>
    </r>
    <r>
      <rPr>
        <b val="true"/>
        <strike val="true"/>
        <sz val="9"/>
        <color rgb="FF0000FF"/>
        <rFont val="Arial"/>
        <family val="0"/>
        <charset val="1"/>
      </rPr>
      <t xml:space="preserve">EXCLUIR A NOTA 3 E A PALAVRA "FÉRIAS" DA NOTA 1.</t>
    </r>
  </si>
  <si>
    <r>
      <rPr>
        <b val="true"/>
        <sz val="11"/>
        <color rgb="FF000000"/>
        <rFont val="Arial"/>
        <family val="0"/>
        <charset val="1"/>
      </rPr>
      <t xml:space="preserve">Submódulo 2.2 - Encargos Previdenciários (GPS), Fundo de Garantia por Tempo de Serviço (FGTS) e outras contribuições </t>
    </r>
    <r>
      <rPr>
        <b val="true"/>
        <sz val="11"/>
        <color rgb="FF0000FF"/>
        <rFont val="Arial"/>
        <family val="0"/>
        <charset val="1"/>
      </rPr>
      <t xml:space="preserve"> (Base de Cálculo = Módulo 1 (= a Rem1) + Submódulo 2.1 + Intervalo Intrajornada)</t>
    </r>
  </si>
  <si>
    <t xml:space="preserve">2.2</t>
  </si>
  <si>
    <t xml:space="preserve">GPS, FGTS e outras contribuições</t>
  </si>
  <si>
    <t xml:space="preserve"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</si>
  <si>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</si>
  <si>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</si>
  <si>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rPr>
        <b val="true"/>
        <sz val="10"/>
        <color rgb="FF000000"/>
        <rFont val="Arial"/>
        <family val="0"/>
        <charset val="1"/>
      </rPr>
      <t xml:space="preserve">RAT x FAP
</t>
    </r>
    <r>
      <rPr>
        <b val="true"/>
        <sz val="7"/>
        <color rgb="FFFF0000"/>
        <rFont val="Arial"/>
        <family val="0"/>
        <charset val="1"/>
      </rPr>
      <t xml:space="preserve">Cálculo do valor: % do RAT (Riscos Ambientais do Trabalho) x FAP (Fator Acidentário de Prevenção de cada empresa)</t>
    </r>
  </si>
  <si>
    <t xml:space="preserve"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</si>
  <si>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</si>
  <si>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</si>
  <si>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</si>
  <si>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 xml:space="preserve">SEBRAE                                                                                                              </t>
  </si>
  <si>
    <t xml:space="preserve">G</t>
  </si>
  <si>
    <t xml:space="preserve">INCRA                                                                                                                  </t>
  </si>
  <si>
    <t xml:space="preserve">H</t>
  </si>
  <si>
    <t xml:space="preserve">FGTS                                                                                                                 </t>
  </si>
  <si>
    <t xml:space="preserve"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</si>
  <si>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 xml:space="preserve">Submódulo 2.3 – Benefícios Mensais e Diários</t>
  </si>
  <si>
    <t xml:space="preserve">2.3</t>
  </si>
  <si>
    <t xml:space="preserve">Benefícios Mensais e Diários</t>
  </si>
  <si>
    <r>
      <rPr>
        <b val="true"/>
        <sz val="10"/>
        <color rgb="FF000000"/>
        <rFont val="Arial"/>
        <family val="0"/>
        <charset val="1"/>
      </rPr>
      <t xml:space="preserve">Transporte                                                          </t>
    </r>
    <r>
      <rPr>
        <b val="true"/>
        <sz val="10"/>
        <color rgb="FFFF0000"/>
        <rFont val="Arial"/>
        <family val="0"/>
        <charset val="1"/>
      </rPr>
      <t xml:space="preserve">Cálculo do valor: [(2xVTx30) – (6%xSB)]</t>
    </r>
  </si>
  <si>
    <r>
      <rPr>
        <b val="true"/>
        <sz val="10"/>
        <color rgb="FF000000"/>
        <rFont val="Arial"/>
        <family val="0"/>
        <charset val="1"/>
      </rPr>
      <t xml:space="preserve">     </t>
    </r>
    <r>
      <rPr>
        <b val="true"/>
        <sz val="10"/>
        <color rgb="FFFF0000"/>
        <rFont val="Arial"/>
        <family val="0"/>
        <charset val="1"/>
      </rPr>
      <t xml:space="preserve">A.1)  Valor da passagem do transporte coletivo no município de
                prestação dos serviços</t>
    </r>
    <r>
      <rPr>
        <b val="true"/>
        <sz val="10"/>
        <color rgb="FF000000"/>
        <rFont val="Arial"/>
        <family val="0"/>
        <charset val="1"/>
      </rPr>
      <t xml:space="preserve"> (DECRETO Nº 22.907, DE 27 DE DEZEMBRO DE 2023, Município de Caxias do Sul)</t>
    </r>
  </si>
  <si>
    <r>
      <rPr>
        <b val="true"/>
        <sz val="10"/>
        <color rgb="FF000000"/>
        <rFont val="Arial"/>
        <family val="0"/>
        <charset val="1"/>
      </rPr>
      <t xml:space="preserve">     </t>
    </r>
    <r>
      <rPr>
        <b val="true"/>
        <sz val="10"/>
        <color rgb="FFFF0000"/>
        <rFont val="Arial"/>
        <family val="0"/>
        <charset val="1"/>
      </rPr>
      <t xml:space="preserve">A.2) Quantidade de passagens por dia por empregado</t>
    </r>
  </si>
  <si>
    <t xml:space="preserve">     A.3) Quantidade de dias do mês de recebimento de passagens</t>
  </si>
  <si>
    <t xml:space="preserve">     A.4) Participação do empregado em percentual do salário-base (cláusula 30 da CCT 2023/2025)</t>
  </si>
  <si>
    <r>
      <rPr>
        <b val="true"/>
        <sz val="10"/>
        <color rgb="FF000000"/>
        <rFont val="Arial"/>
        <family val="0"/>
        <charset val="1"/>
      </rPr>
      <t xml:space="preserve">Auxílio-Refeição/Alimentação  </t>
    </r>
    <r>
      <rPr>
        <b val="true"/>
        <sz val="10"/>
        <color rgb="FFFF0000"/>
        <rFont val="Arial"/>
        <family val="0"/>
        <charset val="1"/>
      </rPr>
      <t xml:space="preserve">Cálculo do valor = [(30xVA)x(1-0,20)]</t>
    </r>
  </si>
  <si>
    <r>
      <rPr>
        <b val="true"/>
        <sz val="10"/>
        <color rgb="FF000000"/>
        <rFont val="Arial"/>
        <family val="0"/>
        <charset val="1"/>
      </rPr>
      <t xml:space="preserve">     </t>
    </r>
    <r>
      <rPr>
        <b val="true"/>
        <sz val="10"/>
        <color rgb="FFFF0000"/>
        <rFont val="Arial"/>
        <family val="0"/>
        <charset val="1"/>
      </rPr>
      <t xml:space="preserve">B.1) Valor do Auxílio-Alimentação  </t>
    </r>
    <r>
      <rPr>
        <b val="true"/>
        <sz val="10"/>
        <color rgb="FF000000"/>
        <rFont val="Arial"/>
        <family val="0"/>
        <charset val="1"/>
      </rPr>
      <t xml:space="preserve">(cláusula 28 da CCT)</t>
    </r>
  </si>
  <si>
    <r>
      <rPr>
        <b val="true"/>
        <sz val="10"/>
        <color rgb="FF000000"/>
        <rFont val="Arial"/>
        <family val="0"/>
        <charset val="1"/>
      </rPr>
      <t xml:space="preserve">     </t>
    </r>
    <r>
      <rPr>
        <b val="true"/>
        <sz val="10"/>
        <color rgb="FFFF0000"/>
        <rFont val="Arial"/>
        <family val="0"/>
        <charset val="1"/>
      </rPr>
      <t xml:space="preserve">B.2) Quantidade de dias do mês de recebimento de auxílio-alimentação</t>
    </r>
  </si>
  <si>
    <t xml:space="preserve">     B.3) Participação do empregado em percentual sobre o auxílio-alimentação
</t>
  </si>
  <si>
    <t xml:space="preserve">Assistência Médica e Familiar</t>
  </si>
  <si>
    <r>
      <rPr>
        <b val="true"/>
        <sz val="10"/>
        <color rgb="FF000000"/>
        <rFont val="Arial"/>
        <family val="0"/>
        <charset val="1"/>
      </rPr>
      <t xml:space="preserve">Seguro de Vida </t>
    </r>
    <r>
      <rPr>
        <b val="true"/>
        <sz val="9"/>
        <color rgb="FFFF0000"/>
        <rFont val="Arial"/>
        <family val="0"/>
        <charset val="1"/>
      </rPr>
      <t xml:space="preserve">Cálculo do valor: 30 x Rem x 0,023%  </t>
    </r>
    <r>
      <rPr>
        <b val="true"/>
        <sz val="9"/>
        <color rgb="FF000000"/>
        <rFont val="Arial"/>
        <family val="0"/>
        <charset val="1"/>
      </rPr>
      <t xml:space="preserve"> (cláusula 32 da CCT)
</t>
    </r>
    <r>
      <rPr>
        <b val="true"/>
        <sz val="8"/>
        <color rgb="FF0000FF"/>
        <rFont val="Arial"/>
        <family val="0"/>
        <charset val="1"/>
      </rPr>
      <t xml:space="preserve">O valor cotado pelo licitante deve ser fixado na planilha e somente deve ser alterado mediante repactuação com comprovação do aumento. Depois da licitação, excluir a fórmula</t>
    </r>
  </si>
  <si>
    <r>
      <rPr>
        <b val="true"/>
        <sz val="10"/>
        <color rgb="FF000000"/>
        <rFont val="Arial"/>
        <family val="0"/>
        <charset val="1"/>
      </rPr>
      <t xml:space="preserve">Auxílio-Funeral  </t>
    </r>
    <r>
      <rPr>
        <b val="true"/>
        <sz val="9"/>
        <color rgb="FFFF0000"/>
        <rFont val="Arial"/>
        <family val="0"/>
        <charset val="1"/>
      </rPr>
      <t xml:space="preserve">Cálculo do valor: (R$6.386,00 x 0,52066%)/12  </t>
    </r>
    <r>
      <rPr>
        <b val="true"/>
        <sz val="9"/>
        <color rgb="FF000000"/>
        <rFont val="Arial"/>
        <family val="0"/>
        <charset val="1"/>
      </rPr>
      <t xml:space="preserve">(cláusula 31 da CCT)
</t>
    </r>
    <r>
      <rPr>
        <b val="true"/>
        <sz val="8"/>
        <color rgb="FF0000FF"/>
        <rFont val="Arial"/>
        <family val="0"/>
        <charset val="1"/>
      </rPr>
      <t xml:space="preserve">O valor cotado pelo licitante deve ser fixado na planilha e somente deve ser alterado mediante repactuação com comprovação do aumento. Depois da licitação, excluir a fórmula</t>
    </r>
  </si>
  <si>
    <t xml:space="preserve">Outros (especificar)</t>
  </si>
  <si>
    <t xml:space="preserve"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</si>
  <si>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 xml:space="preserve">Quadro-Resumo do Módulo 2 – Encargos e Benefícios Anuais, Mensais e Diários</t>
  </si>
  <si>
    <t xml:space="preserve">Encargos e Benefícios Anuais, Mensais e Diários</t>
  </si>
  <si>
    <t xml:space="preserve">13º (décimo terceiro) Salário e Adicional de Férias</t>
  </si>
  <si>
    <t xml:space="preserve">Módulo 3 - Provisão para Rescisão</t>
  </si>
  <si>
    <t xml:space="preserve">Provisão para Rescisão</t>
  </si>
  <si>
    <r>
      <rPr>
        <b val="true"/>
        <sz val="10"/>
        <color rgb="FF000000"/>
        <rFont val="Arial"/>
        <family val="0"/>
        <charset val="1"/>
      </rPr>
      <t xml:space="preserve">Aviso Prévio Indenizado     </t>
    </r>
    <r>
      <rPr>
        <b val="true"/>
        <sz val="8"/>
        <color rgb="FFFF0000"/>
        <rFont val="Arial"/>
        <family val="0"/>
        <charset val="1"/>
      </rPr>
      <t xml:space="preserve"> Cálculo do valor = [Rem/12 + 13º/12 + (Férias + 1/3 Férias)/12] x (30/30=1) x 5% de rotatividade anual - Os reflexos de 13º, F e 1/3F são referentes a 1 mês de APInd - </t>
    </r>
    <r>
      <rPr>
        <b val="true"/>
        <sz val="8"/>
        <color rgb="FF0000FF"/>
        <rFont val="Arial"/>
        <family val="0"/>
        <charset val="1"/>
      </rPr>
      <t xml:space="preserve">Na prorrogação, poderão ser considerados 3 dias conforme Lei nº 12.506/2011, dependendo da análise do nº de ocorrências deste evento no período.</t>
    </r>
  </si>
  <si>
    <t xml:space="preserve">Incidência do FGTS sobre o Aviso Prévio Indenizado</t>
  </si>
  <si>
    <r>
      <rPr>
        <b val="true"/>
        <sz val="10"/>
        <color rgb="FF000000"/>
        <rFont val="Arial"/>
        <family val="0"/>
        <charset val="1"/>
      </rPr>
      <t xml:space="preserve">Aviso Prévio Trabalhado       </t>
    </r>
    <r>
      <rPr>
        <b val="true"/>
        <sz val="10"/>
        <color rgb="FFFF0000"/>
        <rFont val="Arial"/>
        <family val="0"/>
        <charset val="1"/>
      </rPr>
      <t xml:space="preserve">(</t>
    </r>
    <r>
      <rPr>
        <b val="true"/>
        <sz val="9"/>
        <color rgb="FFFF0000"/>
        <rFont val="Arial"/>
        <family val="0"/>
        <charset val="1"/>
      </rPr>
      <t xml:space="preserve">negociar extinção/redução na 1ª prorrogação)  Cálculo do valor= [(Rem1/30)x7]/</t>
    </r>
    <r>
      <rPr>
        <b val="true"/>
        <sz val="11"/>
        <color rgb="FF0000FF"/>
        <rFont val="Arial"/>
        <family val="0"/>
        <charset val="1"/>
      </rPr>
      <t xml:space="preserve">12</t>
    </r>
    <r>
      <rPr>
        <b val="true"/>
        <sz val="9"/>
        <color rgb="FFFF0000"/>
        <rFont val="Arial"/>
        <family val="0"/>
        <charset val="1"/>
      </rPr>
      <t xml:space="preserve"> meses do contratox100% dos empregados - ao final do contrato  - </t>
    </r>
    <r>
      <rPr>
        <b val="true"/>
        <sz val="8"/>
        <color rgb="FF0000FF"/>
        <rFont val="Arial"/>
        <family val="0"/>
        <charset val="1"/>
      </rPr>
      <t xml:space="preserve">Na prorrogação, poderão ser considerados 3 dias conforme Lei nº 12.506/2011, dependendo da análise do nº de ocorrências deste evento no período.</t>
    </r>
  </si>
  <si>
    <t xml:space="preserve">Incidência de GPS, FGTS e outras contribuições sobre o Aviso Prévio Trabalhado</t>
  </si>
  <si>
    <r>
      <rPr>
        <b val="true"/>
        <sz val="10"/>
        <color rgb="FF000000"/>
        <rFont val="Arial"/>
        <family val="0"/>
        <charset val="1"/>
      </rPr>
      <t xml:space="preserve">Multa do FGTS sobre o Aviso Prévio Trabalhado e o Aviso Prévio Indenizado </t>
    </r>
    <r>
      <rPr>
        <b val="true"/>
        <sz val="9"/>
        <color rgb="FFFF0000"/>
        <rFont val="Arial"/>
        <family val="0"/>
        <charset val="1"/>
      </rPr>
      <t xml:space="preserve">Obrigatória a cotação de 4% sobre o valor do Módulo 1 – Composição da Remuneração1, conforme Anexo XII da IN 5/2017 </t>
    </r>
  </si>
  <si>
    <t xml:space="preserve">TOTAL</t>
  </si>
  <si>
    <t xml:space="preserve"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</si>
  <si>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</si>
  <si>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 val="true"/>
        <sz val="11"/>
        <color rgb="FF000000"/>
        <rFont val="Arial"/>
        <family val="0"/>
        <charset val="1"/>
      </rPr>
      <t xml:space="preserve">Base de cálculo para o Custo de Reposição do Profissional Ausente (substituto): BCCPA = MÓDULO 1 (= a Rem2) + MÓDULO 2 (- VA - VT) + FÉRIAS + MÓDULO 3</t>
    </r>
    <r>
      <rPr>
        <b val="true"/>
        <sz val="11"/>
        <color rgb="FFFF0000"/>
        <rFont val="Arial"/>
        <family val="0"/>
        <charset val="1"/>
      </rPr>
      <t xml:space="preserve"> - exceto o Substituto na cobertura de Férias e o Afastamento Maternidade, sendo que neste último a Rem e o 13º podem ser compensados pelo INSS, ambos com base de cálculo própria, conforme consta nesses itens de custo.</t>
    </r>
  </si>
  <si>
    <t xml:space="preserve">MÓD 1                 (= a Rem1)=</t>
  </si>
  <si>
    <t xml:space="preserve">+</t>
  </si>
  <si>
    <r>
      <rPr>
        <b val="true"/>
        <sz val="11"/>
        <color rgb="FF0000FF"/>
        <rFont val="Arial"/>
        <family val="0"/>
        <charset val="1"/>
      </rPr>
      <t xml:space="preserve">MÓD 2 </t>
    </r>
    <r>
      <rPr>
        <b val="true"/>
        <sz val="10"/>
        <color rgb="FFFF0000"/>
        <rFont val="Arial"/>
        <family val="0"/>
        <charset val="1"/>
      </rPr>
      <t xml:space="preserve">(sem VA e VT) + </t>
    </r>
    <r>
      <rPr>
        <b val="true"/>
        <sz val="10"/>
        <color rgb="FF0000FF"/>
        <rFont val="Arial"/>
        <family val="0"/>
        <charset val="1"/>
      </rPr>
      <t xml:space="preserve">Férias</t>
    </r>
    <r>
      <rPr>
        <b val="true"/>
        <sz val="10"/>
        <color rgb="FFFF0000"/>
        <rFont val="Arial"/>
        <family val="0"/>
        <charset val="1"/>
      </rPr>
      <t xml:space="preserve"> </t>
    </r>
    <r>
      <rPr>
        <b val="true"/>
        <sz val="11"/>
        <color rgb="FF0000FF"/>
        <rFont val="Arial"/>
        <family val="0"/>
        <charset val="1"/>
      </rPr>
      <t xml:space="preserve">=</t>
    </r>
  </si>
  <si>
    <t xml:space="preserve">MÓD 3 =</t>
  </si>
  <si>
    <t xml:space="preserve">Submódulo 4.1 – Substituto nas Ausências Legais </t>
  </si>
  <si>
    <t xml:space="preserve">4.1</t>
  </si>
  <si>
    <t xml:space="preserve">Substituto nas Ausências Legais</t>
  </si>
  <si>
    <r>
      <rPr>
        <b val="true"/>
        <sz val="10"/>
        <color rgb="FF000000"/>
        <rFont val="Arial"/>
        <family val="0"/>
        <charset val="1"/>
      </rPr>
      <t xml:space="preserve">Substituto na cobertura de Férias   </t>
    </r>
    <r>
      <rPr>
        <sz val="10"/>
        <color rgb="FFFF0000"/>
        <rFont val="Arial"/>
        <family val="0"/>
        <charset val="1"/>
      </rPr>
      <t xml:space="preserve">O</t>
    </r>
    <r>
      <rPr>
        <b val="true"/>
        <sz val="8"/>
        <color rgb="FFFF0000"/>
        <rFont val="Arial"/>
        <family val="0"/>
        <charset val="1"/>
      </rPr>
      <t xml:space="preserve">brigatória a cotação de 9,075% sobre o valor do Módulo 1 - Composição da Remuneração, </t>
    </r>
    <r>
      <rPr>
        <b val="true"/>
        <sz val="8"/>
        <color rgb="FF0000FF"/>
        <rFont val="Arial"/>
        <family val="0"/>
        <charset val="1"/>
      </rPr>
      <t xml:space="preserve">mais</t>
    </r>
    <r>
      <rPr>
        <b val="true"/>
        <sz val="8"/>
        <color rgb="FF0066CC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 percentual do Submódulo 2.2 sobre o cálculo anterior, conforme Anexo XII da IN 5/17 (Férias + Adicional = 12,10% = 9,075% + 3,025%)</t>
    </r>
  </si>
  <si>
    <r>
      <rPr>
        <b val="true"/>
        <sz val="12"/>
        <color rgb="FF000000"/>
        <rFont val="Arial"/>
        <family val="0"/>
        <charset val="1"/>
      </rPr>
      <t xml:space="preserve">Substituto na cobertura de Ausências Legais 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/30)x1dia]/12</t>
    </r>
  </si>
  <si>
    <r>
      <rPr>
        <b val="true"/>
        <sz val="12"/>
        <color rgb="FF000000"/>
        <rFont val="Arial"/>
        <family val="0"/>
        <charset val="1"/>
      </rPr>
      <t xml:space="preserve">Substituto na cobertura de Licença-Paternidade
</t>
    </r>
    <r>
      <rPr>
        <b val="true"/>
        <sz val="10"/>
        <color rgb="FFFF0000"/>
        <rFont val="Arial"/>
        <family val="0"/>
        <charset val="1"/>
      </rPr>
      <t xml:space="preserve">Cálculo do valor = {[(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/30)x5dias]/12}x1,5%</t>
    </r>
  </si>
  <si>
    <r>
      <rPr>
        <b val="true"/>
        <sz val="12"/>
        <color rgb="FF000000"/>
        <rFont val="Arial"/>
        <family val="0"/>
        <charset val="1"/>
      </rPr>
      <t xml:space="preserve">Substituto na cobertura de Ausência por acidente de trabalho
</t>
    </r>
    <r>
      <rPr>
        <b val="true"/>
        <sz val="10"/>
        <color rgb="FFFF0000"/>
        <rFont val="Arial"/>
        <family val="0"/>
        <charset val="1"/>
      </rPr>
      <t xml:space="preserve">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)/30x0,69 dias]/12</t>
    </r>
  </si>
  <si>
    <r>
      <rPr>
        <b val="true"/>
        <sz val="12"/>
        <color rgb="FF000000"/>
        <rFont val="Arial"/>
        <family val="0"/>
        <charset val="1"/>
      </rPr>
      <t xml:space="preserve">Substituto na cobertura de Afastamento Maternidade
</t>
    </r>
    <r>
      <rPr>
        <b val="true"/>
        <sz val="8"/>
        <color rgb="FFFF0000"/>
        <rFont val="Arial"/>
        <family val="0"/>
        <charset val="1"/>
      </rPr>
      <t xml:space="preserve">Cálculo do valor = [((Férias + Férias / 3) + SUB2.2 x (Férias + Férias / 3)) x (4/12)] x 2% + [( FGTS x Rem + SUB 2.2 x 13º</t>
    </r>
    <r>
      <rPr>
        <b val="true"/>
        <sz val="8"/>
        <color rgb="FF0000CC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+ SUB2.3 – VA – VT + MÓD3) x (4/12)] } x 2%     
</t>
    </r>
    <r>
      <rPr>
        <b val="true"/>
        <sz val="7"/>
        <color rgb="FF0000FF"/>
        <rFont val="Arial"/>
        <family val="0"/>
        <charset val="1"/>
      </rPr>
      <t xml:space="preserve"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</si>
  <si>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doença</t>
    </r>
    <r>
      <rPr>
        <b val="true"/>
        <sz val="10"/>
        <color rgb="FFFF0000"/>
        <rFont val="Arial"/>
        <family val="0"/>
        <charset val="1"/>
      </rPr>
      <t xml:space="preserve"> 
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)/30)x3dias]/12
</t>
    </r>
    <r>
      <rPr>
        <b val="true"/>
        <sz val="8"/>
        <color rgb="FF0000FF"/>
        <rFont val="Arial"/>
        <family val="0"/>
        <charset val="1"/>
      </rPr>
      <t xml:space="preserve">Incluído por permissão da IN Seges nº 5/2017, Anexo VII-B, item 1.7, alíneas "b" e "c".5.</t>
    </r>
  </si>
  <si>
    <t xml:space="preserve">Submódulo 4.2 – Substituto na Intrajornada</t>
  </si>
  <si>
    <t xml:space="preserve">4.2 </t>
  </si>
  <si>
    <t xml:space="preserve">Substituto na Intrajornada</t>
  </si>
  <si>
    <t xml:space="preserve">Substituto na cobertura de 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</si>
  <si>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</si>
  <si>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</si>
  <si>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4.2</t>
  </si>
  <si>
    <t xml:space="preserve">Módulo 5 – Insumos Diversos</t>
  </si>
  <si>
    <t xml:space="preserve">Insumos Diversos</t>
  </si>
  <si>
    <r>
      <rPr>
        <b val="true"/>
        <sz val="10"/>
        <color rgb="FF000000"/>
        <rFont val="Arial"/>
        <family val="0"/>
        <charset val="1"/>
      </rPr>
      <t xml:space="preserve">Uniformes  - conforme memoria de calculo </t>
    </r>
    <r>
      <rPr>
        <b val="true"/>
        <sz val="10"/>
        <color rgb="FF333333"/>
        <rFont val="Arial"/>
        <family val="0"/>
        <charset val="1"/>
      </rPr>
      <t xml:space="preserve"> (para os 2 vigilantes titulares)</t>
    </r>
  </si>
  <si>
    <r>
      <rPr>
        <b val="true"/>
        <sz val="10"/>
        <color rgb="FF000000"/>
        <rFont val="Arial"/>
        <family val="0"/>
        <charset val="1"/>
      </rPr>
      <t xml:space="preserve">Materiais / Equipamentos   - conforme memoria de calculo </t>
    </r>
    <r>
      <rPr>
        <b val="true"/>
        <sz val="10"/>
        <color rgb="FF333333"/>
        <rFont val="Arial"/>
        <family val="0"/>
        <charset val="1"/>
      </rPr>
      <t xml:space="preserve">(Por posto e não por vigilante)</t>
    </r>
  </si>
  <si>
    <t xml:space="preserve">Total </t>
  </si>
  <si>
    <t xml:space="preserve">Nota: Valores mensais por empregado</t>
  </si>
  <si>
    <t xml:space="preserve">Módulo 6 - Custos Indiretos, Lucro e Tributos</t>
  </si>
  <si>
    <t xml:space="preserve">Custos Indiretos, Lucro e Tributos </t>
  </si>
  <si>
    <t xml:space="preserve"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</si>
  <si>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 xml:space="preserve">Custos Indiretos</t>
  </si>
  <si>
    <t xml:space="preserve"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</si>
  <si>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 xml:space="preserve">Lucro</t>
  </si>
  <si>
    <t xml:space="preserve"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</si>
  <si>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 xml:space="preserve">Tributos</t>
  </si>
  <si>
    <t xml:space="preserve">C.1    Tributos federais (especificar)</t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</si>
  <si>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a) Cofins </t>
    </r>
    <r>
      <rPr>
        <sz val="8"/>
        <color rgb="FFFF0000"/>
        <rFont val="Arial"/>
        <family val="0"/>
        <charset val="1"/>
      </rPr>
      <t xml:space="preserve">(depende do regime de tributação - utilizada a hipótese de Lucro Real ou Presumido)</t>
    </r>
  </si>
  <si>
    <r>
      <rPr>
        <sz val="10"/>
        <color rgb="FF000000"/>
        <rFont val="Arial"/>
        <family val="0"/>
        <charset val="1"/>
      </rPr>
      <t xml:space="preserve">  </t>
    </r>
    <r>
      <rPr>
        <b val="true"/>
        <sz val="10"/>
        <color rgb="FF000000"/>
        <rFont val="Arial"/>
        <family val="0"/>
        <charset val="1"/>
      </rPr>
      <t xml:space="preserve">b) PIS       </t>
    </r>
    <r>
      <rPr>
        <sz val="9"/>
        <color rgb="FFFF0000"/>
        <rFont val="Arial"/>
        <family val="0"/>
        <charset val="1"/>
      </rPr>
      <t xml:space="preserve">(depende do regime de tributação - utilizada a hipótese de Lucro Real ou Presumido)</t>
    </r>
  </si>
  <si>
    <r>
      <rPr>
        <b val="true"/>
        <sz val="10"/>
        <color rgb="FF000000"/>
        <rFont val="Arial"/>
        <family val="0"/>
        <charset val="1"/>
      </rPr>
      <t xml:space="preserve"> c) IRPJ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0000CC"/>
        <rFont val="Arial"/>
        <family val="0"/>
        <charset val="1"/>
      </rPr>
      <t xml:space="preserve">-</t>
    </r>
    <r>
      <rPr>
        <b val="true"/>
        <sz val="9"/>
        <color rgb="FF0000CC"/>
        <rFont val="Arial"/>
        <family val="0"/>
        <charset val="1"/>
      </rPr>
      <t xml:space="preserve"> Em face dos Acórdãos TCU nºs 950/2007-P e 205/2018-P, o licitante não pode cotar expressamente este tributo.</t>
    </r>
  </si>
  <si>
    <r>
      <rPr>
        <b val="true"/>
        <sz val="10"/>
        <color rgb="FF000000"/>
        <rFont val="Arial"/>
        <family val="0"/>
        <charset val="1"/>
      </rPr>
      <t xml:space="preserve"> d) CSLL </t>
    </r>
    <r>
      <rPr>
        <b val="true"/>
        <sz val="10"/>
        <color rgb="FF0000CC"/>
        <rFont val="Arial"/>
        <family val="0"/>
        <charset val="1"/>
      </rPr>
      <t xml:space="preserve">- </t>
    </r>
    <r>
      <rPr>
        <b val="true"/>
        <sz val="9"/>
        <color rgb="FF0000CC"/>
        <rFont val="Arial"/>
        <family val="0"/>
        <charset val="1"/>
      </rPr>
      <t xml:space="preserve">Em face dos Acórdãos TCU nºs 950/2007-P e 205/2018-P, o licitante não pode cotar expressamente este tributo.</t>
    </r>
  </si>
  <si>
    <t xml:space="preserve">C.2   Tributos estaduais (especificar)</t>
  </si>
  <si>
    <t xml:space="preserve">C.3   Tributos municipais (especificar):</t>
  </si>
  <si>
    <r>
      <rPr>
        <b val="true"/>
        <sz val="10"/>
        <color rgb="FF000000"/>
        <rFont val="Arial"/>
        <family val="0"/>
        <charset val="1"/>
      </rPr>
      <t xml:space="preserve">  a) ISS             </t>
    </r>
    <r>
      <rPr>
        <b val="true"/>
        <sz val="10"/>
        <color rgb="FFFF0000"/>
        <rFont val="Arial"/>
        <family val="0"/>
        <charset val="1"/>
      </rPr>
      <t xml:space="preserve">(Tabela de Avidades e Alíquotas do ISS.,LC 701/2022 Municipio de Caxias do Sul)</t>
    </r>
  </si>
  <si>
    <t xml:space="preserve">Percentual Total e Valor Total de Tributos  </t>
  </si>
  <si>
    <t xml:space="preserve"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</si>
  <si>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</si>
  <si>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</si>
  <si>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</si>
  <si>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 xml:space="preserve">Nota 1: Custos Indiretos, Lucro e Tributos por empregado.
Nota 2: O valor referente a tributos é obtido aplicando-se o percentual sobre o valor do faturamento.</t>
  </si>
  <si>
    <t xml:space="preserve">2. QUADRO-RESUMO DO CUSTO POR POSTO DE TRABALHO</t>
  </si>
  <si>
    <t xml:space="preserve">Mão de obra vinculada à execução contratual (valor por Posto de Trabalho)</t>
  </si>
  <si>
    <t xml:space="preserve">Módulo 1 - Composição da Remuneração2</t>
  </si>
  <si>
    <t xml:space="preserve">Módulo 2 – Encargos e Benefícios Anuais, Mensais e Diários</t>
  </si>
  <si>
    <t xml:space="preserve">Módulo 3 – Provisão para Rescisão</t>
  </si>
  <si>
    <t xml:space="preserve">Módulo 4 – Custo de Reposição do Profissional Ausente</t>
  </si>
  <si>
    <t xml:space="preserve">Módulo 5 - Insumos Diversos </t>
  </si>
  <si>
    <t xml:space="preserve">Subtotal (A + B + C + D + E)</t>
  </si>
  <si>
    <t xml:space="preserve">Valor Total por Posto</t>
  </si>
  <si>
    <t xml:space="preserve">O complemento abaixo é uma planilha auxiliar que consolida as várias planilhas com os diferentes tipos de postos </t>
  </si>
  <si>
    <t xml:space="preserve">3.  COMPLEMENTO DOS SERVIÇOS DE VIGILÂNCIA – VALOR MENSAL DOS SERVIÇOS</t>
  </si>
  <si>
    <t xml:space="preserve">ESCALA DE TRABALHO</t>
  </si>
  <si>
    <t xml:space="preserve">PREÇO MENSAL DO POSTO  
(R$)</t>
  </si>
  <si>
    <t xml:space="preserve">NÚMERO DE POSTOS</t>
  </si>
  <si>
    <t xml:space="preserve">SUBTOTAL
(R$)</t>
  </si>
  <si>
    <t xml:space="preserve">44 (quarenta e quatro) horas semanais diurnas, de segunda a sexta-feira envolvendo 1 (um) vigilante</t>
  </si>
  <si>
    <t xml:space="preserve">12 horas diurnas, de segunda-feira a domingo, envolvendo 2 (dois) vigilantes em turnos de  12 (doze) por 36 (trinta e seis) horas </t>
  </si>
  <si>
    <t xml:space="preserve">12 horas noturnas, de segunda-feira a domingo, envolvendo 2 (dois) vigilantes em turnos de  12 (doze) por 36 (trinta e seis) horas </t>
  </si>
  <si>
    <t xml:space="preserve">12 horas diurnas, de segunda-feira à sexta-feira, envolvendo 2 (dois) vigilantes em turnos de  12 (doze) por 36 (trinta e seis) horas </t>
  </si>
  <si>
    <t xml:space="preserve">12 horas noturnas, de segunda-feira à sexta-feira, envolvendo 2 (dois) vigilantes em turnos de  12 (doze) por 36 (trinta e seis) horas </t>
  </si>
  <si>
    <r>
      <rPr>
        <b val="true"/>
        <sz val="10"/>
        <color rgb="FF000000"/>
        <rFont val="Arial"/>
        <family val="0"/>
        <charset val="1"/>
      </rPr>
      <t xml:space="preserve">Outros (especificar) </t>
    </r>
    <r>
      <rPr>
        <b val="true"/>
        <sz val="14"/>
        <color rgb="FFFF0000"/>
        <rFont val="Arial"/>
        <family val="0"/>
        <charset val="1"/>
      </rPr>
      <t xml:space="preserve">(excluir linhas que não serão utilizadas)</t>
    </r>
  </si>
  <si>
    <t xml:space="preserve">TOTAL:</t>
  </si>
  <si>
    <t xml:space="preserve">Nota: Nos casos de inclusão de outros tipos de postos, observar o disposto no item 4 do Anexo VI-A, desta Instrução Normativa </t>
  </si>
  <si>
    <t xml:space="preserve">Valor mensal do serviço</t>
  </si>
  <si>
    <t xml:space="preserve">Número de meses do contrato</t>
  </si>
  <si>
    <r>
      <rPr>
        <b val="true"/>
        <sz val="14"/>
        <color rgb="FF000000"/>
        <rFont val="Arial"/>
        <family val="0"/>
        <charset val="1"/>
      </rPr>
      <t xml:space="preserve">Valor global da proposta </t>
    </r>
    <r>
      <rPr>
        <b val="true"/>
        <sz val="10"/>
        <color rgb="FF000000"/>
        <rFont val="Arial"/>
        <family val="0"/>
        <charset val="1"/>
      </rPr>
      <t xml:space="preserve">(valor mensal do serviço x nº de meses do contrato)</t>
    </r>
  </si>
  <si>
    <t xml:space="preserve">QUANTIDADE DE PESSOAL ALOCADO NA EXECUÇÃO CONTRATUAL (item 6.2.e do Anexo VII da IN nº 5/2017)</t>
  </si>
  <si>
    <t xml:space="preserve">Tipo de Mão de Obra</t>
  </si>
  <si>
    <t xml:space="preserve">Quantidade de Pessoal</t>
  </si>
  <si>
    <t xml:space="preserve">Vigilante</t>
  </si>
  <si>
    <t xml:space="preserve">MATERIAIS, MÁQUINAS E EQUIPAMENTOS ALOCADOS NA EXECUÇÃO CONTRATUAL  (item 6.2.f do Anexo VII da IN nº 5/2017)</t>
  </si>
  <si>
    <t xml:space="preserve">Especificação dos Materiais/Máquinas/Equipamentos</t>
  </si>
  <si>
    <t xml:space="preserve">Quantidade </t>
  </si>
  <si>
    <r>
      <rPr>
        <b val="true"/>
        <sz val="15"/>
        <color rgb="FF800080"/>
        <rFont val="Arial"/>
        <family val="0"/>
        <charset val="1"/>
      </rPr>
      <t xml:space="preserve">VIGILÂNCIA 12 x 36 NOTURNA - </t>
    </r>
    <r>
      <rPr>
        <b val="true"/>
        <sz val="14"/>
        <color rgb="FF3333FF"/>
        <rFont val="Arial"/>
        <family val="0"/>
        <charset val="1"/>
      </rPr>
      <t xml:space="preserve">Lucro Real e Presumido </t>
    </r>
    <r>
      <rPr>
        <b val="true"/>
        <sz val="14"/>
        <color rgb="FF0000FF"/>
        <rFont val="Arial"/>
        <family val="0"/>
        <charset val="1"/>
      </rPr>
      <t xml:space="preserve">- </t>
    </r>
    <r>
      <rPr>
        <b val="true"/>
        <sz val="16"/>
        <color rgb="FFFF0000"/>
        <rFont val="Arial"/>
        <family val="0"/>
        <charset val="1"/>
      </rPr>
      <t xml:space="preserve">CONTA VINCULADA</t>
    </r>
  </si>
  <si>
    <r>
      <rPr>
        <b val="true"/>
        <sz val="18"/>
        <color rgb="FF000000"/>
        <rFont val="Arial"/>
        <family val="0"/>
        <charset val="1"/>
      </rPr>
      <t xml:space="preserve">ANEXO III  </t>
    </r>
    <r>
      <rPr>
        <b val="true"/>
        <sz val="18"/>
        <color rgb="FFFF0000"/>
        <rFont val="Arial"/>
        <family val="0"/>
        <charset val="1"/>
      </rPr>
      <t xml:space="preserve">do Pregão nº 9005/2024 - </t>
    </r>
    <r>
      <rPr>
        <b val="true"/>
        <sz val="18"/>
        <color rgb="FF0000FF"/>
        <rFont val="Arial"/>
        <family val="0"/>
        <charset val="1"/>
      </rPr>
      <t xml:space="preserve">COM PERI NO FIM
</t>
    </r>
    <r>
      <rPr>
        <b val="true"/>
        <sz val="18"/>
        <color rgb="FF000000"/>
        <rFont val="Arial"/>
        <family val="0"/>
        <charset val="1"/>
      </rPr>
      <t xml:space="preserve">MODELO DE PLANILHA DE CUSTOS E FORMAÇÃO DE PREÇOS </t>
    </r>
    <r>
      <rPr>
        <b val="true"/>
        <sz val="18"/>
        <color rgb="FF800080"/>
        <rFont val="Arial"/>
        <family val="0"/>
        <charset val="1"/>
      </rPr>
      <t xml:space="preserve"> </t>
    </r>
  </si>
  <si>
    <t xml:space="preserve">Pregão nº 9005/2024</t>
  </si>
  <si>
    <t xml:space="preserve">Dia: </t>
  </si>
  <si>
    <r>
      <rPr>
        <b val="true"/>
        <sz val="10"/>
        <color rgb="FF000000"/>
        <rFont val="Arial"/>
        <family val="0"/>
        <charset val="1"/>
      </rPr>
      <t xml:space="preserve">Adicional Noturno  sobre: 1) 7h de 60min p/dia + 2) 1,0 h reduzida noturna p/dia para o RS  </t>
    </r>
    <r>
      <rPr>
        <b val="true"/>
        <sz val="10"/>
        <color rgb="FFFF0000"/>
        <rFont val="Arial"/>
        <family val="0"/>
        <charset val="1"/>
      </rPr>
      <t xml:space="preserve">Cálculo do valor: AN (s/peri) x </t>
    </r>
    <r>
      <rPr>
        <b val="true"/>
        <sz val="10"/>
        <color rgb="FF2300DC"/>
        <rFont val="Arial"/>
        <family val="0"/>
        <charset val="1"/>
      </rPr>
      <t xml:space="preserve">8h)</t>
    </r>
    <r>
      <rPr>
        <b val="true"/>
        <sz val="10"/>
        <color rgb="FFFF0000"/>
        <rFont val="Arial"/>
        <family val="0"/>
        <charset val="1"/>
      </rPr>
      <t xml:space="preserve">x15dx2vig. </t>
    </r>
    <r>
      <rPr>
        <b val="true"/>
        <sz val="10"/>
        <color rgb="FF0000FF"/>
        <rFont val="Arial"/>
        <family val="0"/>
        <charset val="1"/>
      </rPr>
      <t xml:space="preserve">Das 22h às 5h.</t>
    </r>
    <r>
      <rPr>
        <b val="true"/>
        <sz val="10"/>
        <color rgb="FF000000"/>
        <rFont val="Arial"/>
        <family val="0"/>
        <charset val="1"/>
      </rPr>
      <t xml:space="preserve">  (cláusulas 25 CCT)</t>
    </r>
  </si>
  <si>
    <r>
      <rPr>
        <b val="true"/>
        <sz val="10"/>
        <color rgb="FF000000"/>
        <rFont val="Arial"/>
        <family val="0"/>
        <charset val="1"/>
      </rPr>
      <t xml:space="preserve">Adicional de Hora Noturna Reduzida</t>
    </r>
    <r>
      <rPr>
        <b val="true"/>
        <sz val="10"/>
        <color rgb="FFFF0000"/>
        <rFont val="Arial"/>
        <family val="0"/>
        <charset val="1"/>
      </rPr>
      <t xml:space="preserve"> (Hora Reduzida Noturna como Extra) </t>
    </r>
    <r>
      <rPr>
        <b val="true"/>
        <sz val="10"/>
        <color rgb="FF0000FF"/>
        <rFont val="Arial"/>
        <family val="0"/>
        <charset val="1"/>
      </rPr>
      <t xml:space="preserve">(HRN que excedeu de 190,67h) </t>
    </r>
    <r>
      <rPr>
        <b val="true"/>
        <sz val="10"/>
        <color rgb="FFFF0000"/>
        <rFont val="Arial"/>
        <family val="0"/>
        <charset val="1"/>
      </rPr>
      <t xml:space="preserve">Cálculo do valor: HE (s/peri) x </t>
    </r>
    <r>
      <rPr>
        <b val="true"/>
        <sz val="10"/>
        <color rgb="FF0000FF"/>
        <rFont val="Arial"/>
        <family val="0"/>
        <charset val="1"/>
      </rPr>
      <t xml:space="preserve">4,33 h</t>
    </r>
    <r>
      <rPr>
        <b val="true"/>
        <sz val="10"/>
        <color rgb="FFFF0000"/>
        <rFont val="Arial"/>
        <family val="0"/>
        <charset val="1"/>
      </rPr>
      <t xml:space="preserve"> x 2 vig.)  ---   [195h (=180h + </t>
    </r>
    <r>
      <rPr>
        <b val="true"/>
        <sz val="10"/>
        <color rgb="FF0000FF"/>
        <rFont val="Arial"/>
        <family val="0"/>
        <charset val="1"/>
      </rPr>
      <t xml:space="preserve">15h</t>
    </r>
    <r>
      <rPr>
        <b val="true"/>
        <sz val="10"/>
        <color rgb="FFFF0000"/>
        <rFont val="Arial"/>
        <family val="0"/>
        <charset val="1"/>
      </rPr>
      <t xml:space="preserve">) - 190,67 = </t>
    </r>
    <r>
      <rPr>
        <b val="true"/>
        <sz val="10"/>
        <color rgb="FF0000FF"/>
        <rFont val="Arial"/>
        <family val="0"/>
        <charset val="1"/>
      </rPr>
      <t xml:space="preserve">4,33h</t>
    </r>
    <r>
      <rPr>
        <b val="true"/>
        <sz val="10"/>
        <color rgb="FFFF0000"/>
        <rFont val="Arial"/>
        <family val="0"/>
        <charset val="1"/>
      </rPr>
      <t xml:space="preserve"> como horas extras, sendo  </t>
    </r>
    <r>
      <rPr>
        <b val="true"/>
        <sz val="10"/>
        <color rgb="FF0000FF"/>
        <rFont val="Arial"/>
        <family val="0"/>
        <charset val="1"/>
      </rPr>
      <t xml:space="preserve">15</t>
    </r>
    <r>
      <rPr>
        <b val="true"/>
        <sz val="10"/>
        <color rgb="FFFF0000"/>
        <rFont val="Arial"/>
        <family val="0"/>
        <charset val="1"/>
      </rPr>
      <t xml:space="preserve"> = 15x(7hx1,1428571 – 7h) </t>
    </r>
    <r>
      <rPr>
        <b val="true"/>
        <sz val="10"/>
        <color rgb="FF0000FF"/>
        <rFont val="Arial"/>
        <family val="0"/>
        <charset val="1"/>
      </rPr>
      <t xml:space="preserve">Das 22h às 5h </t>
    </r>
  </si>
  <si>
    <r>
      <rPr>
        <b val="true"/>
        <sz val="10"/>
        <color rgb="FF000000"/>
        <rFont val="Arial"/>
        <family val="0"/>
        <charset val="1"/>
      </rPr>
      <t xml:space="preserve">Adicional para Troca de Uniforme -  Cálculo do valor: 1/6 do salário-hora por dia = </t>
    </r>
    <r>
      <rPr>
        <b val="true"/>
        <sz val="10"/>
        <color rgb="FFFF0000"/>
        <rFont val="Arial"/>
        <family val="0"/>
        <charset val="1"/>
      </rPr>
      <t xml:space="preserve">(VSH/6=1,34)x2x15 </t>
    </r>
    <r>
      <rPr>
        <b val="true"/>
        <sz val="10"/>
        <color rgb="FF000000"/>
        <rFont val="Arial"/>
        <family val="0"/>
        <charset val="1"/>
      </rPr>
      <t xml:space="preserve">  (cláusula 38 da CCT “As partes esclarecem que o valor do VA restou neste patamar, considerando a não adoção na presente convenção da cláusula de troca de uniforme na conformidade do disposto no art. 4º, § 2º, inciso VIII da lei nº 13.467/2017”)</t>
    </r>
  </si>
  <si>
    <r>
      <rPr>
        <b val="true"/>
        <sz val="10"/>
        <color rgb="FF000000"/>
        <rFont val="Arial"/>
        <family val="0"/>
        <charset val="1"/>
      </rPr>
      <t xml:space="preserve">RSR (Repouso Semanal Remunerado) - </t>
    </r>
    <r>
      <rPr>
        <b val="true"/>
        <sz val="10"/>
        <color rgb="FFFF0000"/>
        <rFont val="Arial"/>
        <family val="0"/>
        <charset val="1"/>
      </rPr>
      <t xml:space="preserve">Cálculo do valor: 30% sobre os adicionais pertinentes) - </t>
    </r>
    <r>
      <rPr>
        <b val="true"/>
        <sz val="10"/>
        <color rgb="FF000000"/>
        <rFont val="Arial"/>
        <family val="0"/>
        <charset val="1"/>
      </rPr>
      <t xml:space="preserve"> (cláusula 68 da CCT)</t>
    </r>
  </si>
  <si>
    <t xml:space="preserve">Remuneração 1 = Total da Remuneração de verbas de natureza salarial nas quais incidem INSS + FGTS + Férias + 13º, etc.   </t>
  </si>
  <si>
    <r>
      <rPr>
        <b val="true"/>
        <sz val="11"/>
        <color rgb="FF000000"/>
        <rFont val="Arial"/>
        <family val="0"/>
        <charset val="1"/>
      </rPr>
      <t xml:space="preserve">Total da verba de natureza salarial na qual incidem somente INSS (mais terceiras entidades) e FGTS, em face da Solução de Consulta RFB/Cosit nº 108/2023 e Parecer Jurídico </t>
    </r>
    <r>
      <rPr>
        <b val="true"/>
        <sz val="11"/>
        <color rgb="FFFF0000"/>
        <rFont val="Arial"/>
        <family val="0"/>
        <charset val="1"/>
      </rPr>
      <t xml:space="preserve">- Empregado só recebe se estiver trabalhando.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11"/>
        <color rgb="FF0000FF"/>
        <rFont val="Arial"/>
        <family val="0"/>
        <charset val="1"/>
      </rPr>
      <t xml:space="preserve">Consulte sua assessoria jurídica</t>
    </r>
  </si>
  <si>
    <r>
      <rPr>
        <b val="true"/>
        <sz val="14"/>
        <color rgb="FF000000"/>
        <rFont val="Arial"/>
        <family val="0"/>
        <charset val="1"/>
      </rPr>
      <t xml:space="preserve">Remuneração 2 = Total da Remuneração que o empregado irá receber- </t>
    </r>
    <r>
      <rPr>
        <b val="true"/>
        <sz val="11"/>
        <color rgb="FF0000FF"/>
        <rFont val="Arial"/>
        <family val="0"/>
        <charset val="1"/>
      </rPr>
      <t xml:space="preserve">Valor entra nos seguintes cálculos: Item 2, "A" - Quadro-Resumo do Custo por Posto de Trabalho, Custos Indiretos, Lucro e Tributos.</t>
    </r>
  </si>
  <si>
    <r>
      <rPr>
        <b val="true"/>
        <sz val="11"/>
        <color rgb="FF000000"/>
        <rFont val="Arial"/>
        <family val="0"/>
        <charset val="1"/>
      </rPr>
      <t xml:space="preserve">Submódulo 2.1 – 13º (décimo terceiro) Salário </t>
    </r>
    <r>
      <rPr>
        <b val="true"/>
        <strike val="true"/>
        <sz val="11"/>
        <color rgb="FFFF3300"/>
        <rFont val="Arial"/>
        <family val="0"/>
        <charset val="1"/>
      </rPr>
      <t xml:space="preserve">(Férias???)</t>
    </r>
    <r>
      <rPr>
        <b val="true"/>
        <sz val="11"/>
        <color rgb="FF0099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e Adicional de Férias</t>
    </r>
  </si>
  <si>
    <r>
      <rPr>
        <b val="true"/>
        <sz val="11"/>
        <color rgb="FF000000"/>
        <rFont val="Arial"/>
        <family val="0"/>
        <charset val="1"/>
      </rPr>
      <t xml:space="preserve">13º (décimo terceiro) Salário </t>
    </r>
    <r>
      <rPr>
        <b val="true"/>
        <strike val="true"/>
        <sz val="10"/>
        <color rgb="FFFF3300"/>
        <rFont val="Arial"/>
        <family val="0"/>
        <charset val="1"/>
      </rPr>
      <t xml:space="preserve">(Férias???)</t>
    </r>
    <r>
      <rPr>
        <b val="true"/>
        <strike val="true"/>
        <sz val="11"/>
        <color rgb="FFFF3300"/>
        <rFont val="Arial"/>
        <family val="0"/>
        <charset val="1"/>
      </rPr>
      <t xml:space="preserve"> </t>
    </r>
    <r>
      <rPr>
        <b val="true"/>
        <sz val="11"/>
        <color rgb="FF000000"/>
        <rFont val="Arial"/>
        <family val="0"/>
        <charset val="1"/>
      </rPr>
      <t xml:space="preserve">e Adicional de Férias</t>
    </r>
  </si>
  <si>
    <r>
      <rPr>
        <b val="true"/>
        <sz val="10"/>
        <color rgb="FF000000"/>
        <rFont val="Arial"/>
        <family val="0"/>
        <charset val="1"/>
      </rPr>
      <t xml:space="preserve">13º (décimo terceiro) Salário</t>
    </r>
    <r>
      <rPr>
        <b val="true"/>
        <sz val="11"/>
        <color rgb="FF0000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8,33% sobre o valor do Módulo 1 – Composição da Remuneração1, conforme Anexo XII da IN 5/17</t>
    </r>
  </si>
  <si>
    <r>
      <rPr>
        <b val="true"/>
        <strike val="true"/>
        <sz val="10"/>
        <color rgb="FFFF0000"/>
        <rFont val="Arial"/>
        <family val="0"/>
        <charset val="1"/>
      </rPr>
      <t xml:space="preserve">(Férias e ???)</t>
    </r>
    <r>
      <rPr>
        <b val="true"/>
        <sz val="11"/>
        <color rgb="FF009900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Adicional de Férias</t>
    </r>
    <r>
      <rPr>
        <b val="true"/>
        <sz val="10"/>
        <color rgb="FF009900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Obrigatória a cotação de 3,025% sobre o valor do Módulo 1 – Composição da Remuneração1. </t>
    </r>
    <r>
      <rPr>
        <b val="true"/>
        <sz val="9"/>
        <color rgb="FF0000FF"/>
        <rFont val="Arial"/>
        <family val="0"/>
        <charset val="1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</si>
  <si>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r>
      <rPr>
        <sz val="9"/>
        <color rgb="FF000000"/>
        <rFont val="Arial"/>
        <family val="0"/>
        <charset val="1"/>
      </rPr>
      <t xml:space="preserve">Nota 1:  Como a planilha de custos e formação de preços é calculada mensalmente, provisiona-se proporcionalmente 1/12 (um doze avos) dos valores referentes à gratificação natalina, </t>
    </r>
    <r>
      <rPr>
        <b val="true"/>
        <strike val="true"/>
        <sz val="9"/>
        <color rgb="FFFF0000"/>
        <rFont val="Arial"/>
        <family val="0"/>
        <charset val="1"/>
      </rPr>
      <t xml:space="preserve">férias</t>
    </r>
    <r>
      <rPr>
        <sz val="9"/>
        <color rgb="FF000000"/>
        <rFont val="Arial"/>
        <family val="0"/>
        <charset val="1"/>
      </rPr>
      <t xml:space="preserve"> e adicional de férias.
</t>
    </r>
    <r>
      <rPr>
        <strike val="true"/>
        <sz val="9"/>
        <color rgb="FF000000"/>
        <rFont val="Arial"/>
        <family val="0"/>
        <charset val="1"/>
      </rPr>
      <t xml:space="preserve">Nota 2:  O adicional de férias contido no Submódulo 2.1 corresponde a 1/3 (um terço) da remuneração que por sua vez é dividido por 12 (doze) conforme Nota 1 acima.</t>
    </r>
    <r>
      <rPr>
        <strike val="true"/>
        <sz val="9"/>
        <color rgb="FFFF0000"/>
        <rFont val="Arial"/>
        <family val="0"/>
        <charset val="1"/>
      </rPr>
      <t xml:space="preserve"> </t>
    </r>
    <r>
      <rPr>
        <b val="true"/>
        <strike val="true"/>
        <sz val="9"/>
        <color rgb="FFFF0000"/>
        <rFont val="Arial"/>
        <family val="0"/>
        <charset val="1"/>
      </rPr>
      <t xml:space="preserve">(Alterar a redação da Nota 2 quando for CV. Ver sugestão abaixo)
</t>
    </r>
    <r>
      <rPr>
        <b val="true"/>
        <sz val="9"/>
        <color rgb="FF0000FF"/>
        <rFont val="Arial"/>
        <family val="0"/>
        <charset val="1"/>
      </rPr>
      <t xml:space="preserve">Nota 2: O adicional de férias contido no Submódulo 2.1 corresponde a 3,025% do Módulo 1, em face do Anexo XII da IN nº 5/2017 exigir 12,10% no somatório de Férias + 1/3 de Férias (9,075% + 3,025%).
</t>
    </r>
    <r>
      <rPr>
        <b val="true"/>
        <strike val="true"/>
        <sz val="9"/>
        <color rgb="FFFF0000"/>
        <rFont val="Arial"/>
        <family val="0"/>
        <charset val="1"/>
      </rPr>
      <t xml:space="preserve"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  <r>
      <rPr>
        <sz val="9"/>
        <color rgb="FF000000"/>
        <rFont val="Arial"/>
        <family val="0"/>
        <charset val="1"/>
      </rPr>
      <t xml:space="preserve"> </t>
    </r>
    <r>
      <rPr>
        <b val="true"/>
        <strike val="true"/>
        <sz val="9"/>
        <color rgb="FF0000FF"/>
        <rFont val="Arial"/>
        <family val="0"/>
        <charset val="1"/>
      </rPr>
      <t xml:space="preserve">EXCLUIR A NOTA 3 E A PALAVRA "FÉRIAS" DA NOTA 1.</t>
    </r>
  </si>
  <si>
    <r>
      <rPr>
        <b val="true"/>
        <sz val="11"/>
        <color rgb="FF000000"/>
        <rFont val="Arial"/>
        <family val="0"/>
        <charset val="1"/>
      </rPr>
      <t xml:space="preserve">Submódulo 2.2 - Encargos Previdenciários (GPS), Fundo de Garantia por Tempo de Serviço (FGTS) e outras contribuições  </t>
    </r>
    <r>
      <rPr>
        <b val="true"/>
        <sz val="11"/>
        <color rgb="FF0000FF"/>
        <rFont val="Arial"/>
        <family val="0"/>
        <charset val="1"/>
      </rPr>
      <t xml:space="preserve">(Base de Cálculo = Módulo 1 (Rem1) + Submódulo 2.1 + Intervalo Intrajornada)</t>
    </r>
  </si>
  <si>
    <r>
      <rPr>
        <b val="true"/>
        <sz val="11"/>
        <color rgb="FF000000"/>
        <rFont val="Arial"/>
        <family val="0"/>
        <charset val="1"/>
      </rPr>
      <t xml:space="preserve">RAT x FAP 
</t>
    </r>
    <r>
      <rPr>
        <b val="true"/>
        <sz val="7"/>
        <color rgb="FFFF0000"/>
        <rFont val="Arial"/>
        <family val="0"/>
        <charset val="1"/>
      </rPr>
      <t xml:space="preserve">Cálculo do valor: % do RAT (Riscos Ambientais do Trabalho) x FAP (Fator Acidentário de Prevenção de cada empresa)</t>
    </r>
  </si>
  <si>
    <t xml:space="preserve">     A.4) Participação do empregado em percentual do salário-base (cláusula 30 da CCT )</t>
  </si>
  <si>
    <t xml:space="preserve">     B.3) Participação do empregado em percentual sobre o auxílio-alimentação  </t>
  </si>
  <si>
    <r>
      <rPr>
        <b val="true"/>
        <sz val="10"/>
        <color rgb="FF000000"/>
        <rFont val="Arial"/>
        <family val="0"/>
        <charset val="1"/>
      </rPr>
      <t xml:space="preserve">13º (décimo terceiro) Salário </t>
    </r>
    <r>
      <rPr>
        <b val="true"/>
        <strike val="true"/>
        <sz val="10"/>
        <color rgb="FFFF3300"/>
        <rFont val="Arial"/>
        <family val="0"/>
        <charset val="1"/>
      </rPr>
      <t xml:space="preserve">(Férias???)</t>
    </r>
    <r>
      <rPr>
        <b val="true"/>
        <sz val="10"/>
        <color rgb="FF009933"/>
        <rFont val="Arial"/>
        <family val="0"/>
        <charset val="1"/>
      </rPr>
      <t xml:space="preserve"> </t>
    </r>
    <r>
      <rPr>
        <b val="true"/>
        <sz val="10"/>
        <color rgb="FF000000"/>
        <rFont val="Arial"/>
        <family val="0"/>
        <charset val="1"/>
      </rPr>
      <t xml:space="preserve">e Adicional de Férias</t>
    </r>
  </si>
  <si>
    <r>
      <rPr>
        <b val="true"/>
        <sz val="10"/>
        <color rgb="FF000000"/>
        <rFont val="Arial"/>
        <family val="0"/>
        <charset val="1"/>
      </rPr>
      <t xml:space="preserve">Aviso Prévio Indenizado    </t>
    </r>
    <r>
      <rPr>
        <b val="true"/>
        <sz val="8"/>
        <color rgb="FFFF0000"/>
        <rFont val="Arial"/>
        <family val="0"/>
        <charset val="1"/>
      </rPr>
      <t xml:space="preserve">Cálculo do valor = [Rem/12 + 13º/12 + (Férias + 1/3 Férias)/12] x (30/30=1) x 5% de rotatividade anual - Os reflexos de 13º, F e 1/3F são referentes a 1 mês de APInd -</t>
    </r>
    <r>
      <rPr>
        <b val="true"/>
        <sz val="8"/>
        <color rgb="FF0000FF"/>
        <rFont val="Arial"/>
        <family val="0"/>
        <charset val="1"/>
      </rPr>
      <t xml:space="preserve"> Na prorrogação, poderão ser considerados 3 dias conforme Lei nº 12.506/2011, dependendo da análise do nº de ocorrências deste evento no período.</t>
    </r>
  </si>
  <si>
    <r>
      <rPr>
        <b val="true"/>
        <sz val="10"/>
        <color rgb="FF000000"/>
        <rFont val="Arial"/>
        <family val="0"/>
        <charset val="1"/>
      </rPr>
      <t xml:space="preserve">Aviso Prévio Trabalhado       </t>
    </r>
    <r>
      <rPr>
        <b val="true"/>
        <sz val="10"/>
        <color rgb="FFFF0000"/>
        <rFont val="Arial"/>
        <family val="0"/>
        <charset val="1"/>
      </rPr>
      <t xml:space="preserve">(</t>
    </r>
    <r>
      <rPr>
        <b val="true"/>
        <sz val="9"/>
        <color rgb="FFFF0000"/>
        <rFont val="Arial"/>
        <family val="0"/>
        <charset val="1"/>
      </rPr>
      <t xml:space="preserve">negociar extinção/redução na 1ª prorrogação)  Cálculo do valor= [(Rem1/30)x7]/</t>
    </r>
    <r>
      <rPr>
        <b val="true"/>
        <sz val="11"/>
        <color rgb="FF0000FF"/>
        <rFont val="Arial"/>
        <family val="0"/>
        <charset val="1"/>
      </rPr>
      <t xml:space="preserve">12</t>
    </r>
    <r>
      <rPr>
        <b val="true"/>
        <sz val="9"/>
        <color rgb="FFFF0000"/>
        <rFont val="Arial"/>
        <family val="0"/>
        <charset val="1"/>
      </rPr>
      <t xml:space="preserve"> meses do contratox100% dos empregados - ao final do contrato  - </t>
    </r>
    <r>
      <rPr>
        <b val="true"/>
        <sz val="9"/>
        <color rgb="FF0000FF"/>
        <rFont val="Arial"/>
        <family val="0"/>
        <charset val="1"/>
      </rPr>
      <t xml:space="preserve">Na prorrogação, poderão ser considerados 3 dias conforme Lei nº 12.506/2011, dependendo da análise do nº de ocorrências deste evento no período.</t>
    </r>
  </si>
  <si>
    <r>
      <rPr>
        <b val="true"/>
        <sz val="10"/>
        <color rgb="FF000000"/>
        <rFont val="Arial"/>
        <family val="0"/>
        <charset val="1"/>
      </rPr>
      <t xml:space="preserve">Multa do FGTS sobre o Aviso PrévioTrabalhado e Aviso Prévio Indenizado</t>
    </r>
    <r>
      <rPr>
        <b val="true"/>
        <sz val="8"/>
        <color rgb="FFFF0000"/>
        <rFont val="Arial"/>
        <family val="0"/>
        <charset val="1"/>
      </rPr>
      <t xml:space="preserve">Obrigatória a cotação de 4% sobre o valor do Módulo 1 – Composição da Remuneração1, conforme Anexo XII da IN Seges nº 5/2017 </t>
    </r>
  </si>
  <si>
    <r>
      <rPr>
        <b val="true"/>
        <sz val="11"/>
        <color rgb="FF000000"/>
        <rFont val="Arial"/>
        <family val="0"/>
        <charset val="1"/>
      </rPr>
      <t xml:space="preserve">Base de cálculo para o Custo de Reposição do Profissional Ausente (substituto): BCCPA = MÓDULO 1 (= a Rem1) + MÓDULO 2 (- VA - VT) + FÉRIAS + MÓDULO 3</t>
    </r>
    <r>
      <rPr>
        <b val="true"/>
        <sz val="11"/>
        <color rgb="FFFF0000"/>
        <rFont val="Arial"/>
        <family val="0"/>
        <charset val="1"/>
      </rPr>
      <t xml:space="preserve">  - exceto o Substituto na cobertura de Férias e o Afastamento Maternidade, sendo que neste último a Rem e o 13º podem ser compensados pelo INSS, ambos com base de cálculo própria, conforme consta nesses itens de custo.</t>
    </r>
  </si>
  <si>
    <r>
      <rPr>
        <b val="true"/>
        <sz val="11"/>
        <color rgb="FF0000FF"/>
        <rFont val="Arial"/>
        <family val="0"/>
        <charset val="1"/>
      </rPr>
      <t xml:space="preserve">MÓD 2  </t>
    </r>
    <r>
      <rPr>
        <b val="true"/>
        <sz val="10"/>
        <color rgb="FFFF0000"/>
        <rFont val="Arial"/>
        <family val="0"/>
        <charset val="1"/>
      </rPr>
      <t xml:space="preserve">(sem VA e VT)</t>
    </r>
    <r>
      <rPr>
        <b val="true"/>
        <sz val="11"/>
        <color rgb="FF0000FF"/>
        <rFont val="Arial"/>
        <family val="0"/>
        <charset val="1"/>
      </rPr>
      <t xml:space="preserve"> +Férias =</t>
    </r>
  </si>
  <si>
    <t xml:space="preserve">Submódulo 4.1 – Substituto nas Ausências Legais</t>
  </si>
  <si>
    <r>
      <rPr>
        <b val="true"/>
        <sz val="10"/>
        <color rgb="FF000000"/>
        <rFont val="Arial"/>
        <family val="0"/>
        <charset val="1"/>
      </rPr>
      <t xml:space="preserve">Substituto na cobertura de Férias  </t>
    </r>
    <r>
      <rPr>
        <b val="true"/>
        <sz val="10"/>
        <color rgb="FFFF0000"/>
        <rFont val="Arial"/>
        <family val="0"/>
        <charset val="1"/>
      </rPr>
      <t xml:space="preserve">Obrigatória a cotação de 9,075% sobre o valor do Módulo 1 - Composição da Remuneração, </t>
    </r>
    <r>
      <rPr>
        <b val="true"/>
        <sz val="10"/>
        <color rgb="FF0066CC"/>
        <rFont val="Arial"/>
        <family val="0"/>
        <charset val="1"/>
      </rPr>
      <t xml:space="preserve">mais </t>
    </r>
    <r>
      <rPr>
        <b val="true"/>
        <sz val="10"/>
        <color rgb="FFFF0000"/>
        <rFont val="Arial"/>
        <family val="0"/>
        <charset val="1"/>
      </rPr>
      <t xml:space="preserve">o percentual do Submódulo 2.2 sobre o cálculo anterior, conforme Anexo XII da IN 5/17 (Férias + Adicional = 12,10% = 9,075% + 3,025%)</t>
    </r>
  </si>
  <si>
    <r>
      <rPr>
        <b val="true"/>
        <sz val="12"/>
        <color rgb="FF000000"/>
        <rFont val="Arial"/>
        <family val="0"/>
        <charset val="1"/>
      </rPr>
      <t xml:space="preserve">Substituto na cobertura de Ausência por acidente de trabalho
</t>
    </r>
    <r>
      <rPr>
        <b val="true"/>
        <sz val="8"/>
        <color rgb="FFFF0000"/>
        <rFont val="Arial"/>
        <family val="0"/>
        <charset val="1"/>
      </rPr>
      <t xml:space="preserve">Cálculo do valor = [(BCCPA)/30x0,69dias]/12</t>
    </r>
  </si>
  <si>
    <r>
      <rPr>
        <b val="true"/>
        <sz val="12"/>
        <color rgb="FF000000"/>
        <rFont val="Arial"/>
        <family val="0"/>
        <charset val="1"/>
      </rPr>
      <t xml:space="preserve">Substituto na cobertura de Afastamento Maternidade
</t>
    </r>
    <r>
      <rPr>
        <b val="true"/>
        <sz val="8"/>
        <color rgb="FFFF0000"/>
        <rFont val="Arial"/>
        <family val="0"/>
        <charset val="1"/>
      </rPr>
      <t xml:space="preserve">Cálculo do valor = [((Férias + Férias / 3) + SUB2.2 x (Férias + Férias / 3)) x (4/12)] x 2% + [( FGTS x Rem + SUB 2.2 x 13º</t>
    </r>
    <r>
      <rPr>
        <b val="true"/>
        <sz val="8"/>
        <color rgb="FF0000CC"/>
        <rFont val="Arial"/>
        <family val="0"/>
        <charset val="1"/>
      </rPr>
      <t xml:space="preserve"> </t>
    </r>
    <r>
      <rPr>
        <b val="true"/>
        <sz val="8"/>
        <color rgb="FFFF0000"/>
        <rFont val="Arial"/>
        <family val="0"/>
        <charset val="1"/>
      </rPr>
      <t xml:space="preserve">+ SUB2.3 – VA – VT + MÓD3) x (4/12)] } x 2%     
</t>
    </r>
    <r>
      <rPr>
        <b val="true"/>
        <sz val="8"/>
        <color rgb="FF0000FF"/>
        <rFont val="Arial"/>
        <family val="0"/>
        <charset val="1"/>
      </rPr>
      <t xml:space="preserve"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</si>
  <si>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b val="true"/>
        <sz val="10"/>
        <color rgb="FF000000"/>
        <rFont val="Arial"/>
        <family val="0"/>
        <charset val="1"/>
      </rPr>
      <t xml:space="preserve">Substituto na cobertura de Ausência por doença</t>
    </r>
    <r>
      <rPr>
        <b val="true"/>
        <sz val="10"/>
        <color rgb="FFFF0000"/>
        <rFont val="Arial"/>
        <family val="0"/>
        <charset val="1"/>
      </rPr>
      <t xml:space="preserve"> 
Cálculo do valor = [(</t>
    </r>
    <r>
      <rPr>
        <b val="true"/>
        <sz val="10"/>
        <color rgb="FF0000FF"/>
        <rFont val="Arial"/>
        <family val="0"/>
        <charset val="1"/>
      </rPr>
      <t xml:space="preserve">BCCPA</t>
    </r>
    <r>
      <rPr>
        <b val="true"/>
        <sz val="10"/>
        <color rgb="FFFF0000"/>
        <rFont val="Arial"/>
        <family val="0"/>
        <charset val="1"/>
      </rPr>
      <t xml:space="preserve">)/30)x3dias]/12 </t>
    </r>
    <r>
      <rPr>
        <b val="true"/>
        <sz val="8"/>
        <color rgb="FF0000FF"/>
        <rFont val="Arial"/>
        <family val="0"/>
        <charset val="1"/>
      </rPr>
      <t xml:space="preserve"> Incluído por permissão da IN Seges nº 5/2017, Anexo VII-B, item 1.7, alíneas "b" e "c".5.</t>
    </r>
  </si>
  <si>
    <r>
      <rPr>
        <b val="true"/>
        <sz val="10"/>
        <color rgb="FF000000"/>
        <rFont val="Arial"/>
        <family val="0"/>
        <charset val="1"/>
      </rPr>
      <t xml:space="preserve"> c) IRPJ</t>
    </r>
    <r>
      <rPr>
        <b val="true"/>
        <sz val="10"/>
        <color rgb="FF0000FF"/>
        <rFont val="Arial"/>
        <family val="0"/>
        <charset val="1"/>
      </rPr>
      <t xml:space="preserve"> </t>
    </r>
    <r>
      <rPr>
        <b val="true"/>
        <sz val="10"/>
        <color rgb="FF0000CC"/>
        <rFont val="Arial"/>
        <family val="0"/>
        <charset val="1"/>
      </rPr>
      <t xml:space="preserve">-</t>
    </r>
    <r>
      <rPr>
        <b val="true"/>
        <sz val="9"/>
        <color rgb="FF0000CC"/>
        <rFont val="Arial"/>
        <family val="0"/>
        <charset val="1"/>
      </rPr>
      <t xml:space="preserve">  Em face dos Acórdãos TCU nºs 950/2007-P e 205/2018-P, o licitante não pode cotar expressamente este tributo.</t>
    </r>
  </si>
  <si>
    <r>
      <rPr>
        <b val="true"/>
        <sz val="10"/>
        <color rgb="FF000000"/>
        <rFont val="Arial"/>
        <family val="0"/>
        <charset val="1"/>
      </rPr>
      <t xml:space="preserve"> d) CSLL </t>
    </r>
    <r>
      <rPr>
        <b val="true"/>
        <sz val="10"/>
        <color rgb="FF0000CC"/>
        <rFont val="Arial"/>
        <family val="0"/>
        <charset val="1"/>
      </rPr>
      <t xml:space="preserve">- </t>
    </r>
    <r>
      <rPr>
        <b val="true"/>
        <sz val="9"/>
        <color rgb="FF0000CC"/>
        <rFont val="Arial"/>
        <family val="0"/>
        <charset val="1"/>
      </rPr>
      <t xml:space="preserve"> Em face dos Acórdãos TCU nºs 950/2007-P e 205/2018-P, o licitante não pode cotar expressamente este tributo.</t>
    </r>
  </si>
  <si>
    <r>
      <rPr>
        <b val="true"/>
        <sz val="12"/>
        <color rgb="FF000000"/>
        <rFont val="Arial"/>
        <family val="0"/>
        <charset val="1"/>
      </rPr>
      <t xml:space="preserve">
</t>
    </r>
    <r>
      <rPr>
        <b val="true"/>
        <sz val="11"/>
        <color rgb="FF000000"/>
        <rFont val="Arial"/>
        <family val="0"/>
        <charset val="1"/>
      </rPr>
      <t xml:space="preserve">2. QUADRO-RESUMO DO CUSTO POR POSTO DE TRABALHO
</t>
    </r>
  </si>
  <si>
    <t xml:space="preserve">MATERIAIS, MÁQUINAS E EQUIPAMENTOS ALOCADOS NA EXECUÇÃO CONTRATUAL (item 6.2.f do Anexo VII da IN nº 5/2017)</t>
  </si>
  <si>
    <t xml:space="preserve">RESUMO</t>
  </si>
  <si>
    <t xml:space="preserve">Descrição</t>
  </si>
  <si>
    <t xml:space="preserve">Valor unitário</t>
  </si>
  <si>
    <t xml:space="preserve">Qtd. Postos</t>
  </si>
  <si>
    <t xml:space="preserve">Valor total mensal</t>
  </si>
  <si>
    <t xml:space="preserve">Valor total anual</t>
  </si>
  <si>
    <t xml:space="preserve">Item 1</t>
  </si>
  <si>
    <t xml:space="preserve">12h Diurno – Armado</t>
  </si>
  <si>
    <t xml:space="preserve">Item 2</t>
  </si>
  <si>
    <t xml:space="preserve">12h Noturno - Armado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</si>
</sst>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mm/dd/yyyy"/>
    <numFmt numFmtId="166" formatCode="0"/>
    <numFmt numFmtId="167" formatCode="0.00%"/>
    <numFmt numFmtId="168" formatCode="&quot; R$ &quot;* #,##0.00\ ;&quot; R$ &quot;* \(#,##0.00\);&quot; R$ &quot;* \-#\ ;@\ "/>
    <numFmt numFmtId="169" formatCode="&quot;R$ &quot;#,##0.00"/>
    <numFmt numFmtId="170" formatCode="#,##0.00"/>
    <numFmt numFmtId="171" formatCode="0.00"/>
    <numFmt numFmtId="172" formatCode="0.000%"/>
    <numFmt numFmtId="173" formatCode="0%"/>
    <numFmt numFmtId="174" formatCode="0.0000"/>
    <numFmt numFmtId="175" formatCode="0.0000%"/>
    <numFmt numFmtId="176" formatCode="#,##0"/>
    <numFmt numFmtId="177" formatCode="@"/>
    <numFmt numFmtId="178" formatCode="* #,##0.00\ ;* \(#,##0.00\);* \-#\ ;@\ "/>
    <numFmt numFmtId="179" formatCode="General"/>
    <numFmt numFmtId="180" formatCode="[$R$-416]\ #,##0.00;[RED]\-[$R$-416]\ #,##0.00"/>
  </numFmts>
  <fonts count="6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0"/>
      <charset val="1"/>
    </font>
    <font>
      <b val="true"/>
      <sz val="15"/>
      <color rgb="FF800080"/>
      <name val="Arial"/>
      <family val="0"/>
      <charset val="1"/>
    </font>
    <font>
      <b val="true"/>
      <sz val="16"/>
      <color rgb="FF800080"/>
      <name val="Arial"/>
      <family val="0"/>
      <charset val="1"/>
    </font>
    <font>
      <b val="true"/>
      <sz val="14"/>
      <color rgb="FF800080"/>
      <name val="Arial"/>
      <family val="0"/>
      <charset val="1"/>
    </font>
    <font>
      <b val="true"/>
      <sz val="18"/>
      <color rgb="FF000000"/>
      <name val="Arial"/>
      <family val="0"/>
      <charset val="1"/>
    </font>
    <font>
      <b val="true"/>
      <sz val="18"/>
      <color rgb="FFFF0000"/>
      <name val="Arial"/>
      <family val="0"/>
      <charset val="1"/>
    </font>
    <font>
      <b val="true"/>
      <sz val="18"/>
      <color rgb="FF0000FF"/>
      <name val="Arial"/>
      <family val="0"/>
      <charset val="1"/>
    </font>
    <font>
      <b val="true"/>
      <sz val="16"/>
      <color rgb="FF0000FF"/>
      <name val="Arial"/>
      <family val="0"/>
      <charset val="1"/>
    </font>
    <font>
      <b val="true"/>
      <sz val="18"/>
      <color rgb="FF80008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0"/>
      <color rgb="FFFF3300"/>
      <name val="Arial"/>
      <family val="0"/>
      <charset val="1"/>
    </font>
    <font>
      <b val="true"/>
      <strike val="true"/>
      <sz val="8"/>
      <color rgb="FF0000FF"/>
      <name val="Arial"/>
      <family val="0"/>
      <charset val="1"/>
    </font>
    <font>
      <b val="true"/>
      <sz val="12"/>
      <color rgb="FFFF0000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0000FF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sz val="9"/>
      <color rgb="FF0000FF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33CCCC"/>
      <name val="Arial"/>
      <family val="0"/>
      <charset val="1"/>
    </font>
    <font>
      <b val="true"/>
      <sz val="10"/>
      <color rgb="FF0066CC"/>
      <name val="Arial"/>
      <family val="0"/>
      <charset val="1"/>
    </font>
    <font>
      <b val="true"/>
      <sz val="11"/>
      <color rgb="FF0000FF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trike val="true"/>
      <sz val="11"/>
      <color rgb="FFFF0000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8"/>
      <color rgb="FF0000FF"/>
      <name val="Arial"/>
      <family val="0"/>
      <charset val="1"/>
    </font>
    <font>
      <b val="true"/>
      <strike val="true"/>
      <sz val="8"/>
      <color rgb="FFFF0000"/>
      <name val="Arial"/>
      <family val="0"/>
      <charset val="1"/>
    </font>
    <font>
      <b val="true"/>
      <strike val="true"/>
      <sz val="9"/>
      <color rgb="FFFF0000"/>
      <name val="Arial"/>
      <family val="0"/>
      <charset val="1"/>
    </font>
    <font>
      <strike val="true"/>
      <sz val="9"/>
      <color rgb="FF000000"/>
      <name val="Arial"/>
      <family val="0"/>
      <charset val="1"/>
    </font>
    <font>
      <strike val="true"/>
      <sz val="9"/>
      <color rgb="FFFF0000"/>
      <name val="Arial"/>
      <family val="0"/>
      <charset val="1"/>
    </font>
    <font>
      <b val="true"/>
      <strike val="true"/>
      <sz val="9"/>
      <color rgb="FF0000FF"/>
      <name val="Arial"/>
      <family val="0"/>
      <charset val="1"/>
    </font>
    <font>
      <sz val="9"/>
      <color rgb="FF009900"/>
      <name val="Arial"/>
      <family val="0"/>
      <charset val="1"/>
    </font>
    <font>
      <b val="true"/>
      <sz val="7"/>
      <color rgb="FFFF000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b val="true"/>
      <sz val="10"/>
      <color rgb="FF009900"/>
      <name val="Arial"/>
      <family val="0"/>
      <charset val="1"/>
    </font>
    <font>
      <b val="true"/>
      <sz val="14"/>
      <color rgb="FF0000FF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8"/>
      <color rgb="FF0066CC"/>
      <name val="Arial"/>
      <family val="0"/>
      <charset val="1"/>
    </font>
    <font>
      <b val="true"/>
      <sz val="8"/>
      <color rgb="FF0000CC"/>
      <name val="Arial"/>
      <family val="0"/>
      <charset val="1"/>
    </font>
    <font>
      <b val="true"/>
      <sz val="7"/>
      <color rgb="FF0000FF"/>
      <name val="Arial"/>
      <family val="0"/>
      <charset val="1"/>
    </font>
    <font>
      <b val="true"/>
      <sz val="10"/>
      <color rgb="FF333333"/>
      <name val="Arial"/>
      <family val="0"/>
      <charset val="1"/>
    </font>
    <font>
      <sz val="8"/>
      <color rgb="FFFF0000"/>
      <name val="Arial"/>
      <family val="0"/>
      <charset val="1"/>
    </font>
    <font>
      <sz val="9"/>
      <color rgb="FFFF0000"/>
      <name val="Arial"/>
      <family val="0"/>
      <charset val="1"/>
    </font>
    <font>
      <b val="true"/>
      <sz val="10"/>
      <color rgb="FF0000CC"/>
      <name val="Arial"/>
      <family val="0"/>
      <charset val="1"/>
    </font>
    <font>
      <b val="true"/>
      <sz val="9"/>
      <color rgb="FF0000CC"/>
      <name val="Arial"/>
      <family val="0"/>
      <charset val="1"/>
    </font>
    <font>
      <b val="true"/>
      <sz val="14"/>
      <color rgb="FFFF0000"/>
      <name val="Arial"/>
      <family val="0"/>
      <charset val="1"/>
    </font>
    <font>
      <b val="true"/>
      <sz val="14"/>
      <color rgb="FF3333FF"/>
      <name val="Arial"/>
      <family val="0"/>
      <charset val="1"/>
    </font>
    <font>
      <b val="true"/>
      <sz val="16"/>
      <color rgb="FFFF0000"/>
      <name val="Arial"/>
      <family val="0"/>
      <charset val="1"/>
    </font>
    <font>
      <b val="true"/>
      <sz val="10"/>
      <color rgb="FF2300DC"/>
      <name val="Arial"/>
      <family val="0"/>
      <charset val="1"/>
    </font>
    <font>
      <b val="true"/>
      <strike val="true"/>
      <sz val="11"/>
      <color rgb="FFFF3300"/>
      <name val="Arial"/>
      <family val="0"/>
      <charset val="1"/>
    </font>
    <font>
      <b val="true"/>
      <sz val="11"/>
      <color rgb="FF009900"/>
      <name val="Arial"/>
      <family val="0"/>
      <charset val="1"/>
    </font>
    <font>
      <b val="true"/>
      <strike val="true"/>
      <sz val="10"/>
      <color rgb="FFFF3300"/>
      <name val="Arial"/>
      <family val="0"/>
      <charset val="1"/>
    </font>
    <font>
      <b val="true"/>
      <strike val="true"/>
      <sz val="10"/>
      <color rgb="FFFF0000"/>
      <name val="Arial"/>
      <family val="0"/>
      <charset val="1"/>
    </font>
    <font>
      <b val="true"/>
      <sz val="10"/>
      <color rgb="FF009933"/>
      <name val="Arial"/>
      <family val="0"/>
      <charset val="1"/>
    </font>
    <font>
      <sz val="14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5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3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3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3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3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2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3" fillId="3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7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7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5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8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8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6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2300DC"/>
      <rgbColor rgb="FF808000"/>
      <rgbColor rgb="FF800080"/>
      <rgbColor rgb="FF00993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15.26"/>
    <col collapsed="false" customWidth="true" hidden="false" outlineLevel="0" max="2" min="2" style="0" width="11.12"/>
    <col collapsed="false" customWidth="true" hidden="false" outlineLevel="0" max="3" min="3" style="0" width="13.24"/>
    <col collapsed="false" customWidth="true" hidden="false" outlineLevel="0" max="4" min="4" style="0" width="10.12"/>
    <col collapsed="false" customWidth="true" hidden="false" outlineLevel="0" max="5" min="5" style="0" width="12.37"/>
    <col collapsed="false" customWidth="true" hidden="false" outlineLevel="0" max="6" min="6" style="0" width="11.25"/>
    <col collapsed="false" customWidth="true" hidden="false" outlineLevel="0" max="7" min="7" style="0" width="9.74"/>
    <col collapsed="false" customWidth="true" hidden="false" outlineLevel="0" max="8" min="8" style="0" width="11.25"/>
    <col collapsed="false" customWidth="true" hidden="false" outlineLevel="0" max="9" min="9" style="0" width="14.5"/>
    <col collapsed="false" customWidth="true" hidden="false" outlineLevel="0" max="10" min="10" style="0" width="10.76"/>
    <col collapsed="false" customWidth="true" hidden="false" outlineLevel="0" max="11" min="11" style="0" width="11.12"/>
    <col collapsed="false" customWidth="true" hidden="false" outlineLevel="0" max="12" min="12" style="0" width="7.38"/>
    <col collapsed="false" customWidth="true" hidden="false" outlineLevel="0" max="13" min="13" style="0" width="6.5"/>
    <col collapsed="false" customWidth="true" hidden="false" outlineLevel="0" max="15" min="14" style="0" width="9.25"/>
    <col collapsed="false" customWidth="true" hidden="false" outlineLevel="0" max="31" min="16" style="0" width="9.13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customFormat="false" ht="28.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customFormat="false" ht="62.2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5"/>
      <c r="F4" s="6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customFormat="false" ht="15.75" hidden="false" customHeight="true" outlineLevel="0" collapsed="false">
      <c r="A5" s="5" t="s">
        <v>3</v>
      </c>
      <c r="B5" s="5"/>
      <c r="C5" s="5"/>
      <c r="D5" s="5"/>
      <c r="E5" s="5"/>
      <c r="F5" s="6" t="s">
        <v>4</v>
      </c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customFormat="false" ht="14.25" hidden="false" customHeight="true" outlineLevel="0" collapsed="false">
      <c r="A6" s="5" t="s">
        <v>5</v>
      </c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customFormat="false" ht="20.2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customFormat="false" ht="15.75" hidden="false" customHeight="true" outlineLevel="0" collapsed="false">
      <c r="A8" s="8" t="s">
        <v>7</v>
      </c>
      <c r="B8" s="5" t="s">
        <v>8</v>
      </c>
      <c r="C8" s="5"/>
      <c r="D8" s="5"/>
      <c r="E8" s="5"/>
      <c r="F8" s="5"/>
      <c r="G8" s="5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customFormat="false" ht="15.75" hidden="false" customHeight="true" outlineLevel="0" collapsed="false">
      <c r="A9" s="8" t="s">
        <v>9</v>
      </c>
      <c r="B9" s="5" t="s">
        <v>10</v>
      </c>
      <c r="C9" s="5"/>
      <c r="D9" s="5"/>
      <c r="E9" s="5"/>
      <c r="F9" s="5"/>
      <c r="G9" s="5"/>
      <c r="H9" s="6" t="s">
        <v>11</v>
      </c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customFormat="false" ht="19.5" hidden="false" customHeight="true" outlineLevel="0" collapsed="false">
      <c r="A10" s="8" t="s">
        <v>12</v>
      </c>
      <c r="B10" s="5" t="s">
        <v>13</v>
      </c>
      <c r="C10" s="5"/>
      <c r="D10" s="5"/>
      <c r="E10" s="5"/>
      <c r="F10" s="5"/>
      <c r="G10" s="5"/>
      <c r="H10" s="10" t="s">
        <v>14</v>
      </c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customFormat="false" ht="31.5" hidden="false" customHeight="true" outlineLevel="0" collapsed="false">
      <c r="A11" s="8" t="s">
        <v>15</v>
      </c>
      <c r="B11" s="5" t="s">
        <v>16</v>
      </c>
      <c r="C11" s="5"/>
      <c r="D11" s="5"/>
      <c r="E11" s="5"/>
      <c r="F11" s="5"/>
      <c r="G11" s="5"/>
      <c r="H11" s="6" t="n">
        <v>12</v>
      </c>
      <c r="I11" s="6"/>
      <c r="J11" s="1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customFormat="false" ht="21" hidden="false" customHeight="true" outlineLevel="0" collapsed="false">
      <c r="A12" s="12" t="s">
        <v>17</v>
      </c>
      <c r="B12" s="12"/>
      <c r="C12" s="12"/>
      <c r="D12" s="12"/>
      <c r="E12" s="12"/>
      <c r="F12" s="12"/>
      <c r="G12" s="12"/>
      <c r="H12" s="12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customFormat="false" ht="50.25" hidden="false" customHeight="true" outlineLevel="0" collapsed="false">
      <c r="A13" s="13" t="s">
        <v>18</v>
      </c>
      <c r="B13" s="13"/>
      <c r="C13" s="13"/>
      <c r="D13" s="13"/>
      <c r="E13" s="13"/>
      <c r="F13" s="14" t="s">
        <v>19</v>
      </c>
      <c r="G13" s="14"/>
      <c r="H13" s="14" t="s">
        <v>20</v>
      </c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customFormat="false" ht="12.75" hidden="false" customHeight="true" outlineLevel="0" collapsed="false">
      <c r="A14" s="5" t="s">
        <v>21</v>
      </c>
      <c r="B14" s="5"/>
      <c r="C14" s="5"/>
      <c r="D14" s="5"/>
      <c r="E14" s="5"/>
      <c r="F14" s="8" t="s">
        <v>22</v>
      </c>
      <c r="G14" s="8"/>
      <c r="H14" s="15" t="s">
        <v>23</v>
      </c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customFormat="false" ht="12.75" hidden="false" customHeight="true" outlineLevel="0" collapsed="false">
      <c r="A15" s="5" t="s">
        <v>24</v>
      </c>
      <c r="B15" s="5"/>
      <c r="C15" s="5"/>
      <c r="D15" s="5"/>
      <c r="E15" s="5"/>
      <c r="F15" s="8" t="s">
        <v>22</v>
      </c>
      <c r="G15" s="8"/>
      <c r="H15" s="15" t="s">
        <v>23</v>
      </c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customFormat="false" ht="12.75" hidden="false" customHeight="true" outlineLevel="0" collapsed="false">
      <c r="A16" s="5" t="s">
        <v>25</v>
      </c>
      <c r="B16" s="5"/>
      <c r="C16" s="5"/>
      <c r="D16" s="5"/>
      <c r="E16" s="5"/>
      <c r="F16" s="8" t="s">
        <v>22</v>
      </c>
      <c r="G16" s="8"/>
      <c r="H16" s="15" t="s">
        <v>23</v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customFormat="false" ht="12.75" hidden="false" customHeight="true" outlineLevel="0" collapsed="false">
      <c r="A17" s="16" t="s">
        <v>26</v>
      </c>
      <c r="B17" s="16"/>
      <c r="C17" s="16"/>
      <c r="D17" s="16"/>
      <c r="E17" s="16"/>
      <c r="F17" s="14" t="s">
        <v>22</v>
      </c>
      <c r="G17" s="14"/>
      <c r="H17" s="17" t="n">
        <v>2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customFormat="false" ht="12.75" hidden="false" customHeight="true" outlineLevel="0" collapsed="false">
      <c r="A18" s="5" t="s">
        <v>27</v>
      </c>
      <c r="B18" s="5"/>
      <c r="C18" s="5"/>
      <c r="D18" s="5"/>
      <c r="E18" s="5"/>
      <c r="F18" s="8" t="s">
        <v>22</v>
      </c>
      <c r="G18" s="8"/>
      <c r="H18" s="15" t="s">
        <v>23</v>
      </c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customFormat="false" ht="12.75" hidden="false" customHeight="true" outlineLevel="0" collapsed="false">
      <c r="A19" s="5" t="s">
        <v>28</v>
      </c>
      <c r="B19" s="5"/>
      <c r="C19" s="5"/>
      <c r="D19" s="5"/>
      <c r="E19" s="5"/>
      <c r="F19" s="8" t="s">
        <v>22</v>
      </c>
      <c r="G19" s="8"/>
      <c r="H19" s="15" t="s">
        <v>23</v>
      </c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customFormat="false" ht="12.75" hidden="false" customHeight="true" outlineLevel="0" collapsed="false">
      <c r="A20" s="18" t="s">
        <v>29</v>
      </c>
      <c r="B20" s="18"/>
      <c r="C20" s="18"/>
      <c r="D20" s="18"/>
      <c r="E20" s="18"/>
      <c r="F20" s="18"/>
      <c r="G20" s="18"/>
      <c r="H20" s="19" t="n">
        <f aca="false">SUM(H14:H19)</f>
        <v>2</v>
      </c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customFormat="false" ht="8.25" hidden="false" customHeight="true" outlineLevel="0" collapsed="false">
      <c r="A21" s="20"/>
      <c r="B21" s="20"/>
      <c r="C21" s="20"/>
      <c r="D21" s="20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customFormat="false" ht="47.25" hidden="false" customHeight="true" outlineLevel="0" collapsed="false">
      <c r="A22" s="21" t="s">
        <v>30</v>
      </c>
      <c r="B22" s="21"/>
      <c r="C22" s="21"/>
      <c r="D22" s="21"/>
      <c r="E22" s="21"/>
      <c r="F22" s="21"/>
      <c r="G22" s="21"/>
      <c r="H22" s="21"/>
      <c r="I22" s="21"/>
      <c r="J22" s="22"/>
      <c r="K22" s="23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customFormat="false" ht="7.5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25"/>
      <c r="J23" s="22"/>
      <c r="K23" s="23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customFormat="false" ht="50.25" hidden="false" customHeight="true" outlineLevel="0" collapsed="false">
      <c r="A24" s="26" t="s">
        <v>31</v>
      </c>
      <c r="B24" s="26"/>
      <c r="C24" s="26"/>
      <c r="D24" s="26"/>
      <c r="E24" s="26"/>
      <c r="F24" s="26"/>
      <c r="G24" s="26"/>
      <c r="H24" s="26"/>
      <c r="I24" s="26"/>
      <c r="J24" s="22"/>
      <c r="K24" s="23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customFormat="false" ht="7.5" hidden="false" customHeight="true" outlineLevel="0" collapsed="false">
      <c r="A25" s="27"/>
      <c r="B25" s="27"/>
      <c r="C25" s="27"/>
      <c r="D25" s="27"/>
      <c r="E25" s="27"/>
      <c r="F25" s="27"/>
      <c r="G25" s="27"/>
      <c r="H25" s="27"/>
      <c r="I25" s="27"/>
      <c r="J25" s="22"/>
      <c r="K25" s="23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customFormat="false" ht="21.75" hidden="false" customHeight="true" outlineLevel="0" collapsed="false">
      <c r="A26" s="7" t="s">
        <v>32</v>
      </c>
      <c r="B26" s="7"/>
      <c r="C26" s="7"/>
      <c r="D26" s="7"/>
      <c r="E26" s="7"/>
      <c r="F26" s="7"/>
      <c r="G26" s="7"/>
      <c r="H26" s="7"/>
      <c r="I26" s="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customFormat="false" ht="27" hidden="false" customHeight="true" outlineLevel="0" collapsed="false">
      <c r="A27" s="8" t="n">
        <v>1</v>
      </c>
      <c r="B27" s="5" t="s">
        <v>33</v>
      </c>
      <c r="C27" s="5"/>
      <c r="D27" s="5"/>
      <c r="E27" s="5"/>
      <c r="F27" s="5"/>
      <c r="G27" s="5"/>
      <c r="H27" s="29" t="s">
        <v>34</v>
      </c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customFormat="false" ht="19.5" hidden="false" customHeight="true" outlineLevel="0" collapsed="false">
      <c r="A28" s="8" t="n">
        <v>2</v>
      </c>
      <c r="B28" s="5" t="s">
        <v>35</v>
      </c>
      <c r="C28" s="5"/>
      <c r="D28" s="5"/>
      <c r="E28" s="5"/>
      <c r="F28" s="5"/>
      <c r="G28" s="5"/>
      <c r="H28" s="30" t="s">
        <v>36</v>
      </c>
      <c r="I28" s="3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customFormat="false" ht="15.75" hidden="false" customHeight="true" outlineLevel="0" collapsed="false">
      <c r="A29" s="8" t="n">
        <v>3</v>
      </c>
      <c r="B29" s="5" t="s">
        <v>37</v>
      </c>
      <c r="C29" s="5"/>
      <c r="D29" s="5"/>
      <c r="E29" s="5"/>
      <c r="F29" s="5"/>
      <c r="G29" s="5"/>
      <c r="H29" s="31" t="n">
        <v>1618.2</v>
      </c>
      <c r="I29" s="3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customFormat="false" ht="15.75" hidden="false" customHeight="true" outlineLevel="0" collapsed="false">
      <c r="A30" s="8" t="n">
        <v>4</v>
      </c>
      <c r="B30" s="5" t="s">
        <v>38</v>
      </c>
      <c r="C30" s="5"/>
      <c r="D30" s="5"/>
      <c r="E30" s="5"/>
      <c r="F30" s="5"/>
      <c r="G30" s="5"/>
      <c r="H30" s="32" t="s">
        <v>39</v>
      </c>
      <c r="I30" s="3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customFormat="false" ht="15.75" hidden="false" customHeight="true" outlineLevel="0" collapsed="false">
      <c r="A31" s="8" t="n">
        <v>5</v>
      </c>
      <c r="B31" s="5" t="s">
        <v>40</v>
      </c>
      <c r="C31" s="5"/>
      <c r="D31" s="5"/>
      <c r="E31" s="5"/>
      <c r="F31" s="5"/>
      <c r="G31" s="5"/>
      <c r="H31" s="33" t="s">
        <v>41</v>
      </c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customFormat="false" ht="27" hidden="false" customHeight="true" outlineLevel="0" collapsed="false">
      <c r="A32" s="34" t="n">
        <v>6</v>
      </c>
      <c r="B32" s="35" t="s">
        <v>42</v>
      </c>
      <c r="C32" s="35"/>
      <c r="D32" s="35"/>
      <c r="E32" s="35"/>
      <c r="F32" s="35"/>
      <c r="G32" s="35"/>
      <c r="H32" s="36" t="n">
        <f aca="false">ROUND((H29/180),2)</f>
        <v>8.99</v>
      </c>
      <c r="I32" s="36"/>
    </row>
    <row r="33" customFormat="false" ht="23.25" hidden="false" customHeight="true" outlineLevel="0" collapsed="false">
      <c r="A33" s="34" t="n">
        <v>7</v>
      </c>
      <c r="B33" s="35" t="s">
        <v>43</v>
      </c>
      <c r="C33" s="35"/>
      <c r="D33" s="35"/>
      <c r="E33" s="35"/>
      <c r="F33" s="35"/>
      <c r="G33" s="35"/>
      <c r="H33" s="37" t="n">
        <f aca="false">TRUNC(H32*1.5,2)</f>
        <v>13.48</v>
      </c>
      <c r="I33" s="37"/>
      <c r="K33" s="38" t="n">
        <f aca="false">H32+H32*0.5</f>
        <v>13.485</v>
      </c>
    </row>
    <row r="34" customFormat="false" ht="26.25" hidden="false" customHeight="true" outlineLevel="0" collapsed="false">
      <c r="A34" s="34" t="n">
        <v>8</v>
      </c>
      <c r="B34" s="35" t="s">
        <v>44</v>
      </c>
      <c r="C34" s="35"/>
      <c r="D34" s="35"/>
      <c r="E34" s="35"/>
      <c r="F34" s="35"/>
      <c r="G34" s="35"/>
      <c r="H34" s="36" t="n">
        <f aca="false">ROUND(H32*0.2,2)</f>
        <v>1.8</v>
      </c>
      <c r="I34" s="36"/>
    </row>
    <row r="35" customFormat="false" ht="16.5" hidden="false" customHeight="true" outlineLevel="0" collapsed="false">
      <c r="A35" s="34" t="n">
        <v>9</v>
      </c>
      <c r="B35" s="35" t="s">
        <v>45</v>
      </c>
      <c r="C35" s="35"/>
      <c r="D35" s="35"/>
      <c r="E35" s="35"/>
      <c r="F35" s="35"/>
      <c r="G35" s="35"/>
      <c r="H35" s="36" t="n">
        <f aca="false">ROUND(H32/6,2)</f>
        <v>1.5</v>
      </c>
      <c r="I35" s="36"/>
    </row>
    <row r="36" customFormat="false" ht="15.75" hidden="false" customHeight="true" outlineLevel="0" collapsed="false">
      <c r="A36" s="34" t="n">
        <v>10</v>
      </c>
      <c r="B36" s="39" t="s">
        <v>46</v>
      </c>
      <c r="C36" s="39"/>
      <c r="D36" s="39"/>
      <c r="E36" s="39"/>
      <c r="F36" s="39"/>
      <c r="G36" s="39"/>
      <c r="H36" s="40" t="n">
        <v>2</v>
      </c>
      <c r="I36" s="40"/>
    </row>
    <row r="37" customFormat="false" ht="9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customFormat="false" ht="24.75" hidden="false" customHeight="true" outlineLevel="0" collapsed="false">
      <c r="A38" s="21" t="s">
        <v>47</v>
      </c>
      <c r="B38" s="21"/>
      <c r="C38" s="21"/>
      <c r="D38" s="21"/>
      <c r="E38" s="21"/>
      <c r="F38" s="21"/>
      <c r="G38" s="21"/>
      <c r="H38" s="21"/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customFormat="false" ht="9" hidden="false" customHeight="true" outlineLevel="0" collapsed="false">
      <c r="A39" s="41"/>
      <c r="B39" s="41"/>
      <c r="C39" s="41"/>
      <c r="D39" s="41"/>
      <c r="E39" s="41"/>
      <c r="F39" s="41"/>
      <c r="G39" s="41"/>
      <c r="H39" s="41"/>
      <c r="I39" s="4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customFormat="false" ht="20.25" hidden="false" customHeight="true" outlineLevel="0" collapsed="false">
      <c r="A40" s="42" t="s">
        <v>48</v>
      </c>
      <c r="B40" s="42"/>
      <c r="C40" s="42"/>
      <c r="D40" s="42"/>
      <c r="E40" s="42"/>
      <c r="F40" s="42"/>
      <c r="G40" s="42"/>
      <c r="H40" s="42"/>
      <c r="I40" s="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customFormat="false" ht="30" hidden="false" customHeight="true" outlineLevel="0" collapsed="false">
      <c r="A41" s="43" t="n">
        <v>1</v>
      </c>
      <c r="B41" s="44" t="s">
        <v>49</v>
      </c>
      <c r="C41" s="44"/>
      <c r="D41" s="44"/>
      <c r="E41" s="44"/>
      <c r="F41" s="44"/>
      <c r="G41" s="44"/>
      <c r="H41" s="45" t="s">
        <v>50</v>
      </c>
      <c r="I41" s="43" t="s">
        <v>51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customFormat="false" ht="15.75" hidden="false" customHeight="true" outlineLevel="0" collapsed="false">
      <c r="A42" s="8" t="s">
        <v>7</v>
      </c>
      <c r="B42" s="5" t="s">
        <v>52</v>
      </c>
      <c r="C42" s="5"/>
      <c r="D42" s="5"/>
      <c r="E42" s="5"/>
      <c r="F42" s="5"/>
      <c r="G42" s="5"/>
      <c r="H42" s="5"/>
      <c r="I42" s="47" t="n">
        <f aca="false">H29*2</f>
        <v>3236.4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customFormat="false" ht="47.25" hidden="false" customHeight="true" outlineLevel="0" collapsed="false">
      <c r="A43" s="8" t="s">
        <v>9</v>
      </c>
      <c r="B43" s="5" t="s">
        <v>53</v>
      </c>
      <c r="C43" s="5"/>
      <c r="D43" s="5"/>
      <c r="E43" s="5"/>
      <c r="F43" s="5"/>
      <c r="G43" s="5"/>
      <c r="H43" s="5"/>
      <c r="I43" s="48" t="s">
        <v>54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customFormat="false" ht="40.5" hidden="false" customHeight="true" outlineLevel="0" collapsed="false">
      <c r="A44" s="8" t="s">
        <v>12</v>
      </c>
      <c r="B44" s="5" t="s">
        <v>55</v>
      </c>
      <c r="C44" s="5"/>
      <c r="D44" s="5"/>
      <c r="E44" s="5"/>
      <c r="F44" s="5"/>
      <c r="G44" s="5"/>
      <c r="H44" s="5"/>
      <c r="I44" s="47" t="n">
        <f aca="false">ROUND(SUM(I43)*0.2,2)</f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customFormat="false" ht="26.25" hidden="false" customHeight="true" outlineLevel="0" collapsed="false">
      <c r="A45" s="8" t="s">
        <v>15</v>
      </c>
      <c r="B45" s="5" t="s">
        <v>56</v>
      </c>
      <c r="C45" s="5"/>
      <c r="D45" s="5"/>
      <c r="E45" s="5"/>
      <c r="F45" s="5"/>
      <c r="G45" s="5"/>
      <c r="H45" s="49" t="n">
        <v>0.3</v>
      </c>
      <c r="I45" s="47" t="n">
        <f aca="false">ROUND(H45*SUM(I42:I44),2)</f>
        <v>970.92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customFormat="false" ht="15.75" hidden="false" customHeight="true" outlineLevel="0" collapsed="false">
      <c r="A46" s="8" t="s">
        <v>57</v>
      </c>
      <c r="B46" s="5" t="s">
        <v>58</v>
      </c>
      <c r="C46" s="5"/>
      <c r="D46" s="5"/>
      <c r="E46" s="5"/>
      <c r="F46" s="5"/>
      <c r="G46" s="5"/>
      <c r="H46" s="5"/>
      <c r="I46" s="50" t="s">
        <v>23</v>
      </c>
      <c r="J46" s="1"/>
      <c r="K46" s="1"/>
      <c r="L46" s="5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customFormat="false" ht="33" hidden="false" customHeight="true" outlineLevel="0" collapsed="false">
      <c r="A47" s="52" t="s">
        <v>59</v>
      </c>
      <c r="B47" s="52"/>
      <c r="C47" s="52"/>
      <c r="D47" s="52"/>
      <c r="E47" s="52"/>
      <c r="F47" s="52"/>
      <c r="G47" s="52"/>
      <c r="H47" s="52"/>
      <c r="I47" s="53" t="n">
        <f aca="false">SUM(I42:I46)</f>
        <v>4207.32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customFormat="false" ht="11.25" hidden="false" customHeight="true" outlineLevel="0" collapsed="false">
      <c r="A48" s="54"/>
      <c r="B48" s="54"/>
      <c r="C48" s="54"/>
      <c r="D48" s="54"/>
      <c r="E48" s="54"/>
      <c r="F48" s="54"/>
      <c r="G48" s="54"/>
      <c r="H48" s="54"/>
      <c r="I48" s="5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customFormat="false" ht="28.5" hidden="false" customHeight="true" outlineLevel="0" collapsed="false">
      <c r="A49" s="55" t="s">
        <v>60</v>
      </c>
      <c r="B49" s="56" t="s">
        <v>61</v>
      </c>
      <c r="C49" s="56"/>
      <c r="D49" s="56"/>
      <c r="E49" s="56"/>
      <c r="F49" s="56"/>
      <c r="G49" s="56"/>
      <c r="H49" s="56"/>
      <c r="I49" s="57" t="n">
        <f aca="false">ROUND(H33*15*H36*0.5,2)</f>
        <v>202.2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customFormat="false" ht="40.5" hidden="false" customHeight="true" outlineLevel="0" collapsed="false">
      <c r="A50" s="7" t="s">
        <v>62</v>
      </c>
      <c r="B50" s="7"/>
      <c r="C50" s="7"/>
      <c r="D50" s="7"/>
      <c r="E50" s="7"/>
      <c r="F50" s="7"/>
      <c r="G50" s="7"/>
      <c r="H50" s="7"/>
      <c r="I50" s="58" t="n">
        <f aca="false">I49</f>
        <v>202.2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customFormat="false" ht="11.25" hidden="false" customHeight="true" outlineLevel="0" collapsed="false">
      <c r="A51" s="20"/>
      <c r="B51" s="20"/>
      <c r="C51" s="20"/>
      <c r="D51" s="20"/>
      <c r="E51" s="20"/>
      <c r="F51" s="20"/>
      <c r="G51" s="20"/>
      <c r="H51" s="20"/>
      <c r="I51" s="2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customFormat="false" ht="46.5" hidden="false" customHeight="true" outlineLevel="0" collapsed="false">
      <c r="A52" s="59" t="s">
        <v>63</v>
      </c>
      <c r="B52" s="59"/>
      <c r="C52" s="59"/>
      <c r="D52" s="59"/>
      <c r="E52" s="59"/>
      <c r="F52" s="59"/>
      <c r="G52" s="59"/>
      <c r="H52" s="59"/>
      <c r="I52" s="60" t="n">
        <f aca="false">I47+I50</f>
        <v>4409.52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customFormat="false" ht="6.75" hidden="false" customHeight="true" outlineLevel="0" collapsed="false">
      <c r="A53" s="54"/>
      <c r="B53" s="54"/>
      <c r="C53" s="54"/>
      <c r="D53" s="54"/>
      <c r="E53" s="54"/>
      <c r="F53" s="54"/>
      <c r="G53" s="54"/>
      <c r="H53" s="54"/>
      <c r="I53" s="5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customFormat="false" ht="17.25" hidden="false" customHeight="true" outlineLevel="0" collapsed="false">
      <c r="A54" s="61" t="s">
        <v>64</v>
      </c>
      <c r="B54" s="61"/>
      <c r="C54" s="61"/>
      <c r="D54" s="61"/>
      <c r="E54" s="61"/>
      <c r="F54" s="61"/>
      <c r="G54" s="61"/>
      <c r="H54" s="61"/>
      <c r="I54" s="6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customFormat="false" ht="6.75" hidden="false" customHeight="true" outlineLevel="0" collapsed="false">
      <c r="A55" s="54"/>
      <c r="B55" s="54"/>
      <c r="C55" s="54"/>
      <c r="D55" s="54"/>
      <c r="E55" s="54"/>
      <c r="F55" s="54"/>
      <c r="G55" s="54"/>
      <c r="H55" s="54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customFormat="false" ht="22.5" hidden="false" customHeight="true" outlineLevel="0" collapsed="false">
      <c r="A56" s="62" t="s">
        <v>65</v>
      </c>
      <c r="B56" s="62"/>
      <c r="C56" s="62"/>
      <c r="D56" s="62"/>
      <c r="E56" s="62"/>
      <c r="F56" s="62"/>
      <c r="G56" s="62"/>
      <c r="H56" s="62"/>
      <c r="I56" s="6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customFormat="false" ht="19.5" hidden="false" customHeight="true" outlineLevel="0" collapsed="false">
      <c r="A57" s="63" t="s">
        <v>66</v>
      </c>
      <c r="B57" s="63"/>
      <c r="C57" s="63"/>
      <c r="D57" s="63"/>
      <c r="E57" s="63"/>
      <c r="F57" s="63"/>
      <c r="G57" s="63"/>
      <c r="H57" s="63"/>
      <c r="I57" s="6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customFormat="false" ht="18.75" hidden="false" customHeight="true" outlineLevel="0" collapsed="false">
      <c r="A58" s="64" t="s">
        <v>67</v>
      </c>
      <c r="B58" s="64" t="s">
        <v>68</v>
      </c>
      <c r="C58" s="64"/>
      <c r="D58" s="64"/>
      <c r="E58" s="64"/>
      <c r="F58" s="64"/>
      <c r="G58" s="64"/>
      <c r="H58" s="64"/>
      <c r="I58" s="12" t="s">
        <v>69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customFormat="false" ht="24.75" hidden="false" customHeight="true" outlineLevel="0" collapsed="false">
      <c r="A59" s="65" t="s">
        <v>7</v>
      </c>
      <c r="B59" s="5" t="s">
        <v>70</v>
      </c>
      <c r="C59" s="5"/>
      <c r="D59" s="5"/>
      <c r="E59" s="5"/>
      <c r="F59" s="5"/>
      <c r="G59" s="5"/>
      <c r="H59" s="66" t="n">
        <v>0.0833</v>
      </c>
      <c r="I59" s="67" t="n">
        <f aca="false">ROUND($I$47*H59,2)</f>
        <v>350.47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customFormat="false" ht="99.75" hidden="false" customHeight="true" outlineLevel="0" collapsed="false">
      <c r="A60" s="65" t="s">
        <v>9</v>
      </c>
      <c r="B60" s="5" t="s">
        <v>71</v>
      </c>
      <c r="C60" s="5"/>
      <c r="D60" s="5"/>
      <c r="E60" s="5"/>
      <c r="F60" s="5"/>
      <c r="G60" s="5"/>
      <c r="H60" s="68" t="n">
        <v>0.03025</v>
      </c>
      <c r="I60" s="67" t="n">
        <f aca="false">ROUND($I$47*H60,2)</f>
        <v>127.27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customFormat="false" ht="16.5" hidden="false" customHeight="true" outlineLevel="0" collapsed="false">
      <c r="A61" s="69" t="s">
        <v>72</v>
      </c>
      <c r="B61" s="69"/>
      <c r="C61" s="69"/>
      <c r="D61" s="69"/>
      <c r="E61" s="69"/>
      <c r="F61" s="69"/>
      <c r="G61" s="69"/>
      <c r="H61" s="69"/>
      <c r="I61" s="70" t="n">
        <f aca="false">SUM(I59+I60)</f>
        <v>477.74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customFormat="false" ht="23.25" hidden="false" customHeight="true" outlineLevel="0" collapsed="false">
      <c r="A62" s="71" t="s">
        <v>73</v>
      </c>
      <c r="B62" s="71"/>
      <c r="C62" s="71"/>
      <c r="D62" s="71"/>
      <c r="E62" s="71"/>
      <c r="F62" s="71"/>
      <c r="G62" s="71"/>
      <c r="H62" s="71"/>
      <c r="I62" s="7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customFormat="false" ht="110.25" hidden="false" customHeight="true" outlineLevel="0" collapsed="false">
      <c r="A63" s="21" t="s">
        <v>74</v>
      </c>
      <c r="B63" s="21"/>
      <c r="C63" s="21"/>
      <c r="D63" s="21"/>
      <c r="E63" s="21"/>
      <c r="F63" s="21"/>
      <c r="G63" s="21"/>
      <c r="H63" s="21"/>
      <c r="I63" s="2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customFormat="false" ht="8.25" hidden="false" customHeight="true" outlineLevel="0" collapsed="false">
      <c r="A64" s="72"/>
      <c r="B64" s="72"/>
      <c r="C64" s="72"/>
      <c r="D64" s="72"/>
      <c r="E64" s="72"/>
      <c r="F64" s="72"/>
      <c r="G64" s="72"/>
      <c r="H64" s="72"/>
      <c r="I64" s="7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customFormat="false" ht="29.25" hidden="false" customHeight="true" outlineLevel="0" collapsed="false">
      <c r="A65" s="73" t="s">
        <v>75</v>
      </c>
      <c r="B65" s="73"/>
      <c r="C65" s="73"/>
      <c r="D65" s="73"/>
      <c r="E65" s="73"/>
      <c r="F65" s="73"/>
      <c r="G65" s="73"/>
      <c r="H65" s="73"/>
      <c r="I65" s="7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customFormat="false" ht="26.25" hidden="false" customHeight="true" outlineLevel="0" collapsed="false">
      <c r="A66" s="74" t="s">
        <v>76</v>
      </c>
      <c r="B66" s="44" t="s">
        <v>77</v>
      </c>
      <c r="C66" s="44"/>
      <c r="D66" s="44"/>
      <c r="E66" s="44"/>
      <c r="F66" s="44"/>
      <c r="G66" s="44"/>
      <c r="H66" s="14" t="s">
        <v>50</v>
      </c>
      <c r="I66" s="44" t="s">
        <v>78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customFormat="false" ht="16.5" hidden="false" customHeight="true" outlineLevel="0" collapsed="false">
      <c r="A67" s="75" t="s">
        <v>7</v>
      </c>
      <c r="B67" s="5" t="s">
        <v>79</v>
      </c>
      <c r="C67" s="5"/>
      <c r="D67" s="5"/>
      <c r="E67" s="5"/>
      <c r="F67" s="5"/>
      <c r="G67" s="5"/>
      <c r="H67" s="76" t="n">
        <v>0.2</v>
      </c>
      <c r="I67" s="48" t="n">
        <f aca="false">ROUND(($I$47+$I$61+$I$50)*H67,2)</f>
        <v>977.45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customFormat="false" ht="19.5" hidden="false" customHeight="true" outlineLevel="0" collapsed="false">
      <c r="A68" s="75" t="s">
        <v>9</v>
      </c>
      <c r="B68" s="5" t="s">
        <v>80</v>
      </c>
      <c r="C68" s="5"/>
      <c r="D68" s="5"/>
      <c r="E68" s="5"/>
      <c r="F68" s="5"/>
      <c r="G68" s="5"/>
      <c r="H68" s="76" t="n">
        <v>0.025</v>
      </c>
      <c r="I68" s="48" t="n">
        <f aca="false">ROUND(($I$47+$I$61+$I$50)*H68,2)</f>
        <v>122.18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customFormat="false" ht="48" hidden="false" customHeight="true" outlineLevel="0" collapsed="false">
      <c r="A69" s="75" t="s">
        <v>12</v>
      </c>
      <c r="B69" s="5" t="s">
        <v>81</v>
      </c>
      <c r="C69" s="5"/>
      <c r="D69" s="77" t="s">
        <v>82</v>
      </c>
      <c r="E69" s="78" t="n">
        <v>0.03</v>
      </c>
      <c r="F69" s="77" t="s">
        <v>83</v>
      </c>
      <c r="G69" s="79" t="n">
        <v>1</v>
      </c>
      <c r="H69" s="80" t="n">
        <f aca="false">ROUND((E69*G69),6)</f>
        <v>0.03</v>
      </c>
      <c r="I69" s="48" t="n">
        <f aca="false">ROUND(($I$47+$I$61+$I$50)*H69,2)</f>
        <v>146.62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customFormat="false" ht="15.75" hidden="false" customHeight="true" outlineLevel="0" collapsed="false">
      <c r="A70" s="75" t="s">
        <v>15</v>
      </c>
      <c r="B70" s="5" t="s">
        <v>84</v>
      </c>
      <c r="C70" s="5"/>
      <c r="D70" s="5"/>
      <c r="E70" s="5"/>
      <c r="F70" s="5"/>
      <c r="G70" s="5"/>
      <c r="H70" s="76" t="n">
        <v>0.015</v>
      </c>
      <c r="I70" s="48" t="n">
        <f aca="false">ROUND(($I$47+$I$61+$I$50)*H70,2)</f>
        <v>73.31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customFormat="false" ht="15.75" hidden="false" customHeight="true" outlineLevel="0" collapsed="false">
      <c r="A71" s="75" t="s">
        <v>57</v>
      </c>
      <c r="B71" s="5" t="s">
        <v>85</v>
      </c>
      <c r="C71" s="5"/>
      <c r="D71" s="5"/>
      <c r="E71" s="5"/>
      <c r="F71" s="5"/>
      <c r="G71" s="5"/>
      <c r="H71" s="76" t="n">
        <v>0.01</v>
      </c>
      <c r="I71" s="48" t="n">
        <f aca="false">ROUND(($I$47+$I$61+$I$50)*H71,2)</f>
        <v>48.87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customFormat="false" ht="15.75" hidden="false" customHeight="true" outlineLevel="0" collapsed="false">
      <c r="A72" s="75" t="s">
        <v>60</v>
      </c>
      <c r="B72" s="5" t="s">
        <v>86</v>
      </c>
      <c r="C72" s="5"/>
      <c r="D72" s="5"/>
      <c r="E72" s="5"/>
      <c r="F72" s="5"/>
      <c r="G72" s="5"/>
      <c r="H72" s="76" t="n">
        <v>0.006</v>
      </c>
      <c r="I72" s="48" t="n">
        <f aca="false">ROUND(($I$47+$I$61+$I$50)*H72,2)</f>
        <v>29.32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customFormat="false" ht="15.75" hidden="false" customHeight="true" outlineLevel="0" collapsed="false">
      <c r="A73" s="75" t="s">
        <v>87</v>
      </c>
      <c r="B73" s="5" t="s">
        <v>88</v>
      </c>
      <c r="C73" s="5"/>
      <c r="D73" s="5"/>
      <c r="E73" s="5"/>
      <c r="F73" s="5"/>
      <c r="G73" s="5"/>
      <c r="H73" s="76" t="n">
        <v>0.002</v>
      </c>
      <c r="I73" s="48" t="n">
        <f aca="false">ROUND(($I$47+$I$61+$I$50)*H73,2)</f>
        <v>9.77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customFormat="false" ht="12.75" hidden="false" customHeight="true" outlineLevel="0" collapsed="false">
      <c r="A74" s="75" t="s">
        <v>89</v>
      </c>
      <c r="B74" s="5" t="s">
        <v>90</v>
      </c>
      <c r="C74" s="5"/>
      <c r="D74" s="5"/>
      <c r="E74" s="5"/>
      <c r="F74" s="5"/>
      <c r="G74" s="5"/>
      <c r="H74" s="76" t="n">
        <v>0.08</v>
      </c>
      <c r="I74" s="48" t="n">
        <f aca="false">ROUND(($I$47+$I$61+$I$50)*H74,2)</f>
        <v>390.98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customFormat="false" ht="18" hidden="false" customHeight="true" outlineLevel="0" collapsed="false">
      <c r="A75" s="69" t="s">
        <v>72</v>
      </c>
      <c r="B75" s="69"/>
      <c r="C75" s="69"/>
      <c r="D75" s="69"/>
      <c r="E75" s="69"/>
      <c r="F75" s="69"/>
      <c r="G75" s="69"/>
      <c r="H75" s="81" t="n">
        <f aca="false">SUM(H67:H74)</f>
        <v>0.368</v>
      </c>
      <c r="I75" s="70" t="n">
        <f aca="false">SUM(I67:I74)</f>
        <v>1798.5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customFormat="false" ht="9.75" hidden="false" customHeight="true" outlineLevel="0" collapsed="false">
      <c r="A76" s="82"/>
      <c r="B76" s="83"/>
      <c r="C76" s="83"/>
      <c r="D76" s="83"/>
      <c r="E76" s="83"/>
      <c r="F76" s="83"/>
      <c r="G76" s="83"/>
      <c r="H76" s="84"/>
      <c r="I76" s="8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customFormat="false" ht="39" hidden="false" customHeight="true" outlineLevel="0" collapsed="false">
      <c r="A77" s="21" t="s">
        <v>91</v>
      </c>
      <c r="B77" s="21"/>
      <c r="C77" s="21"/>
      <c r="D77" s="21"/>
      <c r="E77" s="21"/>
      <c r="F77" s="21"/>
      <c r="G77" s="21"/>
      <c r="H77" s="21"/>
      <c r="I77" s="2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customFormat="false" ht="8.25" hidden="false" customHeight="true" outlineLevel="0" collapsed="false">
      <c r="A78" s="25"/>
      <c r="B78" s="25"/>
      <c r="C78" s="25"/>
      <c r="D78" s="25"/>
      <c r="E78" s="25"/>
      <c r="F78" s="25"/>
      <c r="G78" s="25"/>
      <c r="H78" s="25"/>
      <c r="I78" s="2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customFormat="false" ht="23.25" hidden="false" customHeight="true" outlineLevel="0" collapsed="false">
      <c r="A79" s="86" t="s">
        <v>92</v>
      </c>
      <c r="B79" s="86"/>
      <c r="C79" s="86"/>
      <c r="D79" s="86"/>
      <c r="E79" s="86"/>
      <c r="F79" s="86"/>
      <c r="G79" s="86"/>
      <c r="H79" s="86"/>
      <c r="I79" s="86"/>
      <c r="J79" s="1"/>
      <c r="K79" s="1" t="n">
        <f aca="false">1/12</f>
        <v>0.08333333333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customFormat="false" ht="21.75" hidden="false" customHeight="true" outlineLevel="0" collapsed="false">
      <c r="A80" s="87" t="s">
        <v>93</v>
      </c>
      <c r="B80" s="44" t="s">
        <v>94</v>
      </c>
      <c r="C80" s="44"/>
      <c r="D80" s="44"/>
      <c r="E80" s="44"/>
      <c r="F80" s="44"/>
      <c r="G80" s="44"/>
      <c r="H80" s="44"/>
      <c r="I80" s="44" t="s">
        <v>69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customFormat="false" ht="19.5" hidden="false" customHeight="true" outlineLevel="0" collapsed="false">
      <c r="A81" s="65" t="s">
        <v>7</v>
      </c>
      <c r="B81" s="88" t="s">
        <v>95</v>
      </c>
      <c r="C81" s="88"/>
      <c r="D81" s="88"/>
      <c r="E81" s="88"/>
      <c r="F81" s="88"/>
      <c r="G81" s="88"/>
      <c r="H81" s="88"/>
      <c r="I81" s="48" t="n">
        <f aca="false">IF(ROUND((H82*H84*H83)-(I42*H85),2)&lt;0,0,ROUND((H82*H84*H83)-(I42*H85),2))</f>
        <v>171.82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customFormat="false" ht="36" hidden="false" customHeight="true" outlineLevel="0" collapsed="false">
      <c r="A82" s="65"/>
      <c r="B82" s="88" t="s">
        <v>96</v>
      </c>
      <c r="C82" s="88"/>
      <c r="D82" s="88"/>
      <c r="E82" s="88"/>
      <c r="F82" s="88"/>
      <c r="G82" s="88"/>
      <c r="H82" s="89" t="n">
        <v>6.1</v>
      </c>
      <c r="I82" s="50" t="s">
        <v>23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customFormat="false" ht="19.5" hidden="false" customHeight="true" outlineLevel="0" collapsed="false">
      <c r="A83" s="65"/>
      <c r="B83" s="5" t="s">
        <v>97</v>
      </c>
      <c r="C83" s="5"/>
      <c r="D83" s="5"/>
      <c r="E83" s="5"/>
      <c r="F83" s="5"/>
      <c r="G83" s="5"/>
      <c r="H83" s="90" t="n">
        <v>2</v>
      </c>
      <c r="I83" s="50" t="s">
        <v>23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customFormat="false" ht="14.25" hidden="false" customHeight="true" outlineLevel="0" collapsed="false">
      <c r="A84" s="65"/>
      <c r="B84" s="35" t="s">
        <v>98</v>
      </c>
      <c r="C84" s="35"/>
      <c r="D84" s="35"/>
      <c r="E84" s="35"/>
      <c r="F84" s="35"/>
      <c r="G84" s="35"/>
      <c r="H84" s="91" t="n">
        <v>30</v>
      </c>
      <c r="I84" s="5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customFormat="false" ht="25.5" hidden="false" customHeight="true" outlineLevel="0" collapsed="false">
      <c r="A85" s="65"/>
      <c r="B85" s="35" t="s">
        <v>99</v>
      </c>
      <c r="C85" s="35"/>
      <c r="D85" s="35"/>
      <c r="E85" s="35"/>
      <c r="F85" s="35"/>
      <c r="G85" s="35"/>
      <c r="H85" s="92" t="n">
        <v>0.06</v>
      </c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customFormat="false" ht="15.75" hidden="false" customHeight="true" outlineLevel="0" collapsed="false">
      <c r="A86" s="65" t="s">
        <v>9</v>
      </c>
      <c r="B86" s="88" t="s">
        <v>100</v>
      </c>
      <c r="C86" s="88"/>
      <c r="D86" s="88"/>
      <c r="E86" s="88"/>
      <c r="F86" s="88"/>
      <c r="G86" s="88"/>
      <c r="H86" s="88"/>
      <c r="I86" s="48" t="n">
        <f aca="false">ROUND(H88*H87*(1-H89),2)*1+ROUND(21.726*6*(1-H89),2)*0</f>
        <v>744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customFormat="false" ht="15.75" hidden="false" customHeight="true" outlineLevel="0" collapsed="false">
      <c r="A87" s="65"/>
      <c r="B87" s="88" t="s">
        <v>101</v>
      </c>
      <c r="C87" s="88"/>
      <c r="D87" s="88"/>
      <c r="E87" s="88"/>
      <c r="F87" s="88"/>
      <c r="G87" s="88"/>
      <c r="H87" s="89" t="n">
        <v>31</v>
      </c>
      <c r="I87" s="50" t="s">
        <v>23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customFormat="false" ht="15.75" hidden="false" customHeight="true" outlineLevel="0" collapsed="false">
      <c r="A88" s="65"/>
      <c r="B88" s="88" t="s">
        <v>102</v>
      </c>
      <c r="C88" s="88"/>
      <c r="D88" s="88"/>
      <c r="E88" s="88"/>
      <c r="F88" s="88"/>
      <c r="G88" s="88"/>
      <c r="H88" s="91" t="n">
        <v>30</v>
      </c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customFormat="false" ht="23.25" hidden="false" customHeight="true" outlineLevel="0" collapsed="false">
      <c r="A89" s="65"/>
      <c r="B89" s="35" t="s">
        <v>103</v>
      </c>
      <c r="C89" s="35"/>
      <c r="D89" s="35"/>
      <c r="E89" s="35"/>
      <c r="F89" s="35"/>
      <c r="G89" s="35"/>
      <c r="H89" s="92" t="n">
        <v>0.2</v>
      </c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customFormat="false" ht="18.75" hidden="false" customHeight="true" outlineLevel="0" collapsed="false">
      <c r="A90" s="65" t="s">
        <v>12</v>
      </c>
      <c r="B90" s="88" t="s">
        <v>104</v>
      </c>
      <c r="C90" s="88"/>
      <c r="D90" s="88"/>
      <c r="E90" s="88"/>
      <c r="F90" s="88"/>
      <c r="G90" s="88"/>
      <c r="H90" s="88"/>
      <c r="I90" s="48" t="n"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customFormat="false" ht="36" hidden="false" customHeight="true" outlineLevel="0" collapsed="false">
      <c r="A91" s="65" t="s">
        <v>15</v>
      </c>
      <c r="B91" s="88" t="s">
        <v>105</v>
      </c>
      <c r="C91" s="88"/>
      <c r="D91" s="88"/>
      <c r="E91" s="88"/>
      <c r="F91" s="88"/>
      <c r="G91" s="88"/>
      <c r="H91" s="88"/>
      <c r="I91" s="48" t="n">
        <f aca="false">ROUND($I$47*30*0.00023,2)</f>
        <v>29.03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customFormat="false" ht="33" hidden="false" customHeight="true" outlineLevel="0" collapsed="false">
      <c r="A92" s="65" t="s">
        <v>57</v>
      </c>
      <c r="B92" s="5" t="s">
        <v>106</v>
      </c>
      <c r="C92" s="5"/>
      <c r="D92" s="5"/>
      <c r="E92" s="5"/>
      <c r="F92" s="5"/>
      <c r="G92" s="5"/>
      <c r="H92" s="5"/>
      <c r="I92" s="48" t="n">
        <f aca="false">ROUND((6386*0.0052066)/12,2)</f>
        <v>2.77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customFormat="false" ht="15" hidden="false" customHeight="true" outlineLevel="0" collapsed="false">
      <c r="A93" s="65" t="s">
        <v>60</v>
      </c>
      <c r="B93" s="93" t="s">
        <v>107</v>
      </c>
      <c r="C93" s="93"/>
      <c r="D93" s="93"/>
      <c r="E93" s="93"/>
      <c r="F93" s="93"/>
      <c r="G93" s="93"/>
      <c r="H93" s="93"/>
      <c r="I93" s="94" t="n"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customFormat="false" ht="19.5" hidden="false" customHeight="true" outlineLevel="0" collapsed="false">
      <c r="A94" s="95"/>
      <c r="B94" s="96" t="s">
        <v>72</v>
      </c>
      <c r="C94" s="96"/>
      <c r="D94" s="96"/>
      <c r="E94" s="96"/>
      <c r="F94" s="96"/>
      <c r="G94" s="96"/>
      <c r="H94" s="96"/>
      <c r="I94" s="70" t="n">
        <f aca="false">SUM(I81:I93)</f>
        <v>947.62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customFormat="false" ht="14.25" hidden="false" customHeight="true" outlineLevel="0" collapsed="false">
      <c r="A95" s="25"/>
      <c r="B95" s="25"/>
      <c r="C95" s="25"/>
      <c r="D95" s="25"/>
      <c r="E95" s="25"/>
      <c r="F95" s="25"/>
      <c r="G95" s="25"/>
      <c r="H95" s="25"/>
      <c r="I95" s="2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customFormat="false" ht="34.5" hidden="false" customHeight="true" outlineLevel="0" collapsed="false">
      <c r="A96" s="21" t="s">
        <v>108</v>
      </c>
      <c r="B96" s="21"/>
      <c r="C96" s="21"/>
      <c r="D96" s="21"/>
      <c r="E96" s="21"/>
      <c r="F96" s="21"/>
      <c r="G96" s="21"/>
      <c r="H96" s="21"/>
      <c r="I96" s="2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customFormat="false" ht="15.75" hidden="false" customHeight="true" outlineLevel="0" collapsed="false">
      <c r="A97" s="20"/>
      <c r="B97" s="20"/>
      <c r="C97" s="20"/>
      <c r="D97" s="20"/>
      <c r="E97" s="20"/>
      <c r="F97" s="20"/>
      <c r="G97" s="20"/>
      <c r="H97" s="20"/>
      <c r="I97" s="2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customFormat="false" ht="14.25" hidden="false" customHeight="true" outlineLevel="0" collapsed="false">
      <c r="A98" s="97" t="s">
        <v>109</v>
      </c>
      <c r="B98" s="97"/>
      <c r="C98" s="97"/>
      <c r="D98" s="97"/>
      <c r="E98" s="97"/>
      <c r="F98" s="97"/>
      <c r="G98" s="97"/>
      <c r="H98" s="97"/>
      <c r="I98" s="9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customFormat="false" ht="14.25" hidden="false" customHeight="true" outlineLevel="0" collapsed="false">
      <c r="A99" s="44" t="n">
        <v>2</v>
      </c>
      <c r="B99" s="44" t="s">
        <v>110</v>
      </c>
      <c r="C99" s="44"/>
      <c r="D99" s="44"/>
      <c r="E99" s="44"/>
      <c r="F99" s="44"/>
      <c r="G99" s="44"/>
      <c r="H99" s="44"/>
      <c r="I99" s="44" t="s">
        <v>69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customFormat="false" ht="15.75" hidden="false" customHeight="true" outlineLevel="0" collapsed="false">
      <c r="A100" s="8" t="s">
        <v>67</v>
      </c>
      <c r="B100" s="5" t="s">
        <v>111</v>
      </c>
      <c r="C100" s="5"/>
      <c r="D100" s="5"/>
      <c r="E100" s="5"/>
      <c r="F100" s="5"/>
      <c r="G100" s="5"/>
      <c r="H100" s="5"/>
      <c r="I100" s="94" t="n">
        <f aca="false">I61</f>
        <v>477.74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customFormat="false" ht="15.75" hidden="false" customHeight="true" outlineLevel="0" collapsed="false">
      <c r="A101" s="8" t="s">
        <v>76</v>
      </c>
      <c r="B101" s="5" t="s">
        <v>77</v>
      </c>
      <c r="C101" s="5"/>
      <c r="D101" s="5"/>
      <c r="E101" s="5"/>
      <c r="F101" s="5"/>
      <c r="G101" s="5"/>
      <c r="H101" s="5"/>
      <c r="I101" s="94" t="n">
        <f aca="false">I75</f>
        <v>1798.5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customFormat="false" ht="14.25" hidden="false" customHeight="true" outlineLevel="0" collapsed="false">
      <c r="A102" s="8" t="s">
        <v>93</v>
      </c>
      <c r="B102" s="5" t="s">
        <v>94</v>
      </c>
      <c r="C102" s="5"/>
      <c r="D102" s="5"/>
      <c r="E102" s="5"/>
      <c r="F102" s="5"/>
      <c r="G102" s="5"/>
      <c r="H102" s="5"/>
      <c r="I102" s="94" t="n">
        <f aca="false">I94</f>
        <v>947.62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customFormat="false" ht="15" hidden="false" customHeight="true" outlineLevel="0" collapsed="false">
      <c r="A103" s="98" t="s">
        <v>72</v>
      </c>
      <c r="B103" s="98"/>
      <c r="C103" s="98"/>
      <c r="D103" s="98"/>
      <c r="E103" s="98"/>
      <c r="F103" s="98"/>
      <c r="G103" s="98"/>
      <c r="H103" s="98"/>
      <c r="I103" s="99" t="n">
        <f aca="false">SUM(I100+I101+I102)</f>
        <v>3223.86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customFormat="false" ht="8.25" hidden="false" customHeight="true" outlineLevel="0" collapsed="false">
      <c r="A104" s="100"/>
      <c r="B104" s="100"/>
      <c r="C104" s="100"/>
      <c r="D104" s="100"/>
      <c r="E104" s="100"/>
      <c r="F104" s="100"/>
      <c r="G104" s="100"/>
      <c r="H104" s="100"/>
      <c r="I104" s="10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customFormat="false" ht="23.25" hidden="false" customHeight="true" outlineLevel="0" collapsed="false">
      <c r="A105" s="62" t="s">
        <v>112</v>
      </c>
      <c r="B105" s="62"/>
      <c r="C105" s="62"/>
      <c r="D105" s="62"/>
      <c r="E105" s="62"/>
      <c r="F105" s="62"/>
      <c r="G105" s="62"/>
      <c r="H105" s="62"/>
      <c r="I105" s="6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customFormat="false" ht="12.75" hidden="false" customHeight="true" outlineLevel="0" collapsed="false">
      <c r="A106" s="87" t="n">
        <v>3</v>
      </c>
      <c r="B106" s="87" t="s">
        <v>113</v>
      </c>
      <c r="C106" s="87"/>
      <c r="D106" s="87"/>
      <c r="E106" s="87"/>
      <c r="F106" s="87"/>
      <c r="G106" s="87"/>
      <c r="H106" s="87"/>
      <c r="I106" s="87" t="s">
        <v>69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customFormat="false" ht="45.75" hidden="false" customHeight="true" outlineLevel="0" collapsed="false">
      <c r="A107" s="65" t="s">
        <v>7</v>
      </c>
      <c r="B107" s="5" t="s">
        <v>114</v>
      </c>
      <c r="C107" s="5"/>
      <c r="D107" s="5"/>
      <c r="E107" s="5"/>
      <c r="F107" s="5"/>
      <c r="G107" s="5"/>
      <c r="H107" s="5"/>
      <c r="I107" s="48" t="n">
        <f aca="false">ROUND((($I$47/12)+($I$59/12)+($I$47*0.121/12))*(30/30)*0.05,2)</f>
        <v>21.11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customFormat="false" ht="19.5" hidden="false" customHeight="true" outlineLevel="0" collapsed="false">
      <c r="A108" s="65" t="s">
        <v>9</v>
      </c>
      <c r="B108" s="101" t="s">
        <v>115</v>
      </c>
      <c r="C108" s="101"/>
      <c r="D108" s="101"/>
      <c r="E108" s="101"/>
      <c r="F108" s="101"/>
      <c r="G108" s="101"/>
      <c r="H108" s="101"/>
      <c r="I108" s="48" t="n">
        <f aca="false">ROUND($H$74*I107,2)</f>
        <v>1.69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customFormat="false" ht="49.5" hidden="false" customHeight="true" outlineLevel="0" collapsed="false">
      <c r="A109" s="65" t="s">
        <v>12</v>
      </c>
      <c r="B109" s="5" t="s">
        <v>116</v>
      </c>
      <c r="C109" s="5"/>
      <c r="D109" s="5"/>
      <c r="E109" s="5"/>
      <c r="F109" s="5"/>
      <c r="G109" s="5"/>
      <c r="H109" s="5"/>
      <c r="I109" s="48" t="n">
        <f aca="false">ROUND(((7/30)/$H$11)*$I$47*1,2)</f>
        <v>81.81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customFormat="false" ht="15.75" hidden="false" customHeight="true" outlineLevel="0" collapsed="false">
      <c r="A110" s="65" t="s">
        <v>15</v>
      </c>
      <c r="B110" s="101" t="s">
        <v>117</v>
      </c>
      <c r="C110" s="101"/>
      <c r="D110" s="101"/>
      <c r="E110" s="101"/>
      <c r="F110" s="101"/>
      <c r="G110" s="101"/>
      <c r="H110" s="101"/>
      <c r="I110" s="48" t="n">
        <f aca="false">ROUND($H$75*I109,2)</f>
        <v>30.11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customFormat="false" ht="36" hidden="false" customHeight="true" outlineLevel="0" collapsed="false">
      <c r="A111" s="65" t="s">
        <v>57</v>
      </c>
      <c r="B111" s="5" t="s">
        <v>118</v>
      </c>
      <c r="C111" s="5"/>
      <c r="D111" s="5"/>
      <c r="E111" s="5"/>
      <c r="F111" s="5"/>
      <c r="G111" s="5"/>
      <c r="H111" s="102" t="n">
        <v>0.04</v>
      </c>
      <c r="I111" s="48" t="n">
        <f aca="false">ROUND(I47*H111,2)</f>
        <v>168.29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customFormat="false" ht="16.5" hidden="false" customHeight="true" outlineLevel="0" collapsed="false">
      <c r="A112" s="69" t="s">
        <v>119</v>
      </c>
      <c r="B112" s="69"/>
      <c r="C112" s="69"/>
      <c r="D112" s="69"/>
      <c r="E112" s="69"/>
      <c r="F112" s="69"/>
      <c r="G112" s="69"/>
      <c r="H112" s="69"/>
      <c r="I112" s="70" t="n">
        <f aca="false">SUM(I107:I111)</f>
        <v>303.01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customFormat="false" ht="7.5" hidden="false" customHeight="true" outlineLevel="0" collapsed="false">
      <c r="A113" s="103"/>
      <c r="B113" s="103"/>
      <c r="C113" s="103"/>
      <c r="D113" s="103"/>
      <c r="E113" s="103"/>
      <c r="F113" s="103"/>
      <c r="G113" s="103"/>
      <c r="H113" s="103"/>
      <c r="I113" s="10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customFormat="false" ht="21" hidden="false" customHeight="true" outlineLevel="0" collapsed="false">
      <c r="A114" s="97" t="s">
        <v>120</v>
      </c>
      <c r="B114" s="97"/>
      <c r="C114" s="97"/>
      <c r="D114" s="97"/>
      <c r="E114" s="97"/>
      <c r="F114" s="97"/>
      <c r="G114" s="97"/>
      <c r="H114" s="97"/>
      <c r="I114" s="9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customFormat="false" ht="24" hidden="false" customHeight="true" outlineLevel="0" collapsed="false">
      <c r="A115" s="21" t="s">
        <v>121</v>
      </c>
      <c r="B115" s="21"/>
      <c r="C115" s="21"/>
      <c r="D115" s="21"/>
      <c r="E115" s="21"/>
      <c r="F115" s="21"/>
      <c r="G115" s="21"/>
      <c r="H115" s="21"/>
      <c r="I115" s="2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customFormat="false" ht="54" hidden="false" customHeight="true" outlineLevel="0" collapsed="false">
      <c r="A116" s="73" t="s">
        <v>122</v>
      </c>
      <c r="B116" s="73"/>
      <c r="C116" s="73"/>
      <c r="D116" s="73"/>
      <c r="E116" s="73"/>
      <c r="F116" s="73"/>
      <c r="G116" s="73"/>
      <c r="H116" s="73"/>
      <c r="I116" s="7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customFormat="false" ht="6.75" hidden="false" customHeight="true" outlineLevel="0" collapsed="false">
      <c r="A117" s="104"/>
      <c r="B117" s="104"/>
      <c r="C117" s="104"/>
      <c r="D117" s="104"/>
      <c r="E117" s="104"/>
      <c r="F117" s="104"/>
      <c r="G117" s="104"/>
      <c r="H117" s="104"/>
      <c r="I117" s="10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customFormat="false" ht="53.25" hidden="false" customHeight="true" outlineLevel="0" collapsed="false">
      <c r="A118" s="105" t="s">
        <v>123</v>
      </c>
      <c r="B118" s="106" t="n">
        <f aca="false">I47</f>
        <v>4207.32</v>
      </c>
      <c r="C118" s="107" t="s">
        <v>124</v>
      </c>
      <c r="D118" s="105" t="s">
        <v>125</v>
      </c>
      <c r="E118" s="106" t="n">
        <f aca="false">I103-I81-I86+I122</f>
        <v>2830.36</v>
      </c>
      <c r="F118" s="107" t="s">
        <v>124</v>
      </c>
      <c r="G118" s="105" t="s">
        <v>126</v>
      </c>
      <c r="H118" s="106" t="n">
        <f aca="false">I112</f>
        <v>303.01</v>
      </c>
      <c r="I118" s="108" t="n">
        <f aca="false">B118+E118+H118</f>
        <v>7340.69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customFormat="false" ht="7.5" hidden="false" customHeight="true" outlineLevel="0" collapsed="false">
      <c r="A119" s="72"/>
      <c r="B119" s="72"/>
      <c r="C119" s="72"/>
      <c r="D119" s="72"/>
      <c r="E119" s="72"/>
      <c r="F119" s="72"/>
      <c r="G119" s="72"/>
      <c r="H119" s="72"/>
      <c r="I119" s="7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customFormat="false" ht="23.25" hidden="false" customHeight="true" outlineLevel="0" collapsed="false">
      <c r="A120" s="73" t="s">
        <v>127</v>
      </c>
      <c r="B120" s="73"/>
      <c r="C120" s="73"/>
      <c r="D120" s="73"/>
      <c r="E120" s="73"/>
      <c r="F120" s="73"/>
      <c r="G120" s="73"/>
      <c r="H120" s="73"/>
      <c r="I120" s="7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customFormat="false" ht="14.25" hidden="false" customHeight="true" outlineLevel="0" collapsed="false">
      <c r="A121" s="109" t="s">
        <v>128</v>
      </c>
      <c r="B121" s="87" t="s">
        <v>129</v>
      </c>
      <c r="C121" s="87"/>
      <c r="D121" s="87"/>
      <c r="E121" s="87"/>
      <c r="F121" s="87"/>
      <c r="G121" s="87"/>
      <c r="H121" s="87"/>
      <c r="I121" s="109" t="s">
        <v>69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customFormat="false" ht="48" hidden="false" customHeight="true" outlineLevel="0" collapsed="false">
      <c r="A122" s="65" t="s">
        <v>7</v>
      </c>
      <c r="B122" s="5" t="s">
        <v>130</v>
      </c>
      <c r="C122" s="5"/>
      <c r="D122" s="5"/>
      <c r="E122" s="5"/>
      <c r="F122" s="5"/>
      <c r="G122" s="110" t="n">
        <v>0.09075</v>
      </c>
      <c r="H122" s="111" t="n">
        <f aca="false">H75</f>
        <v>0.368</v>
      </c>
      <c r="I122" s="48" t="n">
        <f aca="false">ROUND(B118*G122+B118*G122*H122,2)</f>
        <v>522.32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customFormat="false" ht="27.75" hidden="false" customHeight="true" outlineLevel="0" collapsed="false">
      <c r="A123" s="65" t="s">
        <v>9</v>
      </c>
      <c r="B123" s="97" t="s">
        <v>131</v>
      </c>
      <c r="C123" s="97"/>
      <c r="D123" s="97"/>
      <c r="E123" s="97"/>
      <c r="F123" s="97"/>
      <c r="G123" s="97"/>
      <c r="H123" s="97"/>
      <c r="I123" s="48" t="n">
        <f aca="false">ROUND((1/30)/12*($I$118),2)</f>
        <v>20.39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customFormat="false" ht="25.5" hidden="false" customHeight="true" outlineLevel="0" collapsed="false">
      <c r="A124" s="65" t="s">
        <v>12</v>
      </c>
      <c r="B124" s="97" t="s">
        <v>132</v>
      </c>
      <c r="C124" s="97"/>
      <c r="D124" s="97"/>
      <c r="E124" s="97"/>
      <c r="F124" s="97"/>
      <c r="G124" s="97"/>
      <c r="H124" s="97"/>
      <c r="I124" s="48" t="n">
        <f aca="false">ROUND((5/30)/12*0.015*($I$118),2)</f>
        <v>1.53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customFormat="false" ht="27" hidden="false" customHeight="true" outlineLevel="0" collapsed="false">
      <c r="A125" s="65" t="s">
        <v>15</v>
      </c>
      <c r="B125" s="112" t="s">
        <v>133</v>
      </c>
      <c r="C125" s="112"/>
      <c r="D125" s="112"/>
      <c r="E125" s="112"/>
      <c r="F125" s="112"/>
      <c r="G125" s="112"/>
      <c r="H125" s="112"/>
      <c r="I125" s="48" t="n">
        <f aca="false">ROUND((($I$118/30)*0.69)/12,2)</f>
        <v>14.07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customFormat="false" ht="69" hidden="false" customHeight="true" outlineLevel="0" collapsed="false">
      <c r="A126" s="65" t="s">
        <v>57</v>
      </c>
      <c r="B126" s="97" t="s">
        <v>134</v>
      </c>
      <c r="C126" s="97"/>
      <c r="D126" s="97"/>
      <c r="E126" s="97"/>
      <c r="F126" s="97"/>
      <c r="G126" s="97"/>
      <c r="H126" s="97"/>
      <c r="I126" s="48" t="n">
        <f aca="false">ROUND(((((B118*0.121)+(H75)*(B118*0.121))*(4/12)))*0.02,2)+((H74*B118+H75*I59+I94-I81-I86+I112)*4/12)*0.02</f>
        <v>9.9757904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customFormat="false" ht="37.5" hidden="false" customHeight="true" outlineLevel="0" collapsed="false">
      <c r="A127" s="65" t="s">
        <v>60</v>
      </c>
      <c r="B127" s="5" t="s">
        <v>135</v>
      </c>
      <c r="C127" s="5"/>
      <c r="D127" s="5"/>
      <c r="E127" s="5"/>
      <c r="F127" s="5"/>
      <c r="G127" s="5"/>
      <c r="H127" s="5"/>
      <c r="I127" s="48" t="n">
        <f aca="false">ROUND(((3/30)/12)*($I$118),2)</f>
        <v>61.17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customFormat="false" ht="15.75" hidden="false" customHeight="true" outlineLevel="0" collapsed="false">
      <c r="A128" s="69" t="s">
        <v>72</v>
      </c>
      <c r="B128" s="69"/>
      <c r="C128" s="69"/>
      <c r="D128" s="69"/>
      <c r="E128" s="69"/>
      <c r="F128" s="69"/>
      <c r="G128" s="69"/>
      <c r="H128" s="69"/>
      <c r="I128" s="70" t="n">
        <f aca="false">SUM(I122:I127)</f>
        <v>629.4557904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customFormat="false" ht="7.5" hidden="false" customHeight="true" outlineLevel="0" collapsed="false">
      <c r="A129" s="103"/>
      <c r="B129" s="103"/>
      <c r="C129" s="103"/>
      <c r="D129" s="103"/>
      <c r="E129" s="103"/>
      <c r="F129" s="103"/>
      <c r="G129" s="103"/>
      <c r="H129" s="103"/>
      <c r="I129" s="10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customFormat="false" ht="15.75" hidden="false" customHeight="true" outlineLevel="0" collapsed="false">
      <c r="A130" s="86" t="s">
        <v>136</v>
      </c>
      <c r="B130" s="86"/>
      <c r="C130" s="86"/>
      <c r="D130" s="86"/>
      <c r="E130" s="86"/>
      <c r="F130" s="86"/>
      <c r="G130" s="86"/>
      <c r="H130" s="86"/>
      <c r="I130" s="8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customFormat="false" ht="15.75" hidden="false" customHeight="true" outlineLevel="0" collapsed="false">
      <c r="A131" s="87" t="s">
        <v>137</v>
      </c>
      <c r="B131" s="87" t="s">
        <v>138</v>
      </c>
      <c r="C131" s="87"/>
      <c r="D131" s="87"/>
      <c r="E131" s="87"/>
      <c r="F131" s="87"/>
      <c r="G131" s="87"/>
      <c r="H131" s="87"/>
      <c r="I131" s="113" t="s">
        <v>69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customFormat="false" ht="15.75" hidden="false" customHeight="true" outlineLevel="0" collapsed="false">
      <c r="A132" s="65" t="s">
        <v>7</v>
      </c>
      <c r="B132" s="101" t="s">
        <v>139</v>
      </c>
      <c r="C132" s="101"/>
      <c r="D132" s="101"/>
      <c r="E132" s="101"/>
      <c r="F132" s="101"/>
      <c r="G132" s="101"/>
      <c r="H132" s="101"/>
      <c r="I132" s="48" t="n"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customFormat="false" ht="15.75" hidden="false" customHeight="true" outlineLevel="0" collapsed="false">
      <c r="A133" s="114" t="s">
        <v>72</v>
      </c>
      <c r="B133" s="114"/>
      <c r="C133" s="114"/>
      <c r="D133" s="114"/>
      <c r="E133" s="114"/>
      <c r="F133" s="114"/>
      <c r="G133" s="114"/>
      <c r="H133" s="114"/>
      <c r="I133" s="48" t="n"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customFormat="false" ht="9" hidden="false" customHeight="true" outlineLevel="0" collapsed="false">
      <c r="A134" s="103"/>
      <c r="B134" s="103"/>
      <c r="C134" s="103"/>
      <c r="D134" s="103"/>
      <c r="E134" s="103"/>
      <c r="F134" s="103"/>
      <c r="G134" s="103"/>
      <c r="H134" s="103"/>
      <c r="I134" s="10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customFormat="false" ht="18.75" hidden="false" customHeight="true" outlineLevel="0" collapsed="false">
      <c r="A135" s="62" t="s">
        <v>140</v>
      </c>
      <c r="B135" s="62"/>
      <c r="C135" s="62"/>
      <c r="D135" s="62"/>
      <c r="E135" s="62"/>
      <c r="F135" s="62"/>
      <c r="G135" s="62"/>
      <c r="H135" s="62"/>
      <c r="I135" s="6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customFormat="false" ht="21.75" hidden="false" customHeight="true" outlineLevel="0" collapsed="false">
      <c r="A136" s="44" t="n">
        <v>4</v>
      </c>
      <c r="B136" s="87" t="s">
        <v>141</v>
      </c>
      <c r="C136" s="87"/>
      <c r="D136" s="87"/>
      <c r="E136" s="87"/>
      <c r="F136" s="87"/>
      <c r="G136" s="87"/>
      <c r="H136" s="87"/>
      <c r="I136" s="113" t="s">
        <v>69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customFormat="false" ht="17.25" hidden="false" customHeight="true" outlineLevel="0" collapsed="false">
      <c r="A137" s="8" t="s">
        <v>128</v>
      </c>
      <c r="B137" s="101" t="s">
        <v>129</v>
      </c>
      <c r="C137" s="101"/>
      <c r="D137" s="101"/>
      <c r="E137" s="101"/>
      <c r="F137" s="101"/>
      <c r="G137" s="101"/>
      <c r="H137" s="101"/>
      <c r="I137" s="48" t="n">
        <f aca="false">I128</f>
        <v>629.4557904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customFormat="false" ht="16.5" hidden="false" customHeight="true" outlineLevel="0" collapsed="false">
      <c r="A138" s="8" t="s">
        <v>142</v>
      </c>
      <c r="B138" s="101" t="s">
        <v>138</v>
      </c>
      <c r="C138" s="101"/>
      <c r="D138" s="101"/>
      <c r="E138" s="101"/>
      <c r="F138" s="101"/>
      <c r="G138" s="101"/>
      <c r="H138" s="101"/>
      <c r="I138" s="48" t="n">
        <f aca="false">I133</f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customFormat="false" ht="14.25" hidden="false" customHeight="true" outlineLevel="0" collapsed="false">
      <c r="A139" s="98" t="s">
        <v>72</v>
      </c>
      <c r="B139" s="98"/>
      <c r="C139" s="98"/>
      <c r="D139" s="98"/>
      <c r="E139" s="98"/>
      <c r="F139" s="98"/>
      <c r="G139" s="98"/>
      <c r="H139" s="98"/>
      <c r="I139" s="70" t="n">
        <f aca="false">SUM(I137+I138)</f>
        <v>629.4557904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customFormat="false" ht="6.75" hidden="false" customHeight="true" outlineLevel="0" collapsed="false">
      <c r="A140" s="103"/>
      <c r="B140" s="103"/>
      <c r="C140" s="103"/>
      <c r="D140" s="103"/>
      <c r="E140" s="103"/>
      <c r="F140" s="103"/>
      <c r="G140" s="103"/>
      <c r="H140" s="103"/>
      <c r="I140" s="10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customFormat="false" ht="27" hidden="false" customHeight="true" outlineLevel="0" collapsed="false">
      <c r="A141" s="97" t="s">
        <v>143</v>
      </c>
      <c r="B141" s="97"/>
      <c r="C141" s="97"/>
      <c r="D141" s="97"/>
      <c r="E141" s="97"/>
      <c r="F141" s="97"/>
      <c r="G141" s="97"/>
      <c r="H141" s="97"/>
      <c r="I141" s="9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customFormat="false" ht="15.75" hidden="false" customHeight="true" outlineLevel="0" collapsed="false">
      <c r="A142" s="87" t="n">
        <v>3</v>
      </c>
      <c r="B142" s="44" t="s">
        <v>144</v>
      </c>
      <c r="C142" s="44"/>
      <c r="D142" s="44"/>
      <c r="E142" s="44"/>
      <c r="F142" s="44"/>
      <c r="G142" s="44"/>
      <c r="H142" s="44"/>
      <c r="I142" s="87" t="s">
        <v>69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customFormat="false" ht="27.75" hidden="false" customHeight="true" outlineLevel="0" collapsed="false">
      <c r="A143" s="65" t="s">
        <v>7</v>
      </c>
      <c r="B143" s="5" t="s">
        <v>145</v>
      </c>
      <c r="C143" s="5"/>
      <c r="D143" s="5"/>
      <c r="E143" s="5"/>
      <c r="F143" s="5"/>
      <c r="G143" s="5"/>
      <c r="H143" s="5"/>
      <c r="I143" s="48" t="n">
        <v>434.2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customFormat="false" ht="18.75" hidden="false" customHeight="true" outlineLevel="0" collapsed="false">
      <c r="A144" s="65" t="s">
        <v>9</v>
      </c>
      <c r="B144" s="5" t="s">
        <v>146</v>
      </c>
      <c r="C144" s="5"/>
      <c r="D144" s="5"/>
      <c r="E144" s="5"/>
      <c r="F144" s="5"/>
      <c r="G144" s="5"/>
      <c r="H144" s="5"/>
      <c r="I144" s="94" t="n">
        <v>196.08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customFormat="false" ht="15" hidden="false" customHeight="true" outlineLevel="0" collapsed="false">
      <c r="A145" s="65" t="s">
        <v>12</v>
      </c>
      <c r="B145" s="5" t="s">
        <v>107</v>
      </c>
      <c r="C145" s="5"/>
      <c r="D145" s="5"/>
      <c r="E145" s="5"/>
      <c r="F145" s="5"/>
      <c r="G145" s="5"/>
      <c r="H145" s="5"/>
      <c r="I145" s="94" t="s">
        <v>54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customFormat="false" ht="15.75" hidden="false" customHeight="true" outlineLevel="0" collapsed="false">
      <c r="A146" s="69" t="s">
        <v>147</v>
      </c>
      <c r="B146" s="69"/>
      <c r="C146" s="69"/>
      <c r="D146" s="69"/>
      <c r="E146" s="69"/>
      <c r="F146" s="69"/>
      <c r="G146" s="69"/>
      <c r="H146" s="69"/>
      <c r="I146" s="99" t="n">
        <f aca="false">ROUND(SUM(I143:I145),2)</f>
        <v>630.28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customFormat="false" ht="6.75" hidden="false" customHeight="true" outlineLevel="0" collapsed="false">
      <c r="A147" s="115"/>
      <c r="B147" s="115"/>
      <c r="C147" s="115"/>
      <c r="D147" s="115"/>
      <c r="E147" s="115"/>
      <c r="F147" s="115"/>
      <c r="G147" s="115"/>
      <c r="H147" s="115"/>
      <c r="I147" s="11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customFormat="false" ht="12.75" hidden="false" customHeight="true" outlineLevel="0" collapsed="false">
      <c r="A148" s="116" t="s">
        <v>148</v>
      </c>
      <c r="B148" s="116"/>
      <c r="C148" s="116"/>
      <c r="D148" s="116"/>
      <c r="E148" s="116"/>
      <c r="F148" s="116"/>
      <c r="G148" s="116"/>
      <c r="H148" s="116"/>
      <c r="I148" s="1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customFormat="false" ht="6.75" hidden="false" customHeight="true" outlineLevel="0" collapsed="false">
      <c r="A149" s="117"/>
      <c r="B149" s="118"/>
      <c r="C149" s="118"/>
      <c r="D149" s="118"/>
      <c r="E149" s="118"/>
      <c r="F149" s="118"/>
      <c r="G149" s="118"/>
      <c r="H149" s="118"/>
      <c r="I149" s="11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customFormat="false" ht="21" hidden="false" customHeight="true" outlineLevel="0" collapsed="false">
      <c r="A150" s="62" t="s">
        <v>149</v>
      </c>
      <c r="B150" s="62"/>
      <c r="C150" s="62"/>
      <c r="D150" s="62"/>
      <c r="E150" s="62"/>
      <c r="F150" s="62"/>
      <c r="G150" s="62"/>
      <c r="H150" s="62"/>
      <c r="I150" s="6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customFormat="false" ht="27.75" hidden="false" customHeight="true" outlineLevel="0" collapsed="false">
      <c r="A151" s="87" t="n">
        <v>6</v>
      </c>
      <c r="B151" s="87" t="s">
        <v>150</v>
      </c>
      <c r="C151" s="87"/>
      <c r="D151" s="87"/>
      <c r="E151" s="87"/>
      <c r="F151" s="87"/>
      <c r="G151" s="87"/>
      <c r="H151" s="14" t="s">
        <v>50</v>
      </c>
      <c r="I151" s="120" t="s">
        <v>78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customFormat="false" ht="50.25" hidden="false" customHeight="true" outlineLevel="0" collapsed="false">
      <c r="A152" s="35" t="s">
        <v>151</v>
      </c>
      <c r="B152" s="35"/>
      <c r="C152" s="35"/>
      <c r="D152" s="35"/>
      <c r="E152" s="35"/>
      <c r="F152" s="35"/>
      <c r="G152" s="35"/>
      <c r="H152" s="121" t="s">
        <v>23</v>
      </c>
      <c r="I152" s="122" t="n">
        <f aca="false">SUM(I52+I103+I112+I139+I146)</f>
        <v>9196.12579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customFormat="false" ht="15" hidden="false" customHeight="true" outlineLevel="0" collapsed="false">
      <c r="A153" s="65" t="s">
        <v>7</v>
      </c>
      <c r="B153" s="86" t="s">
        <v>152</v>
      </c>
      <c r="C153" s="86"/>
      <c r="D153" s="86"/>
      <c r="E153" s="86"/>
      <c r="F153" s="86"/>
      <c r="G153" s="86"/>
      <c r="H153" s="76" t="n">
        <v>0.06</v>
      </c>
      <c r="I153" s="48" t="n">
        <f aca="false">ROUND(H153*I152,2)</f>
        <v>551.77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customFormat="false" ht="48.75" hidden="false" customHeight="true" outlineLevel="0" collapsed="false">
      <c r="A154" s="35" t="s">
        <v>153</v>
      </c>
      <c r="B154" s="35"/>
      <c r="C154" s="35"/>
      <c r="D154" s="35"/>
      <c r="E154" s="35"/>
      <c r="F154" s="35"/>
      <c r="G154" s="35"/>
      <c r="H154" s="123" t="s">
        <v>23</v>
      </c>
      <c r="I154" s="122" t="n">
        <f aca="false">SUM(I52+I103+I112+I139+I146+I153)</f>
        <v>9747.89579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customFormat="false" ht="15" hidden="false" customHeight="true" outlineLevel="0" collapsed="false">
      <c r="A155" s="65" t="s">
        <v>9</v>
      </c>
      <c r="B155" s="86" t="s">
        <v>154</v>
      </c>
      <c r="C155" s="86"/>
      <c r="D155" s="86"/>
      <c r="E155" s="86"/>
      <c r="F155" s="86"/>
      <c r="G155" s="86"/>
      <c r="H155" s="76" t="n">
        <v>0.0679</v>
      </c>
      <c r="I155" s="48" t="n">
        <f aca="false">ROUND(H155*I154,2)</f>
        <v>661.88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customFormat="false" ht="52.5" hidden="false" customHeight="true" outlineLevel="0" collapsed="false">
      <c r="A156" s="35" t="s">
        <v>155</v>
      </c>
      <c r="B156" s="35"/>
      <c r="C156" s="35"/>
      <c r="D156" s="35"/>
      <c r="E156" s="35"/>
      <c r="F156" s="35"/>
      <c r="G156" s="35"/>
      <c r="H156" s="123" t="s">
        <v>23</v>
      </c>
      <c r="I156" s="122" t="n">
        <f aca="false">SUM(I52+I103+I112+I139+I146+I153+I155)</f>
        <v>10409.77579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customFormat="false" ht="22.5" hidden="false" customHeight="true" outlineLevel="0" collapsed="false">
      <c r="A157" s="124" t="s">
        <v>12</v>
      </c>
      <c r="B157" s="62" t="s">
        <v>156</v>
      </c>
      <c r="C157" s="62"/>
      <c r="D157" s="62"/>
      <c r="E157" s="62"/>
      <c r="F157" s="62"/>
      <c r="G157" s="62"/>
      <c r="H157" s="49" t="s">
        <v>23</v>
      </c>
      <c r="I157" s="50" t="s">
        <v>23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customFormat="false" ht="18" hidden="false" customHeight="true" outlineLevel="0" collapsed="false">
      <c r="A158" s="65"/>
      <c r="B158" s="101" t="s">
        <v>157</v>
      </c>
      <c r="C158" s="101"/>
      <c r="D158" s="101"/>
      <c r="E158" s="101"/>
      <c r="F158" s="101"/>
      <c r="G158" s="101"/>
      <c r="H158" s="49" t="s">
        <v>23</v>
      </c>
      <c r="I158" s="50" t="s">
        <v>23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customFormat="false" ht="25.5" hidden="false" customHeight="true" outlineLevel="0" collapsed="false">
      <c r="A159" s="65"/>
      <c r="B159" s="61" t="s">
        <v>158</v>
      </c>
      <c r="C159" s="61"/>
      <c r="D159" s="61"/>
      <c r="E159" s="61"/>
      <c r="F159" s="61"/>
      <c r="G159" s="61"/>
      <c r="H159" s="125" t="n">
        <v>0.03</v>
      </c>
      <c r="I159" s="126" t="n">
        <f aca="false">ROUND(($I$156/(1-$H$168))*H159,2)</f>
        <v>338.16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customFormat="false" ht="27" hidden="false" customHeight="true" outlineLevel="0" collapsed="false">
      <c r="A160" s="65"/>
      <c r="B160" s="61" t="s">
        <v>159</v>
      </c>
      <c r="C160" s="61"/>
      <c r="D160" s="61"/>
      <c r="E160" s="61"/>
      <c r="F160" s="61"/>
      <c r="G160" s="61"/>
      <c r="H160" s="125" t="n">
        <v>0.0065</v>
      </c>
      <c r="I160" s="126" t="n">
        <f aca="false">ROUND(($I$156/(1-$H$168))*H160,2)</f>
        <v>73.27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customFormat="false" ht="23.25" hidden="false" customHeight="true" outlineLevel="0" collapsed="false">
      <c r="A161" s="65"/>
      <c r="B161" s="5" t="s">
        <v>160</v>
      </c>
      <c r="C161" s="5"/>
      <c r="D161" s="5"/>
      <c r="E161" s="5"/>
      <c r="F161" s="5"/>
      <c r="G161" s="5"/>
      <c r="H161" s="127" t="s">
        <v>23</v>
      </c>
      <c r="I161" s="50" t="s">
        <v>23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customFormat="false" ht="24" hidden="false" customHeight="true" outlineLevel="0" collapsed="false">
      <c r="A162" s="65"/>
      <c r="B162" s="5" t="s">
        <v>161</v>
      </c>
      <c r="C162" s="5"/>
      <c r="D162" s="5"/>
      <c r="E162" s="5"/>
      <c r="F162" s="5"/>
      <c r="G162" s="5"/>
      <c r="H162" s="127" t="s">
        <v>23</v>
      </c>
      <c r="I162" s="50" t="s">
        <v>23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customFormat="false" ht="15" hidden="false" customHeight="true" outlineLevel="0" collapsed="false">
      <c r="A163" s="65"/>
      <c r="B163" s="88" t="s">
        <v>162</v>
      </c>
      <c r="C163" s="88"/>
      <c r="D163" s="88"/>
      <c r="E163" s="88"/>
      <c r="F163" s="88"/>
      <c r="G163" s="88"/>
      <c r="H163" s="128" t="s">
        <v>23</v>
      </c>
      <c r="I163" s="129" t="s">
        <v>23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customFormat="false" ht="15.75" hidden="false" customHeight="true" outlineLevel="0" collapsed="false">
      <c r="A164" s="65"/>
      <c r="B164" s="88" t="s">
        <v>163</v>
      </c>
      <c r="C164" s="88"/>
      <c r="D164" s="88"/>
      <c r="E164" s="88"/>
      <c r="F164" s="88"/>
      <c r="G164" s="88"/>
      <c r="H164" s="128" t="s">
        <v>23</v>
      </c>
      <c r="I164" s="129" t="s">
        <v>23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customFormat="false" ht="24.75" hidden="false" customHeight="true" outlineLevel="0" collapsed="false">
      <c r="A165" s="65"/>
      <c r="B165" s="5" t="s">
        <v>164</v>
      </c>
      <c r="C165" s="5"/>
      <c r="D165" s="5"/>
      <c r="E165" s="5"/>
      <c r="F165" s="5"/>
      <c r="G165" s="5"/>
      <c r="H165" s="125" t="n">
        <v>0.04</v>
      </c>
      <c r="I165" s="126" t="n">
        <f aca="false">ROUND(($I$156/(1-$H$168))*H165,2)</f>
        <v>450.88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customFormat="false" ht="15.75" hidden="false" customHeight="true" outlineLevel="0" collapsed="false">
      <c r="A166" s="69" t="s">
        <v>119</v>
      </c>
      <c r="B166" s="69"/>
      <c r="C166" s="69"/>
      <c r="D166" s="69"/>
      <c r="E166" s="69"/>
      <c r="F166" s="69"/>
      <c r="G166" s="69"/>
      <c r="H166" s="69"/>
      <c r="I166" s="70" t="n">
        <f aca="false">SUM(I153+I155+I159+I160+I165)</f>
        <v>2075.96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customFormat="false" ht="6.75" hidden="false" customHeight="true" outlineLevel="0" collapsed="false">
      <c r="A167" s="103"/>
      <c r="B167" s="103"/>
      <c r="C167" s="103"/>
      <c r="D167" s="103"/>
      <c r="E167" s="103"/>
      <c r="F167" s="103"/>
      <c r="G167" s="103"/>
      <c r="H167" s="103"/>
      <c r="I167" s="10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customFormat="false" ht="18.75" hidden="false" customHeight="true" outlineLevel="0" collapsed="false">
      <c r="A168" s="130" t="s">
        <v>165</v>
      </c>
      <c r="B168" s="130"/>
      <c r="C168" s="130"/>
      <c r="D168" s="130"/>
      <c r="E168" s="130"/>
      <c r="F168" s="130"/>
      <c r="G168" s="130"/>
      <c r="H168" s="131" t="n">
        <f aca="false">SUM(H159:H165)</f>
        <v>0.0765</v>
      </c>
      <c r="I168" s="122" t="n">
        <f aca="false">SUM(I159:I165)</f>
        <v>862.31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customFormat="false" ht="13.5" hidden="false" customHeight="true" outlineLevel="0" collapsed="false">
      <c r="A169" s="132" t="s">
        <v>166</v>
      </c>
      <c r="B169" s="132"/>
      <c r="C169" s="133" t="s">
        <v>167</v>
      </c>
      <c r="D169" s="133"/>
      <c r="E169" s="133"/>
      <c r="F169" s="133"/>
      <c r="G169" s="133"/>
      <c r="H169" s="133"/>
      <c r="I169" s="1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customFormat="false" ht="6.75" hidden="false" customHeight="true" outlineLevel="0" collapsed="false">
      <c r="A170" s="132"/>
      <c r="B170" s="132"/>
      <c r="C170" s="134" t="s">
        <v>168</v>
      </c>
      <c r="D170" s="134"/>
      <c r="E170" s="134"/>
      <c r="F170" s="134"/>
      <c r="G170" s="134"/>
      <c r="H170" s="134"/>
      <c r="I170" s="13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customFormat="false" ht="24" hidden="false" customHeight="true" outlineLevel="0" collapsed="false">
      <c r="A171" s="132"/>
      <c r="B171" s="132"/>
      <c r="C171" s="135" t="s">
        <v>169</v>
      </c>
      <c r="D171" s="135"/>
      <c r="E171" s="135"/>
      <c r="F171" s="135"/>
      <c r="G171" s="135"/>
      <c r="H171" s="135"/>
      <c r="I171" s="13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customFormat="false" ht="5.25" hidden="false" customHeight="true" outlineLevel="0" collapsed="false">
      <c r="A172" s="136"/>
      <c r="B172" s="136"/>
      <c r="C172" s="136"/>
      <c r="D172" s="136"/>
      <c r="E172" s="136"/>
      <c r="F172" s="136"/>
      <c r="G172" s="136"/>
      <c r="H172" s="136"/>
      <c r="I172" s="13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customFormat="false" ht="27.75" hidden="false" customHeight="true" outlineLevel="0" collapsed="false">
      <c r="A173" s="21" t="s">
        <v>170</v>
      </c>
      <c r="B173" s="21"/>
      <c r="C173" s="21"/>
      <c r="D173" s="21"/>
      <c r="E173" s="21"/>
      <c r="F173" s="21"/>
      <c r="G173" s="21"/>
      <c r="H173" s="21"/>
      <c r="I173" s="2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customFormat="false" ht="8.25" hidden="false" customHeight="true" outlineLevel="0" collapsed="false">
      <c r="A174" s="103"/>
      <c r="B174" s="103"/>
      <c r="C174" s="103"/>
      <c r="D174" s="103"/>
      <c r="E174" s="103"/>
      <c r="F174" s="103"/>
      <c r="G174" s="103"/>
      <c r="H174" s="103"/>
      <c r="I174" s="10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customFormat="false" ht="20.25" hidden="false" customHeight="true" outlineLevel="0" collapsed="false">
      <c r="A175" s="73" t="s">
        <v>171</v>
      </c>
      <c r="B175" s="73"/>
      <c r="C175" s="73"/>
      <c r="D175" s="73"/>
      <c r="E175" s="73"/>
      <c r="F175" s="73"/>
      <c r="G175" s="73"/>
      <c r="H175" s="73"/>
      <c r="I175" s="73"/>
      <c r="J175" s="1"/>
      <c r="K175" s="13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customFormat="false" ht="15" hidden="false" customHeight="true" outlineLevel="0" collapsed="false">
      <c r="A176" s="7" t="s">
        <v>172</v>
      </c>
      <c r="B176" s="7"/>
      <c r="C176" s="7"/>
      <c r="D176" s="7"/>
      <c r="E176" s="7"/>
      <c r="F176" s="7"/>
      <c r="G176" s="7"/>
      <c r="H176" s="7"/>
      <c r="I176" s="14" t="s">
        <v>69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customFormat="false" ht="15" hidden="false" customHeight="true" outlineLevel="0" collapsed="false">
      <c r="A177" s="138" t="s">
        <v>7</v>
      </c>
      <c r="B177" s="139" t="s">
        <v>173</v>
      </c>
      <c r="C177" s="139"/>
      <c r="D177" s="139"/>
      <c r="E177" s="139"/>
      <c r="F177" s="139"/>
      <c r="G177" s="139"/>
      <c r="H177" s="139"/>
      <c r="I177" s="94" t="n">
        <f aca="false">I52</f>
        <v>4409.52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customFormat="false" ht="15" hidden="false" customHeight="true" outlineLevel="0" collapsed="false">
      <c r="A178" s="138" t="s">
        <v>9</v>
      </c>
      <c r="B178" s="139" t="s">
        <v>174</v>
      </c>
      <c r="C178" s="139"/>
      <c r="D178" s="139"/>
      <c r="E178" s="139"/>
      <c r="F178" s="139"/>
      <c r="G178" s="139"/>
      <c r="H178" s="139"/>
      <c r="I178" s="94" t="n">
        <f aca="false">I103</f>
        <v>3223.86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customFormat="false" ht="15" hidden="false" customHeight="true" outlineLevel="0" collapsed="false">
      <c r="A179" s="138" t="s">
        <v>12</v>
      </c>
      <c r="B179" s="139" t="s">
        <v>175</v>
      </c>
      <c r="C179" s="139"/>
      <c r="D179" s="139"/>
      <c r="E179" s="139"/>
      <c r="F179" s="139"/>
      <c r="G179" s="139"/>
      <c r="H179" s="139"/>
      <c r="I179" s="94" t="n">
        <f aca="false">I112</f>
        <v>303.01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customFormat="false" ht="15" hidden="false" customHeight="true" outlineLevel="0" collapsed="false">
      <c r="A180" s="138" t="s">
        <v>15</v>
      </c>
      <c r="B180" s="139" t="s">
        <v>176</v>
      </c>
      <c r="C180" s="139"/>
      <c r="D180" s="139"/>
      <c r="E180" s="139"/>
      <c r="F180" s="139"/>
      <c r="G180" s="139"/>
      <c r="H180" s="139"/>
      <c r="I180" s="94" t="n">
        <f aca="false">I139</f>
        <v>629.4557904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customFormat="false" ht="15" hidden="false" customHeight="true" outlineLevel="0" collapsed="false">
      <c r="A181" s="138" t="s">
        <v>57</v>
      </c>
      <c r="B181" s="139" t="s">
        <v>177</v>
      </c>
      <c r="C181" s="139"/>
      <c r="D181" s="139"/>
      <c r="E181" s="139"/>
      <c r="F181" s="139"/>
      <c r="G181" s="139"/>
      <c r="H181" s="139"/>
      <c r="I181" s="94" t="n">
        <f aca="false">I146</f>
        <v>630.28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customFormat="false" ht="15" hidden="false" customHeight="true" outlineLevel="0" collapsed="false">
      <c r="A182" s="140" t="s">
        <v>178</v>
      </c>
      <c r="B182" s="140"/>
      <c r="C182" s="140"/>
      <c r="D182" s="140"/>
      <c r="E182" s="140"/>
      <c r="F182" s="140"/>
      <c r="G182" s="140"/>
      <c r="H182" s="140"/>
      <c r="I182" s="94" t="n">
        <f aca="false">ROUND(SUM(I177:I181),2)</f>
        <v>9196.13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customFormat="false" ht="15.75" hidden="false" customHeight="true" outlineLevel="0" collapsed="false">
      <c r="A183" s="141" t="s">
        <v>60</v>
      </c>
      <c r="B183" s="139" t="s">
        <v>149</v>
      </c>
      <c r="C183" s="139"/>
      <c r="D183" s="139"/>
      <c r="E183" s="139"/>
      <c r="F183" s="139"/>
      <c r="G183" s="139"/>
      <c r="H183" s="139"/>
      <c r="I183" s="99" t="n">
        <f aca="false">I166</f>
        <v>2075.96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customFormat="false" ht="16.5" hidden="false" customHeight="true" outlineLevel="0" collapsed="false">
      <c r="A184" s="140" t="s">
        <v>179</v>
      </c>
      <c r="B184" s="140"/>
      <c r="C184" s="140"/>
      <c r="D184" s="140"/>
      <c r="E184" s="140"/>
      <c r="F184" s="140"/>
      <c r="G184" s="140"/>
      <c r="H184" s="140"/>
      <c r="I184" s="94" t="n">
        <f aca="false">I182+I183</f>
        <v>11272.09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customFormat="false" ht="31.5" hidden="false" customHeight="true" outlineLevel="0" collapsed="false">
      <c r="A185" s="142" t="s">
        <v>180</v>
      </c>
      <c r="B185" s="142"/>
      <c r="C185" s="142"/>
      <c r="D185" s="142"/>
      <c r="E185" s="142"/>
      <c r="F185" s="142"/>
      <c r="G185" s="142"/>
      <c r="H185" s="142"/>
      <c r="I185" s="142"/>
      <c r="J185" s="22"/>
      <c r="K185" s="143"/>
      <c r="L185" s="22"/>
      <c r="M185" s="14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customFormat="false" ht="8.25" hidden="false" customHeight="true" outlineLevel="0" collapsed="false">
      <c r="A186" s="145"/>
      <c r="B186" s="145"/>
      <c r="C186" s="145"/>
      <c r="D186" s="145"/>
      <c r="E186" s="145"/>
      <c r="F186" s="145"/>
      <c r="G186" s="145"/>
      <c r="H186" s="145"/>
      <c r="I186" s="14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customFormat="false" ht="33" hidden="false" customHeight="true" outlineLevel="0" collapsed="false">
      <c r="A187" s="146" t="s">
        <v>181</v>
      </c>
      <c r="B187" s="146"/>
      <c r="C187" s="146"/>
      <c r="D187" s="146"/>
      <c r="E187" s="146"/>
      <c r="F187" s="146"/>
      <c r="G187" s="146"/>
      <c r="H187" s="146"/>
      <c r="I187" s="146"/>
    </row>
    <row r="188" customFormat="false" ht="42.75" hidden="false" customHeight="true" outlineLevel="0" collapsed="false">
      <c r="A188" s="14" t="s">
        <v>182</v>
      </c>
      <c r="B188" s="14"/>
      <c r="C188" s="14"/>
      <c r="D188" s="14"/>
      <c r="E188" s="14" t="s">
        <v>183</v>
      </c>
      <c r="F188" s="14"/>
      <c r="G188" s="14" t="s">
        <v>184</v>
      </c>
      <c r="H188" s="14" t="s">
        <v>185</v>
      </c>
      <c r="I188" s="14"/>
    </row>
    <row r="189" customFormat="false" ht="33" hidden="false" customHeight="true" outlineLevel="0" collapsed="false">
      <c r="A189" s="5" t="s">
        <v>186</v>
      </c>
      <c r="B189" s="5"/>
      <c r="C189" s="5"/>
      <c r="D189" s="5"/>
      <c r="E189" s="147" t="n">
        <v>0</v>
      </c>
      <c r="F189" s="147"/>
      <c r="G189" s="148" t="n">
        <f aca="false">D189*E189</f>
        <v>0</v>
      </c>
      <c r="H189" s="147" t="n">
        <f aca="false">E189*G189</f>
        <v>0</v>
      </c>
      <c r="I189" s="147"/>
    </row>
    <row r="190" customFormat="false" ht="38.25" hidden="false" customHeight="true" outlineLevel="0" collapsed="false">
      <c r="A190" s="5" t="s">
        <v>187</v>
      </c>
      <c r="B190" s="5"/>
      <c r="C190" s="5"/>
      <c r="D190" s="5"/>
      <c r="E190" s="147" t="n">
        <v>0</v>
      </c>
      <c r="F190" s="147"/>
      <c r="G190" s="148" t="n">
        <f aca="false">D190*E190</f>
        <v>0</v>
      </c>
      <c r="H190" s="147" t="n">
        <f aca="false">E190*G190</f>
        <v>0</v>
      </c>
      <c r="I190" s="147"/>
    </row>
    <row r="191" customFormat="false" ht="39.75" hidden="false" customHeight="true" outlineLevel="0" collapsed="false">
      <c r="A191" s="16" t="s">
        <v>188</v>
      </c>
      <c r="B191" s="16"/>
      <c r="C191" s="16"/>
      <c r="D191" s="16"/>
      <c r="E191" s="149" t="n">
        <f aca="false">I184</f>
        <v>11272.09</v>
      </c>
      <c r="F191" s="149"/>
      <c r="G191" s="150" t="n">
        <f aca="false">H17</f>
        <v>2</v>
      </c>
      <c r="H191" s="151" t="n">
        <f aca="false">E191*G191</f>
        <v>22544.18</v>
      </c>
      <c r="I191" s="151"/>
    </row>
    <row r="192" customFormat="false" ht="39" hidden="false" customHeight="true" outlineLevel="0" collapsed="false">
      <c r="A192" s="5" t="s">
        <v>189</v>
      </c>
      <c r="B192" s="5"/>
      <c r="C192" s="5"/>
      <c r="D192" s="5"/>
      <c r="E192" s="152" t="n">
        <v>0</v>
      </c>
      <c r="F192" s="152"/>
      <c r="G192" s="148" t="n">
        <f aca="false">D192*F192</f>
        <v>0</v>
      </c>
      <c r="H192" s="147" t="n">
        <f aca="false">E192*G192</f>
        <v>0</v>
      </c>
      <c r="I192" s="147"/>
    </row>
    <row r="193" customFormat="false" ht="40.5" hidden="false" customHeight="true" outlineLevel="0" collapsed="false">
      <c r="A193" s="5" t="s">
        <v>190</v>
      </c>
      <c r="B193" s="5"/>
      <c r="C193" s="5"/>
      <c r="D193" s="5"/>
      <c r="E193" s="152" t="n">
        <v>0</v>
      </c>
      <c r="F193" s="152"/>
      <c r="G193" s="148" t="n">
        <f aca="false">D193*F193</f>
        <v>0</v>
      </c>
      <c r="H193" s="147" t="n">
        <f aca="false">E193*G193</f>
        <v>0</v>
      </c>
      <c r="I193" s="147"/>
    </row>
    <row r="194" customFormat="false" ht="35.25" hidden="false" customHeight="true" outlineLevel="0" collapsed="false">
      <c r="A194" s="153" t="s">
        <v>191</v>
      </c>
      <c r="B194" s="153"/>
      <c r="C194" s="153"/>
      <c r="D194" s="153"/>
      <c r="E194" s="147" t="n">
        <v>0</v>
      </c>
      <c r="F194" s="147"/>
      <c r="G194" s="148" t="n">
        <f aca="false">D194*F194</f>
        <v>0</v>
      </c>
      <c r="H194" s="147" t="n">
        <f aca="false">E194*G194</f>
        <v>0</v>
      </c>
      <c r="I194" s="147"/>
    </row>
    <row r="195" customFormat="false" ht="17.25" hidden="false" customHeight="true" outlineLevel="0" collapsed="false">
      <c r="A195" s="154" t="s">
        <v>192</v>
      </c>
      <c r="B195" s="154"/>
      <c r="C195" s="154"/>
      <c r="D195" s="154"/>
      <c r="E195" s="154"/>
      <c r="F195" s="154"/>
      <c r="G195" s="155" t="n">
        <f aca="false">SUM(G189:G194)</f>
        <v>2</v>
      </c>
      <c r="H195" s="156" t="n">
        <f aca="false">SUM(H189:I194)</f>
        <v>22544.18</v>
      </c>
      <c r="I195" s="156"/>
    </row>
    <row r="196" customFormat="false" ht="6.75" hidden="false" customHeight="true" outlineLevel="0" collapsed="false">
      <c r="A196" s="157"/>
      <c r="B196" s="157"/>
      <c r="C196" s="157"/>
      <c r="D196" s="157"/>
      <c r="E196" s="157"/>
      <c r="F196" s="157"/>
      <c r="G196" s="157"/>
      <c r="H196" s="157"/>
      <c r="I196" s="157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customFormat="false" ht="18.75" hidden="false" customHeight="true" outlineLevel="0" collapsed="false">
      <c r="A197" s="158" t="s">
        <v>193</v>
      </c>
      <c r="B197" s="158"/>
      <c r="C197" s="158"/>
      <c r="D197" s="158"/>
      <c r="E197" s="158"/>
      <c r="F197" s="158"/>
      <c r="G197" s="158"/>
      <c r="H197" s="158"/>
      <c r="I197" s="15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customFormat="false" ht="8.25" hidden="false" customHeight="true" outlineLevel="0" collapsed="false">
      <c r="A198" s="159"/>
      <c r="B198" s="159"/>
      <c r="C198" s="159"/>
      <c r="D198" s="159"/>
      <c r="E198" s="159"/>
      <c r="F198" s="159"/>
      <c r="G198" s="159"/>
      <c r="H198" s="159"/>
      <c r="I198" s="15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customFormat="false" ht="19.5" hidden="false" customHeight="true" outlineLevel="0" collapsed="false">
      <c r="A199" s="160" t="s">
        <v>194</v>
      </c>
      <c r="B199" s="160"/>
      <c r="C199" s="160"/>
      <c r="D199" s="160"/>
      <c r="E199" s="160"/>
      <c r="F199" s="160"/>
      <c r="G199" s="161" t="n">
        <f aca="false">$H$195</f>
        <v>22544.18</v>
      </c>
      <c r="H199" s="161"/>
      <c r="I199" s="16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customFormat="false" ht="8.25" hidden="false" customHeight="true" outlineLevel="0" collapsed="false">
      <c r="A200" s="162"/>
      <c r="B200" s="162"/>
      <c r="C200" s="162"/>
      <c r="D200" s="162"/>
      <c r="E200" s="162"/>
      <c r="F200" s="162"/>
      <c r="G200" s="162"/>
      <c r="H200" s="162"/>
      <c r="I200" s="16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customFormat="false" ht="31.5" hidden="false" customHeight="true" outlineLevel="0" collapsed="false">
      <c r="A201" s="160" t="s">
        <v>195</v>
      </c>
      <c r="B201" s="160"/>
      <c r="C201" s="160"/>
      <c r="D201" s="160"/>
      <c r="E201" s="160"/>
      <c r="F201" s="160"/>
      <c r="G201" s="163" t="n">
        <f aca="false">$H$11</f>
        <v>12</v>
      </c>
      <c r="H201" s="163"/>
      <c r="I201" s="16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customFormat="false" ht="8.25" hidden="false" customHeight="true" outlineLevel="0" collapsed="false">
      <c r="A202" s="164"/>
      <c r="B202" s="164"/>
      <c r="C202" s="164"/>
      <c r="D202" s="164"/>
      <c r="E202" s="164"/>
      <c r="F202" s="164"/>
      <c r="G202" s="164"/>
      <c r="H202" s="164"/>
      <c r="I202" s="16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customFormat="false" ht="29.25" hidden="false" customHeight="true" outlineLevel="0" collapsed="false">
      <c r="A203" s="160" t="s">
        <v>196</v>
      </c>
      <c r="B203" s="160"/>
      <c r="C203" s="160"/>
      <c r="D203" s="160"/>
      <c r="E203" s="160"/>
      <c r="F203" s="160"/>
      <c r="G203" s="165" t="n">
        <f aca="false">ROUND(G199*G201,2)</f>
        <v>270530.16</v>
      </c>
      <c r="H203" s="165"/>
      <c r="I203" s="16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customFormat="false" ht="8.25" hidden="false" customHeight="true" outlineLevel="0" collapsed="false">
      <c r="A204" s="166"/>
      <c r="B204" s="166"/>
      <c r="C204" s="166"/>
      <c r="D204" s="166"/>
      <c r="E204" s="166"/>
      <c r="F204" s="166"/>
      <c r="G204" s="166"/>
      <c r="H204" s="166"/>
      <c r="I204" s="16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customFormat="false" ht="27" hidden="false" customHeight="true" outlineLevel="0" collapsed="false">
      <c r="A205" s="167" t="s">
        <v>197</v>
      </c>
      <c r="B205" s="167"/>
      <c r="C205" s="167"/>
      <c r="D205" s="167"/>
      <c r="E205" s="167"/>
      <c r="F205" s="167"/>
      <c r="G205" s="167"/>
      <c r="H205" s="167"/>
      <c r="I205" s="167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customFormat="false" ht="12" hidden="false" customHeight="true" outlineLevel="0" collapsed="false">
      <c r="A206" s="168" t="s">
        <v>198</v>
      </c>
      <c r="B206" s="168"/>
      <c r="C206" s="168"/>
      <c r="D206" s="8" t="s">
        <v>199</v>
      </c>
      <c r="E206" s="8"/>
      <c r="F206" s="8"/>
      <c r="G206" s="8"/>
      <c r="H206" s="8"/>
      <c r="I206" s="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customFormat="false" ht="12.75" hidden="false" customHeight="true" outlineLevel="0" collapsed="false">
      <c r="A207" s="168"/>
      <c r="B207" s="168"/>
      <c r="C207" s="168"/>
      <c r="D207" s="8"/>
      <c r="E207" s="8"/>
      <c r="F207" s="8"/>
      <c r="G207" s="8"/>
      <c r="H207" s="8"/>
      <c r="I207" s="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customFormat="false" ht="12.75" hidden="false" customHeight="true" outlineLevel="0" collapsed="false">
      <c r="A208" s="34" t="s">
        <v>200</v>
      </c>
      <c r="B208" s="34"/>
      <c r="C208" s="34"/>
      <c r="D208" s="34" t="n">
        <v>2</v>
      </c>
      <c r="E208" s="34"/>
      <c r="F208" s="34"/>
      <c r="G208" s="34"/>
      <c r="H208" s="34"/>
      <c r="I208" s="3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customFormat="false" ht="15" hidden="false" customHeight="true" outlineLevel="0" collapsed="false">
      <c r="A209" s="169"/>
      <c r="B209" s="169"/>
      <c r="C209" s="169"/>
      <c r="D209" s="34"/>
      <c r="E209" s="34"/>
      <c r="F209" s="34"/>
      <c r="G209" s="34"/>
      <c r="H209" s="34"/>
      <c r="I209" s="3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customFormat="false" ht="12.75" hidden="false" customHeight="true" outlineLevel="0" collapsed="false">
      <c r="A210" s="170"/>
      <c r="B210" s="170"/>
      <c r="C210" s="170"/>
      <c r="D210" s="34"/>
      <c r="E210" s="34"/>
      <c r="F210" s="34"/>
      <c r="G210" s="34"/>
      <c r="H210" s="34"/>
      <c r="I210" s="3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customFormat="false" ht="6" hidden="false" customHeight="true" outlineLevel="0" collapsed="false">
      <c r="A211" s="171"/>
      <c r="B211" s="171"/>
      <c r="C211" s="171"/>
      <c r="D211" s="171"/>
      <c r="E211" s="171"/>
      <c r="F211" s="171"/>
      <c r="G211" s="171"/>
      <c r="H211" s="171"/>
      <c r="I211" s="17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customFormat="false" ht="12.75" hidden="false" customHeight="true" outlineLevel="0" collapsed="false">
      <c r="A212" s="171"/>
      <c r="B212" s="171"/>
      <c r="C212" s="171"/>
      <c r="D212" s="171"/>
      <c r="E212" s="171"/>
      <c r="F212" s="171"/>
      <c r="G212" s="171"/>
      <c r="H212" s="171"/>
      <c r="I212" s="17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customFormat="false" ht="15" hidden="false" customHeight="true" outlineLevel="0" collapsed="false">
      <c r="A213" s="172" t="s">
        <v>201</v>
      </c>
      <c r="B213" s="172"/>
      <c r="C213" s="172"/>
      <c r="D213" s="172"/>
      <c r="E213" s="172"/>
      <c r="F213" s="172"/>
      <c r="G213" s="172"/>
      <c r="H213" s="172"/>
      <c r="I213" s="17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customFormat="false" ht="12.75" hidden="false" customHeight="true" outlineLevel="0" collapsed="false">
      <c r="A214" s="8" t="s">
        <v>202</v>
      </c>
      <c r="B214" s="8"/>
      <c r="C214" s="8"/>
      <c r="D214" s="8"/>
      <c r="E214" s="8"/>
      <c r="F214" s="8"/>
      <c r="G214" s="8"/>
      <c r="H214" s="8" t="s">
        <v>203</v>
      </c>
      <c r="I214" s="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customFormat="false" ht="12.75" hidden="false" customHeight="true" outlineLevel="0" collapsed="false">
      <c r="A215" s="173"/>
      <c r="B215" s="173"/>
      <c r="C215" s="173"/>
      <c r="D215" s="173"/>
      <c r="E215" s="173"/>
      <c r="F215" s="173"/>
      <c r="G215" s="173"/>
      <c r="H215" s="8"/>
      <c r="I215" s="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customFormat="false" ht="12.75" hidden="false" customHeight="true" outlineLevel="0" collapsed="false">
      <c r="A216" s="169"/>
      <c r="B216" s="169"/>
      <c r="C216" s="169"/>
      <c r="D216" s="169"/>
      <c r="E216" s="169"/>
      <c r="F216" s="169"/>
      <c r="G216" s="169"/>
      <c r="H216" s="8"/>
      <c r="I216" s="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customFormat="false" ht="12.75" hidden="false" customHeight="true" outlineLevel="0" collapsed="false">
      <c r="A217" s="170"/>
      <c r="B217" s="170"/>
      <c r="C217" s="170"/>
      <c r="D217" s="170"/>
      <c r="E217" s="170"/>
      <c r="F217" s="170"/>
      <c r="G217" s="170"/>
      <c r="H217" s="8"/>
      <c r="I217" s="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customFormat="false" ht="12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customFormat="false" ht="12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customFormat="false" ht="12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customFormat="false" ht="12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customFormat="false" ht="12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customFormat="false" ht="12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customFormat="false" ht="12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customFormat="false" ht="12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customFormat="false" ht="12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customFormat="false" ht="12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customFormat="false" ht="12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customFormat="false" ht="12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customFormat="false" ht="12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customFormat="false" ht="12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customFormat="false" ht="12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customFormat="false" ht="12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customFormat="false" ht="12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customFormat="false" ht="12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customFormat="false" ht="12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customFormat="false" ht="12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customFormat="false" ht="12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customFormat="false" ht="12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customFormat="false" ht="12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customFormat="false" ht="12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customFormat="false" ht="12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customFormat="false" ht="12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customFormat="false" ht="12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customFormat="false" ht="12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customFormat="false" ht="12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customFormat="false" ht="12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customFormat="false" ht="12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customFormat="false" ht="12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customFormat="false" ht="12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customFormat="false" ht="12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customFormat="false" ht="12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customFormat="false" ht="12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customFormat="false" ht="12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customFormat="false" ht="12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customFormat="false" ht="12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customFormat="false" ht="12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customFormat="false" ht="12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customFormat="false" ht="12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customFormat="false" ht="12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customFormat="false" ht="12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customFormat="false" ht="12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customFormat="false" ht="12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customFormat="false" ht="12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customFormat="false" ht="12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customFormat="false" ht="12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customFormat="false" ht="12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customFormat="false" ht="12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customFormat="false" ht="12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customFormat="false" ht="12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customFormat="false" ht="12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customFormat="false" ht="12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customFormat="false" ht="12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customFormat="false" ht="12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customFormat="false" ht="12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customFormat="false" ht="12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customFormat="false" ht="12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customFormat="false" ht="12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customFormat="false" ht="12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customFormat="false" ht="12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customFormat="false" ht="12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customFormat="false" ht="12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customFormat="false" ht="12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customFormat="false" ht="12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customFormat="false" ht="12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customFormat="false" ht="12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customFormat="false" ht="12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customFormat="false" ht="12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customFormat="false" ht="12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customFormat="false" ht="12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customFormat="false" ht="12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customFormat="false" ht="12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customFormat="false" ht="12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customFormat="false" ht="12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customFormat="false" ht="12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customFormat="false" ht="12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customFormat="false" ht="12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customFormat="false" ht="12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customFormat="false" ht="12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customFormat="false" ht="12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customFormat="false" ht="12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customFormat="false" ht="12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customFormat="false" ht="12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customFormat="false" ht="12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customFormat="false" ht="12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customFormat="false" ht="12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customFormat="false" ht="12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customFormat="false" ht="12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customFormat="false" ht="12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customFormat="false" ht="12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customFormat="false" ht="12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customFormat="false" ht="12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customFormat="false" ht="12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customFormat="false" ht="12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customFormat="false" ht="12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customFormat="false" ht="12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customFormat="false" ht="12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customFormat="false" ht="12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customFormat="false" ht="12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customFormat="false" ht="12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customFormat="false" ht="12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customFormat="false" ht="12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customFormat="false" ht="12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customFormat="false" ht="12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customFormat="false" ht="12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customFormat="false" ht="12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customFormat="false" ht="12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customFormat="false" ht="12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customFormat="false" ht="12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customFormat="false" ht="12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customFormat="false" ht="12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customFormat="false" ht="12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customFormat="false" ht="12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customFormat="false" ht="12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customFormat="false" ht="12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customFormat="false" ht="12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customFormat="false" ht="12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customFormat="false" ht="12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customFormat="false" ht="12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customFormat="false" ht="12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customFormat="false" ht="12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customFormat="false" ht="12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customFormat="false" ht="12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customFormat="false" ht="12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customFormat="false" ht="12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customFormat="false" ht="12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customFormat="false" ht="12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customFormat="false" ht="12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customFormat="false" ht="12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customFormat="false" ht="12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customFormat="false" ht="12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customFormat="false" ht="12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customFormat="false" ht="12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customFormat="false" ht="12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customFormat="false" ht="12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customFormat="false" ht="12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customFormat="false" ht="12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customFormat="false" ht="12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customFormat="false" ht="12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customFormat="false" ht="12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customFormat="false" ht="12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customFormat="false" ht="12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customFormat="false" ht="12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customFormat="false" ht="12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customFormat="false" ht="12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customFormat="false" ht="12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customFormat="false" ht="12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customFormat="false" ht="12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customFormat="false" ht="12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customFormat="false" ht="12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customFormat="false" ht="12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customFormat="false" ht="12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customFormat="false" ht="12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customFormat="false" ht="12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customFormat="false" ht="12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customFormat="false" ht="12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customFormat="false" ht="12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customFormat="false" ht="12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customFormat="false" ht="12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customFormat="false" ht="12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customFormat="false" ht="12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customFormat="false" ht="12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customFormat="false" ht="12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customFormat="false" ht="12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customFormat="false" ht="12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customFormat="false" ht="12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customFormat="false" ht="12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customFormat="false" ht="12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customFormat="false" ht="12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customFormat="false" ht="12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customFormat="false" ht="12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customFormat="false" ht="12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customFormat="false" ht="12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customFormat="false" ht="12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customFormat="false" ht="12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customFormat="false" ht="12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customFormat="false" ht="12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customFormat="false" ht="12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customFormat="false" ht="12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customFormat="false" ht="12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customFormat="false" ht="12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customFormat="false" ht="12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customFormat="false" ht="12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customFormat="false" ht="12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customFormat="false" ht="12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customFormat="false" ht="12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customFormat="false" ht="12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customFormat="false" ht="12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customFormat="false" ht="12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customFormat="false" ht="12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customFormat="false" ht="12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customFormat="false" ht="12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customFormat="false" ht="12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customFormat="false" ht="12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customFormat="false" ht="12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customFormat="false" ht="12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customFormat="false" ht="12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customFormat="false" ht="12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customFormat="false" ht="12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customFormat="false" ht="12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customFormat="false" ht="12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customFormat="false" ht="12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customFormat="false" ht="12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customFormat="false" ht="12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customFormat="false" ht="12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customFormat="false" ht="12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customFormat="false" ht="12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customFormat="false" ht="12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customFormat="false" ht="12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customFormat="false" ht="12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customFormat="false" ht="12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customFormat="false" ht="12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customFormat="false" ht="12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customFormat="false" ht="12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customFormat="false" ht="12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customFormat="false" ht="12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customFormat="false" ht="12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customFormat="false" ht="12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customFormat="false" ht="12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customFormat="false" ht="12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customFormat="false" ht="12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customFormat="false" ht="12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customFormat="false" ht="12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customFormat="false" ht="12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customFormat="false" ht="12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customFormat="false" ht="12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customFormat="false" ht="12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customFormat="false" ht="12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customFormat="false" ht="12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customFormat="false" ht="12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customFormat="false" ht="12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customFormat="false" ht="12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customFormat="false" ht="12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customFormat="false" ht="12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customFormat="false" ht="12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customFormat="false" ht="12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customFormat="false" ht="12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customFormat="false" ht="12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customFormat="false" ht="12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customFormat="false" ht="12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customFormat="false" ht="12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customFormat="false" ht="12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customFormat="false" ht="12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customFormat="false" ht="12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customFormat="false" ht="12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customFormat="false" ht="12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customFormat="false" ht="12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customFormat="false" ht="12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customFormat="false" ht="12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customFormat="false" ht="12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customFormat="false" ht="12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customFormat="false" ht="12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customFormat="false" ht="12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customFormat="false" ht="12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customFormat="false" ht="12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customFormat="false" ht="12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customFormat="false" ht="12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customFormat="false" ht="12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customFormat="false" ht="12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customFormat="false" ht="12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customFormat="false" ht="12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customFormat="false" ht="12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customFormat="false" ht="12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customFormat="false" ht="12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customFormat="false" ht="12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customFormat="false" ht="12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customFormat="false" ht="12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customFormat="false" ht="12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customFormat="false" ht="12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customFormat="false" ht="12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customFormat="false" ht="12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customFormat="false" ht="12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customFormat="false" ht="12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customFormat="false" ht="12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customFormat="false" ht="12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customFormat="false" ht="12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customFormat="false" ht="12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customFormat="false" ht="12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customFormat="false" ht="12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customFormat="false" ht="12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customFormat="false" ht="12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customFormat="false" ht="12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customFormat="false" ht="12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customFormat="false" ht="12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customFormat="false" ht="12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customFormat="false" ht="12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customFormat="false" ht="12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customFormat="false" ht="12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customFormat="false" ht="12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customFormat="false" ht="12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customFormat="false" ht="12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customFormat="false" ht="12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customFormat="false" ht="12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customFormat="false" ht="12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customFormat="false" ht="12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customFormat="false" ht="12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customFormat="false" ht="12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customFormat="false" ht="12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customFormat="false" ht="12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customFormat="false" ht="12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customFormat="false" ht="12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customFormat="false" ht="12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customFormat="false" ht="12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customFormat="false" ht="12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customFormat="false" ht="12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customFormat="false" ht="12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customFormat="false" ht="12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customFormat="false" ht="12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customFormat="false" ht="12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customFormat="false" ht="12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customFormat="false" ht="12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customFormat="false" ht="12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customFormat="false" ht="12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customFormat="false" ht="12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customFormat="false" ht="12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customFormat="false" ht="12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customFormat="false" ht="12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customFormat="false" ht="12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customFormat="false" ht="12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customFormat="false" ht="12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customFormat="false" ht="12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customFormat="false" ht="12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customFormat="false" ht="12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customFormat="false" ht="12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customFormat="false" ht="12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customFormat="false" ht="12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customFormat="false" ht="12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customFormat="false" ht="12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customFormat="false" ht="12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customFormat="false" ht="12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customFormat="false" ht="12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customFormat="false" ht="12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customFormat="false" ht="12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customFormat="false" ht="12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customFormat="false" ht="12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customFormat="false" ht="12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customFormat="false" ht="12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customFormat="false" ht="12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customFormat="false" ht="12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customFormat="false" ht="12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customFormat="false" ht="12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customFormat="false" ht="12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customFormat="false" ht="12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customFormat="false" ht="12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customFormat="false" ht="12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customFormat="false" ht="12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customFormat="false" ht="12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customFormat="false" ht="12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customFormat="false" ht="12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customFormat="false" ht="12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customFormat="false" ht="12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customFormat="false" ht="12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customFormat="false" ht="12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customFormat="false" ht="12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customFormat="false" ht="12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customFormat="false" ht="12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customFormat="false" ht="12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customFormat="false" ht="12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customFormat="false" ht="12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customFormat="false" ht="12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customFormat="false" ht="12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customFormat="false" ht="12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customFormat="false" ht="12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customFormat="false" ht="12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customFormat="false" ht="12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customFormat="false" ht="12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customFormat="false" ht="12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customFormat="false" ht="12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customFormat="false" ht="12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customFormat="false" ht="12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customFormat="false" ht="12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customFormat="false" ht="12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customFormat="false" ht="12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customFormat="false" ht="12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customFormat="false" ht="12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customFormat="false" ht="12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customFormat="false" ht="12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customFormat="false" ht="12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customFormat="false" ht="12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customFormat="false" ht="12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customFormat="false" ht="12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customFormat="false" ht="12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customFormat="false" ht="12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customFormat="false" ht="12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customFormat="false" ht="12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customFormat="false" ht="12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customFormat="false" ht="12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customFormat="false" ht="12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customFormat="false" ht="12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customFormat="false" ht="12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customFormat="false" ht="12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customFormat="false" ht="12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customFormat="false" ht="12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customFormat="false" ht="12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customFormat="false" ht="12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customFormat="false" ht="12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customFormat="false" ht="12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customFormat="false" ht="12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customFormat="false" ht="12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customFormat="false" ht="12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customFormat="false" ht="12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customFormat="false" ht="12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customFormat="false" ht="12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customFormat="false" ht="12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customFormat="false" ht="12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customFormat="false" ht="12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customFormat="false" ht="12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customFormat="false" ht="12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customFormat="false" ht="12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customFormat="false" ht="12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customFormat="false" ht="12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customFormat="false" ht="12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customFormat="false" ht="12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customFormat="false" ht="12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customFormat="false" ht="12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customFormat="false" ht="12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customFormat="false" ht="12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customFormat="false" ht="12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customFormat="false" ht="12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customFormat="false" ht="12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customFormat="false" ht="12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customFormat="false" ht="12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customFormat="false" ht="12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customFormat="false" ht="12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customFormat="false" ht="12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customFormat="false" ht="12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customFormat="false" ht="12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customFormat="false" ht="12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customFormat="false" ht="12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customFormat="false" ht="12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customFormat="false" ht="12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customFormat="false" ht="12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customFormat="false" ht="12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customFormat="false" ht="12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customFormat="false" ht="12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customFormat="false" ht="12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customFormat="false" ht="12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customFormat="false" ht="12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customFormat="false" ht="12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customFormat="false" ht="12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customFormat="false" ht="12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customFormat="false" ht="12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customFormat="false" ht="12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customFormat="false" ht="12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customFormat="false" ht="12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customFormat="false" ht="12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customFormat="false" ht="12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customFormat="false" ht="12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customFormat="false" ht="12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customFormat="false" ht="12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customFormat="false" ht="12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customFormat="false" ht="12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customFormat="false" ht="12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customFormat="false" ht="12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customFormat="false" ht="12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customFormat="false" ht="12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customFormat="false" ht="12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customFormat="false" ht="12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customFormat="false" ht="12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customFormat="false" ht="12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customFormat="false" ht="12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customFormat="false" ht="12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customFormat="false" ht="12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customFormat="false" ht="12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customFormat="false" ht="12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customFormat="false" ht="12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customFormat="false" ht="12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customFormat="false" ht="12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customFormat="false" ht="12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customFormat="false" ht="12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customFormat="false" ht="12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customFormat="false" ht="12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customFormat="false" ht="12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customFormat="false" ht="12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customFormat="false" ht="12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customFormat="false" ht="12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customFormat="false" ht="12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customFormat="false" ht="12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customFormat="false" ht="12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customFormat="false" ht="12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customFormat="false" ht="12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customFormat="false" ht="12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customFormat="false" ht="12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customFormat="false" ht="12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customFormat="false" ht="12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customFormat="false" ht="12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customFormat="false" ht="12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customFormat="false" ht="12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customFormat="false" ht="12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customFormat="false" ht="12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customFormat="false" ht="12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customFormat="false" ht="12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customFormat="false" ht="12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customFormat="false" ht="12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customFormat="false" ht="12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customFormat="false" ht="12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customFormat="false" ht="12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customFormat="false" ht="12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customFormat="false" ht="12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customFormat="false" ht="12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customFormat="false" ht="12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customFormat="false" ht="12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customFormat="false" ht="12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customFormat="false" ht="12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customFormat="false" ht="12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customFormat="false" ht="12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customFormat="false" ht="12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customFormat="false" ht="12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customFormat="false" ht="12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customFormat="false" ht="12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customFormat="false" ht="12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customFormat="false" ht="12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customFormat="false" ht="12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customFormat="false" ht="12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customFormat="false" ht="12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customFormat="false" ht="12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customFormat="false" ht="12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customFormat="false" ht="12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customFormat="false" ht="12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customFormat="false" ht="12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customFormat="false" ht="12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customFormat="false" ht="12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customFormat="false" ht="12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customFormat="false" ht="12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customFormat="false" ht="12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customFormat="false" ht="12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customFormat="false" ht="12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customFormat="false" ht="12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customFormat="false" ht="12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customFormat="false" ht="12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customFormat="false" ht="12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customFormat="false" ht="12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customFormat="false" ht="12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customFormat="false" ht="12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customFormat="false" ht="12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customFormat="false" ht="12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customFormat="false" ht="12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customFormat="false" ht="12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customFormat="false" ht="12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customFormat="false" ht="12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customFormat="false" ht="12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customFormat="false" ht="12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customFormat="false" ht="12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customFormat="false" ht="12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customFormat="false" ht="12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customFormat="false" ht="12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customFormat="false" ht="12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customFormat="false" ht="12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customFormat="false" ht="12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customFormat="false" ht="12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customFormat="false" ht="12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customFormat="false" ht="12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customFormat="false" ht="12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customFormat="false" ht="12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customFormat="false" ht="12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customFormat="false" ht="12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customFormat="false" ht="12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customFormat="false" ht="12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customFormat="false" ht="12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customFormat="false" ht="12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customFormat="false" ht="12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customFormat="false" ht="12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customFormat="false" ht="12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customFormat="false" ht="12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customFormat="false" ht="12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customFormat="false" ht="12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customFormat="false" ht="12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customFormat="false" ht="12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customFormat="false" ht="12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customFormat="false" ht="12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customFormat="false" ht="12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customFormat="false" ht="12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customFormat="false" ht="12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customFormat="false" ht="12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customFormat="false" ht="12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customFormat="false" ht="12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customFormat="false" ht="12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customFormat="false" ht="12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customFormat="false" ht="12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customFormat="false" ht="12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customFormat="false" ht="12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customFormat="false" ht="12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customFormat="false" ht="12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customFormat="false" ht="12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customFormat="false" ht="12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customFormat="false" ht="12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customFormat="false" ht="12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customFormat="false" ht="12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customFormat="false" ht="12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customFormat="false" ht="12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customFormat="false" ht="12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customFormat="false" ht="12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customFormat="false" ht="12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customFormat="false" ht="12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customFormat="false" ht="12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customFormat="false" ht="12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customFormat="false" ht="12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customFormat="false" ht="12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customFormat="false" ht="12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customFormat="false" ht="12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customFormat="false" ht="12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customFormat="false" ht="12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customFormat="false" ht="12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customFormat="false" ht="12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customFormat="false" ht="12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customFormat="false" ht="12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customFormat="false" ht="12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customFormat="false" ht="12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customFormat="false" ht="12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customFormat="false" ht="12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customFormat="false" ht="12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customFormat="false" ht="12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customFormat="false" ht="12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customFormat="false" ht="12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customFormat="false" ht="12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customFormat="false" ht="12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customFormat="false" ht="12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customFormat="false" ht="12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customFormat="false" ht="12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customFormat="false" ht="12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customFormat="false" ht="12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customFormat="false" ht="12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customFormat="false" ht="12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customFormat="false" ht="12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customFormat="false" ht="12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customFormat="false" ht="12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customFormat="false" ht="12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customFormat="false" ht="12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customFormat="false" ht="12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customFormat="false" ht="12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customFormat="false" ht="12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customFormat="false" ht="12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customFormat="false" ht="12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customFormat="false" ht="12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customFormat="false" ht="12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customFormat="false" ht="12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customFormat="false" ht="12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customFormat="false" ht="12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customFormat="false" ht="12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customFormat="false" ht="12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customFormat="false" ht="12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customFormat="false" ht="12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customFormat="false" ht="12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customFormat="false" ht="12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customFormat="false" ht="12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customFormat="false" ht="12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customFormat="false" ht="12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customFormat="false" ht="12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customFormat="false" ht="12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customFormat="false" ht="12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customFormat="false" ht="12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customFormat="false" ht="12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customFormat="false" ht="12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customFormat="false" ht="12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customFormat="false" ht="12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customFormat="false" ht="12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customFormat="false" ht="12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customFormat="false" ht="12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customFormat="false" ht="12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customFormat="false" ht="12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customFormat="false" ht="12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customFormat="false" ht="12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customFormat="false" ht="12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customFormat="false" ht="12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customFormat="false" ht="12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customFormat="false" ht="12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customFormat="false" ht="12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customFormat="false" ht="12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customFormat="false" ht="12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customFormat="false" ht="12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customFormat="false" ht="12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customFormat="false" ht="12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customFormat="false" ht="12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customFormat="false" ht="12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customFormat="false" ht="12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customFormat="false" ht="12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customFormat="false" ht="12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customFormat="false" ht="12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customFormat="false" ht="12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customFormat="false" ht="12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customFormat="false" ht="12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customFormat="false" ht="12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customFormat="false" ht="12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customFormat="false" ht="12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customFormat="false" ht="12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customFormat="false" ht="12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customFormat="false" ht="12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customFormat="false" ht="12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customFormat="false" ht="12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customFormat="false" ht="12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customFormat="false" ht="12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customFormat="false" ht="12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customFormat="false" ht="12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customFormat="false" ht="12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customFormat="false" ht="12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customFormat="false" ht="12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customFormat="false" ht="12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customFormat="false" ht="12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customFormat="false" ht="12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customFormat="false" ht="12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customFormat="false" ht="12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customFormat="false" ht="12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customFormat="false" ht="12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customFormat="false" ht="12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customFormat="false" ht="12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customFormat="false" ht="12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customFormat="false" ht="12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customFormat="false" ht="12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customFormat="false" ht="12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customFormat="false" ht="12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customFormat="false" ht="12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customFormat="false" ht="12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customFormat="false" ht="12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customFormat="false" ht="12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customFormat="false" ht="12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customFormat="false" ht="12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customFormat="false" ht="12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customFormat="false" ht="12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customFormat="false" ht="12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customFormat="false" ht="12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customFormat="false" ht="12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customFormat="false" ht="12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customFormat="false" ht="12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customFormat="false" ht="12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customFormat="false" ht="12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customFormat="false" ht="12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customFormat="false" ht="12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customFormat="false" ht="12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customFormat="false" ht="12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customFormat="false" ht="12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customFormat="false" ht="12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customFormat="false" ht="12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customFormat="false" ht="12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customFormat="false" ht="12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customFormat="false" ht="12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customFormat="false" ht="12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customFormat="false" ht="12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customFormat="false" ht="12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customFormat="false" ht="12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customFormat="false" ht="12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customFormat="false" ht="12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customFormat="false" ht="12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customFormat="false" ht="12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customFormat="false" ht="12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customFormat="false" ht="12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customFormat="false" ht="12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customFormat="false" ht="12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customFormat="false" ht="12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customFormat="false" ht="12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customFormat="false" ht="12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customFormat="false" ht="12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customFormat="false" ht="12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customFormat="false" ht="12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customFormat="false" ht="12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customFormat="false" ht="12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customFormat="false" ht="12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customFormat="false" ht="12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customFormat="false" ht="12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customFormat="false" ht="12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customFormat="false" ht="12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customFormat="false" ht="12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customFormat="false" ht="12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customFormat="false" ht="12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customFormat="false" ht="12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customFormat="false" ht="12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customFormat="false" ht="12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customFormat="false" ht="12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customFormat="false" ht="12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customFormat="false" ht="12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customFormat="false" ht="12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customFormat="false" ht="12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customFormat="false" ht="12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customFormat="false" ht="12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customFormat="false" ht="12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customFormat="false" ht="12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customFormat="false" ht="12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customFormat="false" ht="12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customFormat="false" ht="12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customFormat="false" ht="12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customFormat="false" ht="12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272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B11:G11"/>
    <mergeCell ref="H11:I11"/>
    <mergeCell ref="A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G20"/>
    <mergeCell ref="H20:I20"/>
    <mergeCell ref="A21:I21"/>
    <mergeCell ref="A22:I22"/>
    <mergeCell ref="A23:I23"/>
    <mergeCell ref="A24:I24"/>
    <mergeCell ref="A25:I25"/>
    <mergeCell ref="A26:I26"/>
    <mergeCell ref="J26:P26"/>
    <mergeCell ref="Q26:X26"/>
    <mergeCell ref="Y26:AE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A37:I37"/>
    <mergeCell ref="A38:I38"/>
    <mergeCell ref="A39:I39"/>
    <mergeCell ref="A40:I40"/>
    <mergeCell ref="B41:G41"/>
    <mergeCell ref="B42:H42"/>
    <mergeCell ref="B43:H43"/>
    <mergeCell ref="B44:H44"/>
    <mergeCell ref="B45:G45"/>
    <mergeCell ref="B46:H46"/>
    <mergeCell ref="A47:H47"/>
    <mergeCell ref="A48:I48"/>
    <mergeCell ref="B49:H49"/>
    <mergeCell ref="A50:H50"/>
    <mergeCell ref="A51:I51"/>
    <mergeCell ref="A52:H52"/>
    <mergeCell ref="A53:I53"/>
    <mergeCell ref="A54:I54"/>
    <mergeCell ref="A55:I55"/>
    <mergeCell ref="A56:I56"/>
    <mergeCell ref="A57:I57"/>
    <mergeCell ref="B58:H58"/>
    <mergeCell ref="B59:G59"/>
    <mergeCell ref="B60:G60"/>
    <mergeCell ref="A61:H61"/>
    <mergeCell ref="A62:I62"/>
    <mergeCell ref="A63:I63"/>
    <mergeCell ref="A64:I64"/>
    <mergeCell ref="A65:I65"/>
    <mergeCell ref="B66:G66"/>
    <mergeCell ref="B67:G67"/>
    <mergeCell ref="B68:G68"/>
    <mergeCell ref="B69:C69"/>
    <mergeCell ref="B70:G70"/>
    <mergeCell ref="B71:G71"/>
    <mergeCell ref="B72:G72"/>
    <mergeCell ref="B73:G73"/>
    <mergeCell ref="B74:G74"/>
    <mergeCell ref="A75:G75"/>
    <mergeCell ref="A77:I77"/>
    <mergeCell ref="A78:I78"/>
    <mergeCell ref="A79:I79"/>
    <mergeCell ref="B80:H80"/>
    <mergeCell ref="B81:H81"/>
    <mergeCell ref="B82:G82"/>
    <mergeCell ref="B83:G83"/>
    <mergeCell ref="B84:G84"/>
    <mergeCell ref="B85:G85"/>
    <mergeCell ref="B86:H86"/>
    <mergeCell ref="B87:G87"/>
    <mergeCell ref="B88:G88"/>
    <mergeCell ref="B89:G89"/>
    <mergeCell ref="B90:H90"/>
    <mergeCell ref="B91:H91"/>
    <mergeCell ref="B92:H92"/>
    <mergeCell ref="B93:H93"/>
    <mergeCell ref="B94:H94"/>
    <mergeCell ref="A95:I95"/>
    <mergeCell ref="A96:I96"/>
    <mergeCell ref="A97:I97"/>
    <mergeCell ref="A98:I98"/>
    <mergeCell ref="B99:H99"/>
    <mergeCell ref="B100:H100"/>
    <mergeCell ref="B101:H101"/>
    <mergeCell ref="B102:H102"/>
    <mergeCell ref="A103:H103"/>
    <mergeCell ref="A104:I104"/>
    <mergeCell ref="A105:I105"/>
    <mergeCell ref="B106:H106"/>
    <mergeCell ref="B107:H107"/>
    <mergeCell ref="B108:H108"/>
    <mergeCell ref="B109:H109"/>
    <mergeCell ref="B110:H110"/>
    <mergeCell ref="B111:G111"/>
    <mergeCell ref="A112:H112"/>
    <mergeCell ref="A113:I113"/>
    <mergeCell ref="A114:I114"/>
    <mergeCell ref="A115:I115"/>
    <mergeCell ref="A116:I116"/>
    <mergeCell ref="A117:I117"/>
    <mergeCell ref="A119:I119"/>
    <mergeCell ref="A120:I120"/>
    <mergeCell ref="B121:H121"/>
    <mergeCell ref="B122:F122"/>
    <mergeCell ref="B123:H123"/>
    <mergeCell ref="B124:H124"/>
    <mergeCell ref="B125:H125"/>
    <mergeCell ref="B126:H126"/>
    <mergeCell ref="B127:H127"/>
    <mergeCell ref="A128:H128"/>
    <mergeCell ref="A129:I129"/>
    <mergeCell ref="A130:I130"/>
    <mergeCell ref="B131:H131"/>
    <mergeCell ref="B132:H132"/>
    <mergeCell ref="A133:H133"/>
    <mergeCell ref="A134:I134"/>
    <mergeCell ref="A135:I135"/>
    <mergeCell ref="B136:H136"/>
    <mergeCell ref="B137:H137"/>
    <mergeCell ref="B138:H138"/>
    <mergeCell ref="A139:H139"/>
    <mergeCell ref="A140:I140"/>
    <mergeCell ref="A141:I141"/>
    <mergeCell ref="B142:H142"/>
    <mergeCell ref="B143:H143"/>
    <mergeCell ref="B144:H144"/>
    <mergeCell ref="B145:H145"/>
    <mergeCell ref="A146:H146"/>
    <mergeCell ref="A147:I147"/>
    <mergeCell ref="A148:I148"/>
    <mergeCell ref="A150:I150"/>
    <mergeCell ref="B151:G151"/>
    <mergeCell ref="A152:G152"/>
    <mergeCell ref="B153:G153"/>
    <mergeCell ref="A154:G154"/>
    <mergeCell ref="B155:G155"/>
    <mergeCell ref="A156:G156"/>
    <mergeCell ref="B157:G157"/>
    <mergeCell ref="B158:G158"/>
    <mergeCell ref="B159:G159"/>
    <mergeCell ref="B160:G160"/>
    <mergeCell ref="B161:G161"/>
    <mergeCell ref="B162:G162"/>
    <mergeCell ref="B163:G163"/>
    <mergeCell ref="B164:G164"/>
    <mergeCell ref="B165:G165"/>
    <mergeCell ref="A166:H166"/>
    <mergeCell ref="A167:I167"/>
    <mergeCell ref="A168:G168"/>
    <mergeCell ref="A169:B171"/>
    <mergeCell ref="C169:I169"/>
    <mergeCell ref="C170:I170"/>
    <mergeCell ref="C171:I171"/>
    <mergeCell ref="A172:I172"/>
    <mergeCell ref="A173:I173"/>
    <mergeCell ref="A174:I174"/>
    <mergeCell ref="A175:I175"/>
    <mergeCell ref="A176:H176"/>
    <mergeCell ref="B177:H177"/>
    <mergeCell ref="B178:H178"/>
    <mergeCell ref="B179:H179"/>
    <mergeCell ref="B180:H180"/>
    <mergeCell ref="B181:H181"/>
    <mergeCell ref="A182:H182"/>
    <mergeCell ref="B183:H183"/>
    <mergeCell ref="A184:H184"/>
    <mergeCell ref="A185:I185"/>
    <mergeCell ref="A186:I186"/>
    <mergeCell ref="A187:I187"/>
    <mergeCell ref="A188:D188"/>
    <mergeCell ref="E188:F188"/>
    <mergeCell ref="H188:I188"/>
    <mergeCell ref="A189:D189"/>
    <mergeCell ref="E189:F189"/>
    <mergeCell ref="H189:I189"/>
    <mergeCell ref="A190:D190"/>
    <mergeCell ref="E190:F190"/>
    <mergeCell ref="H190:I190"/>
    <mergeCell ref="A191:D191"/>
    <mergeCell ref="E191:F191"/>
    <mergeCell ref="H191:I191"/>
    <mergeCell ref="A192:D192"/>
    <mergeCell ref="E192:F192"/>
    <mergeCell ref="H192:I192"/>
    <mergeCell ref="A193:D193"/>
    <mergeCell ref="E193:F193"/>
    <mergeCell ref="H193:I193"/>
    <mergeCell ref="A194:D194"/>
    <mergeCell ref="E194:F194"/>
    <mergeCell ref="H194:I194"/>
    <mergeCell ref="A195:F195"/>
    <mergeCell ref="H195:I195"/>
    <mergeCell ref="A196:I196"/>
    <mergeCell ref="A197:I197"/>
    <mergeCell ref="A198:I198"/>
    <mergeCell ref="A199:F199"/>
    <mergeCell ref="G199:I199"/>
    <mergeCell ref="A200:I200"/>
    <mergeCell ref="A201:F201"/>
    <mergeCell ref="G201:I201"/>
    <mergeCell ref="A202:I202"/>
    <mergeCell ref="A203:F203"/>
    <mergeCell ref="G203:I203"/>
    <mergeCell ref="A204:I204"/>
    <mergeCell ref="A205:I205"/>
    <mergeCell ref="A206:C207"/>
    <mergeCell ref="D206:I207"/>
    <mergeCell ref="A208:C208"/>
    <mergeCell ref="D208:I208"/>
    <mergeCell ref="A209:C209"/>
    <mergeCell ref="D209:I209"/>
    <mergeCell ref="A210:C210"/>
    <mergeCell ref="D210:I210"/>
    <mergeCell ref="A211:I212"/>
    <mergeCell ref="A213:I213"/>
    <mergeCell ref="A214:G214"/>
    <mergeCell ref="H214:I214"/>
    <mergeCell ref="A215:G215"/>
    <mergeCell ref="H215:I215"/>
    <mergeCell ref="A216:G216"/>
    <mergeCell ref="H216:I216"/>
    <mergeCell ref="A217:G217"/>
    <mergeCell ref="H217:I217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15.26"/>
    <col collapsed="false" customWidth="true" hidden="false" outlineLevel="0" max="2" min="2" style="0" width="11.12"/>
    <col collapsed="false" customWidth="true" hidden="false" outlineLevel="0" max="3" min="3" style="0" width="13.24"/>
    <col collapsed="false" customWidth="true" hidden="false" outlineLevel="0" max="4" min="4" style="0" width="10.12"/>
    <col collapsed="false" customWidth="true" hidden="false" outlineLevel="0" max="5" min="5" style="0" width="12.37"/>
    <col collapsed="false" customWidth="true" hidden="false" outlineLevel="0" max="6" min="6" style="0" width="11.25"/>
    <col collapsed="false" customWidth="true" hidden="false" outlineLevel="0" max="7" min="7" style="0" width="9.74"/>
    <col collapsed="false" customWidth="true" hidden="false" outlineLevel="0" max="8" min="8" style="0" width="11.25"/>
    <col collapsed="false" customWidth="true" hidden="false" outlineLevel="0" max="9" min="9" style="0" width="14.5"/>
    <col collapsed="false" customWidth="true" hidden="false" outlineLevel="0" max="10" min="10" style="0" width="10.76"/>
    <col collapsed="false" customWidth="true" hidden="false" outlineLevel="0" max="11" min="11" style="0" width="11.12"/>
    <col collapsed="false" customWidth="true" hidden="false" outlineLevel="0" max="12" min="12" style="0" width="7.38"/>
    <col collapsed="false" customWidth="true" hidden="false" outlineLevel="0" max="13" min="13" style="0" width="6.5"/>
    <col collapsed="false" customWidth="true" hidden="false" outlineLevel="0" max="15" min="14" style="0" width="9.25"/>
    <col collapsed="false" customWidth="true" hidden="false" outlineLevel="0" max="30" min="16" style="0" width="9.13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32.25" hidden="false" customHeight="true" outlineLevel="0" collapsed="false">
      <c r="A2" s="3" t="s">
        <v>204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customFormat="false" ht="41.25" hidden="false" customHeight="true" outlineLevel="0" collapsed="false">
      <c r="A3" s="4" t="s">
        <v>205</v>
      </c>
      <c r="B3" s="4"/>
      <c r="C3" s="4"/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customFormat="false" ht="15.75" hidden="false" customHeight="true" outlineLevel="0" collapsed="false">
      <c r="A4" s="5" t="s">
        <v>2</v>
      </c>
      <c r="B4" s="5"/>
      <c r="C4" s="5"/>
      <c r="D4" s="5"/>
      <c r="E4" s="5"/>
      <c r="F4" s="6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customFormat="false" ht="15.75" hidden="false" customHeight="true" outlineLevel="0" collapsed="false">
      <c r="A5" s="5" t="s">
        <v>3</v>
      </c>
      <c r="B5" s="5"/>
      <c r="C5" s="5"/>
      <c r="D5" s="5"/>
      <c r="E5" s="5"/>
      <c r="F5" s="6" t="s">
        <v>206</v>
      </c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customFormat="false" ht="14.25" hidden="false" customHeight="true" outlineLevel="0" collapsed="false">
      <c r="A6" s="5" t="s">
        <v>207</v>
      </c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customFormat="false" ht="20.2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customFormat="false" ht="15.75" hidden="false" customHeight="true" outlineLevel="0" collapsed="false">
      <c r="A8" s="8" t="s">
        <v>7</v>
      </c>
      <c r="B8" s="5" t="s">
        <v>8</v>
      </c>
      <c r="C8" s="5"/>
      <c r="D8" s="5"/>
      <c r="E8" s="5"/>
      <c r="F8" s="5"/>
      <c r="G8" s="5"/>
      <c r="H8" s="9"/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customFormat="false" ht="15.75" hidden="false" customHeight="true" outlineLevel="0" collapsed="false">
      <c r="A9" s="8" t="s">
        <v>9</v>
      </c>
      <c r="B9" s="5" t="s">
        <v>10</v>
      </c>
      <c r="C9" s="5"/>
      <c r="D9" s="5"/>
      <c r="E9" s="5"/>
      <c r="F9" s="5"/>
      <c r="G9" s="5"/>
      <c r="H9" s="6" t="s">
        <v>11</v>
      </c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customFormat="false" ht="19.5" hidden="false" customHeight="true" outlineLevel="0" collapsed="false">
      <c r="A10" s="8" t="s">
        <v>12</v>
      </c>
      <c r="B10" s="5" t="s">
        <v>13</v>
      </c>
      <c r="C10" s="5"/>
      <c r="D10" s="5"/>
      <c r="E10" s="5"/>
      <c r="F10" s="5"/>
      <c r="G10" s="5"/>
      <c r="H10" s="10" t="s">
        <v>14</v>
      </c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customFormat="false" ht="34.5" hidden="false" customHeight="true" outlineLevel="0" collapsed="false">
      <c r="A11" s="8" t="s">
        <v>15</v>
      </c>
      <c r="B11" s="5" t="s">
        <v>16</v>
      </c>
      <c r="C11" s="5"/>
      <c r="D11" s="5"/>
      <c r="E11" s="5"/>
      <c r="F11" s="5"/>
      <c r="G11" s="5"/>
      <c r="H11" s="6" t="n">
        <v>12</v>
      </c>
      <c r="I11" s="6"/>
      <c r="J11" s="1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customFormat="false" ht="21" hidden="false" customHeight="true" outlineLevel="0" collapsed="false">
      <c r="A12" s="12" t="s">
        <v>17</v>
      </c>
      <c r="B12" s="12"/>
      <c r="C12" s="12"/>
      <c r="D12" s="12"/>
      <c r="E12" s="12"/>
      <c r="F12" s="12"/>
      <c r="G12" s="12"/>
      <c r="H12" s="12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customFormat="false" ht="50.25" hidden="false" customHeight="true" outlineLevel="0" collapsed="false">
      <c r="A13" s="13" t="s">
        <v>18</v>
      </c>
      <c r="B13" s="13"/>
      <c r="C13" s="13"/>
      <c r="D13" s="13"/>
      <c r="E13" s="13"/>
      <c r="F13" s="14" t="s">
        <v>19</v>
      </c>
      <c r="G13" s="14"/>
      <c r="H13" s="14" t="s">
        <v>20</v>
      </c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customFormat="false" ht="12.75" hidden="false" customHeight="true" outlineLevel="0" collapsed="false">
      <c r="A14" s="5" t="s">
        <v>21</v>
      </c>
      <c r="B14" s="5"/>
      <c r="C14" s="5"/>
      <c r="D14" s="5"/>
      <c r="E14" s="5"/>
      <c r="F14" s="8" t="s">
        <v>22</v>
      </c>
      <c r="G14" s="8"/>
      <c r="H14" s="15" t="s">
        <v>23</v>
      </c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customFormat="false" ht="12.75" hidden="false" customHeight="true" outlineLevel="0" collapsed="false">
      <c r="A15" s="5" t="s">
        <v>24</v>
      </c>
      <c r="B15" s="5"/>
      <c r="C15" s="5"/>
      <c r="D15" s="5"/>
      <c r="E15" s="5"/>
      <c r="F15" s="8" t="s">
        <v>22</v>
      </c>
      <c r="G15" s="8"/>
      <c r="H15" s="15" t="s">
        <v>23</v>
      </c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customFormat="false" ht="12.75" hidden="false" customHeight="true" outlineLevel="0" collapsed="false">
      <c r="A16" s="5" t="s">
        <v>25</v>
      </c>
      <c r="B16" s="5"/>
      <c r="C16" s="5"/>
      <c r="D16" s="5"/>
      <c r="E16" s="5"/>
      <c r="F16" s="8" t="s">
        <v>22</v>
      </c>
      <c r="G16" s="8"/>
      <c r="H16" s="15" t="s">
        <v>23</v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customFormat="false" ht="12.75" hidden="false" customHeight="true" outlineLevel="0" collapsed="false">
      <c r="A17" s="16" t="s">
        <v>26</v>
      </c>
      <c r="B17" s="16"/>
      <c r="C17" s="16"/>
      <c r="D17" s="16"/>
      <c r="E17" s="16"/>
      <c r="F17" s="14" t="s">
        <v>22</v>
      </c>
      <c r="G17" s="14"/>
      <c r="H17" s="17" t="n">
        <v>2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customFormat="false" ht="12.75" hidden="false" customHeight="true" outlineLevel="0" collapsed="false">
      <c r="A18" s="5" t="s">
        <v>27</v>
      </c>
      <c r="B18" s="5"/>
      <c r="C18" s="5"/>
      <c r="D18" s="5"/>
      <c r="E18" s="5"/>
      <c r="F18" s="8" t="s">
        <v>22</v>
      </c>
      <c r="G18" s="8"/>
      <c r="H18" s="15" t="s">
        <v>23</v>
      </c>
      <c r="I18" s="1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customFormat="false" ht="12.75" hidden="false" customHeight="true" outlineLevel="0" collapsed="false">
      <c r="A19" s="5" t="s">
        <v>28</v>
      </c>
      <c r="B19" s="5"/>
      <c r="C19" s="5"/>
      <c r="D19" s="5"/>
      <c r="E19" s="5"/>
      <c r="F19" s="8" t="s">
        <v>22</v>
      </c>
      <c r="G19" s="8"/>
      <c r="H19" s="15" t="s">
        <v>23</v>
      </c>
      <c r="I19" s="1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customFormat="false" ht="12.75" hidden="false" customHeight="true" outlineLevel="0" collapsed="false">
      <c r="A20" s="18" t="s">
        <v>29</v>
      </c>
      <c r="B20" s="18"/>
      <c r="C20" s="18"/>
      <c r="D20" s="18"/>
      <c r="E20" s="18"/>
      <c r="F20" s="18"/>
      <c r="G20" s="18"/>
      <c r="H20" s="19" t="n">
        <f aca="false">SUM(H14:H19)</f>
        <v>2</v>
      </c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customFormat="false" ht="8.25" hidden="false" customHeight="true" outlineLevel="0" collapsed="false">
      <c r="A21" s="20"/>
      <c r="B21" s="20"/>
      <c r="C21" s="20"/>
      <c r="D21" s="20"/>
      <c r="E21" s="20"/>
      <c r="F21" s="20"/>
      <c r="G21" s="20"/>
      <c r="H21" s="20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customFormat="false" ht="43.5" hidden="false" customHeight="true" outlineLevel="0" collapsed="false">
      <c r="A22" s="21" t="s">
        <v>30</v>
      </c>
      <c r="B22" s="21"/>
      <c r="C22" s="21"/>
      <c r="D22" s="21"/>
      <c r="E22" s="21"/>
      <c r="F22" s="21"/>
      <c r="G22" s="21"/>
      <c r="H22" s="21"/>
      <c r="I22" s="21"/>
      <c r="J22" s="22"/>
      <c r="K22" s="23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customFormat="false" ht="7.5" hidden="false" customHeight="true" outlineLevel="0" collapsed="false">
      <c r="A23" s="25"/>
      <c r="B23" s="25"/>
      <c r="C23" s="25"/>
      <c r="D23" s="25"/>
      <c r="E23" s="25"/>
      <c r="F23" s="25"/>
      <c r="G23" s="25"/>
      <c r="H23" s="25"/>
      <c r="I23" s="25"/>
      <c r="J23" s="22"/>
      <c r="K23" s="23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customFormat="false" ht="51.75" hidden="false" customHeight="true" outlineLevel="0" collapsed="false">
      <c r="A24" s="26" t="s">
        <v>31</v>
      </c>
      <c r="B24" s="26"/>
      <c r="C24" s="26"/>
      <c r="D24" s="26"/>
      <c r="E24" s="26"/>
      <c r="F24" s="26"/>
      <c r="G24" s="26"/>
      <c r="H24" s="26"/>
      <c r="I24" s="26"/>
      <c r="J24" s="22"/>
      <c r="K24" s="23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customFormat="false" ht="9.75" hidden="false" customHeight="true" outlineLevel="0" collapsed="false">
      <c r="A25" s="27"/>
      <c r="B25" s="27"/>
      <c r="C25" s="27"/>
      <c r="D25" s="27"/>
      <c r="E25" s="27"/>
      <c r="F25" s="27"/>
      <c r="G25" s="27"/>
      <c r="H25" s="27"/>
      <c r="I25" s="27"/>
      <c r="J25" s="22"/>
      <c r="K25" s="23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customFormat="false" ht="21.75" hidden="false" customHeight="true" outlineLevel="0" collapsed="false">
      <c r="A26" s="7" t="s">
        <v>32</v>
      </c>
      <c r="B26" s="7"/>
      <c r="C26" s="7"/>
      <c r="D26" s="7"/>
      <c r="E26" s="7"/>
      <c r="F26" s="7"/>
      <c r="G26" s="7"/>
      <c r="H26" s="7"/>
      <c r="I26" s="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customFormat="false" ht="27" hidden="false" customHeight="true" outlineLevel="0" collapsed="false">
      <c r="A27" s="8" t="n">
        <v>1</v>
      </c>
      <c r="B27" s="5" t="s">
        <v>33</v>
      </c>
      <c r="C27" s="5"/>
      <c r="D27" s="5"/>
      <c r="E27" s="5"/>
      <c r="F27" s="5"/>
      <c r="G27" s="5"/>
      <c r="H27" s="29" t="s">
        <v>34</v>
      </c>
      <c r="I27" s="2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customFormat="false" ht="19.5" hidden="false" customHeight="true" outlineLevel="0" collapsed="false">
      <c r="A28" s="8" t="n">
        <v>2</v>
      </c>
      <c r="B28" s="5" t="s">
        <v>35</v>
      </c>
      <c r="C28" s="5"/>
      <c r="D28" s="5"/>
      <c r="E28" s="5"/>
      <c r="F28" s="5"/>
      <c r="G28" s="5"/>
      <c r="H28" s="30" t="s">
        <v>36</v>
      </c>
      <c r="I28" s="3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customFormat="false" ht="15.75" hidden="false" customHeight="true" outlineLevel="0" collapsed="false">
      <c r="A29" s="8" t="n">
        <v>3</v>
      </c>
      <c r="B29" s="5" t="s">
        <v>37</v>
      </c>
      <c r="C29" s="5"/>
      <c r="D29" s="5"/>
      <c r="E29" s="5"/>
      <c r="F29" s="5"/>
      <c r="G29" s="5"/>
      <c r="H29" s="31" t="n">
        <v>1618.2</v>
      </c>
      <c r="I29" s="3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customFormat="false" ht="15.75" hidden="false" customHeight="true" outlineLevel="0" collapsed="false">
      <c r="A30" s="8" t="n">
        <v>4</v>
      </c>
      <c r="B30" s="5" t="s">
        <v>38</v>
      </c>
      <c r="C30" s="5"/>
      <c r="D30" s="5"/>
      <c r="E30" s="5"/>
      <c r="F30" s="5"/>
      <c r="G30" s="5"/>
      <c r="H30" s="32" t="s">
        <v>39</v>
      </c>
      <c r="I30" s="3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customFormat="false" ht="15.75" hidden="false" customHeight="true" outlineLevel="0" collapsed="false">
      <c r="A31" s="8" t="n">
        <v>5</v>
      </c>
      <c r="B31" s="5" t="s">
        <v>40</v>
      </c>
      <c r="C31" s="5"/>
      <c r="D31" s="5"/>
      <c r="E31" s="5"/>
      <c r="F31" s="5"/>
      <c r="G31" s="5"/>
      <c r="H31" s="33" t="s">
        <v>41</v>
      </c>
      <c r="I31" s="3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customFormat="false" ht="27" hidden="false" customHeight="true" outlineLevel="0" collapsed="false">
      <c r="A32" s="34" t="n">
        <v>6</v>
      </c>
      <c r="B32" s="35" t="s">
        <v>42</v>
      </c>
      <c r="C32" s="35"/>
      <c r="D32" s="35"/>
      <c r="E32" s="35"/>
      <c r="F32" s="35"/>
      <c r="G32" s="35"/>
      <c r="H32" s="36" t="n">
        <f aca="false">ROUND((H29/180),2)</f>
        <v>8.99</v>
      </c>
      <c r="I32" s="36"/>
    </row>
    <row r="33" customFormat="false" ht="23.25" hidden="false" customHeight="true" outlineLevel="0" collapsed="false">
      <c r="A33" s="34" t="n">
        <v>7</v>
      </c>
      <c r="B33" s="35" t="s">
        <v>43</v>
      </c>
      <c r="C33" s="35"/>
      <c r="D33" s="35"/>
      <c r="E33" s="35"/>
      <c r="F33" s="35"/>
      <c r="G33" s="35"/>
      <c r="H33" s="37" t="n">
        <f aca="false">TRUNC(H32*1.5,2)</f>
        <v>13.48</v>
      </c>
      <c r="I33" s="37"/>
    </row>
    <row r="34" customFormat="false" ht="26.25" hidden="false" customHeight="true" outlineLevel="0" collapsed="false">
      <c r="A34" s="34" t="n">
        <v>8</v>
      </c>
      <c r="B34" s="35" t="s">
        <v>44</v>
      </c>
      <c r="C34" s="35"/>
      <c r="D34" s="35"/>
      <c r="E34" s="35"/>
      <c r="F34" s="35"/>
      <c r="G34" s="35"/>
      <c r="H34" s="36" t="n">
        <f aca="false">ROUND(H32*0.2,2)</f>
        <v>1.8</v>
      </c>
      <c r="I34" s="36"/>
    </row>
    <row r="35" customFormat="false" ht="16.5" hidden="false" customHeight="true" outlineLevel="0" collapsed="false">
      <c r="A35" s="34" t="n">
        <v>9</v>
      </c>
      <c r="B35" s="35" t="s">
        <v>45</v>
      </c>
      <c r="C35" s="35"/>
      <c r="D35" s="35"/>
      <c r="E35" s="35"/>
      <c r="F35" s="35"/>
      <c r="G35" s="35"/>
      <c r="H35" s="36" t="n">
        <f aca="false">ROUND(H32/6,2)</f>
        <v>1.5</v>
      </c>
      <c r="I35" s="36"/>
    </row>
    <row r="36" customFormat="false" ht="15.75" hidden="false" customHeight="true" outlineLevel="0" collapsed="false">
      <c r="A36" s="34" t="n">
        <v>10</v>
      </c>
      <c r="B36" s="39" t="s">
        <v>46</v>
      </c>
      <c r="C36" s="39"/>
      <c r="D36" s="39"/>
      <c r="E36" s="39"/>
      <c r="F36" s="39"/>
      <c r="G36" s="39"/>
      <c r="H36" s="40" t="n">
        <v>2</v>
      </c>
      <c r="I36" s="40"/>
    </row>
    <row r="37" customFormat="false" ht="9" hidden="false" customHeight="true" outlineLevel="0" collapsed="false">
      <c r="A37" s="25"/>
      <c r="B37" s="25"/>
      <c r="C37" s="25"/>
      <c r="D37" s="25"/>
      <c r="E37" s="25"/>
      <c r="F37" s="25"/>
      <c r="G37" s="25"/>
      <c r="H37" s="25"/>
      <c r="I37" s="2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customFormat="false" ht="21.75" hidden="false" customHeight="true" outlineLevel="0" collapsed="false">
      <c r="A38" s="21" t="s">
        <v>47</v>
      </c>
      <c r="B38" s="21"/>
      <c r="C38" s="21"/>
      <c r="D38" s="21"/>
      <c r="E38" s="21"/>
      <c r="F38" s="21"/>
      <c r="G38" s="21"/>
      <c r="H38" s="21"/>
      <c r="I38" s="2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customFormat="false" ht="9" hidden="false" customHeight="true" outlineLevel="0" collapsed="false">
      <c r="A39" s="41"/>
      <c r="B39" s="41"/>
      <c r="C39" s="41"/>
      <c r="D39" s="41"/>
      <c r="E39" s="41"/>
      <c r="F39" s="41"/>
      <c r="G39" s="41"/>
      <c r="H39" s="41"/>
      <c r="I39" s="4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customFormat="false" ht="20.25" hidden="false" customHeight="true" outlineLevel="0" collapsed="false">
      <c r="A40" s="42" t="s">
        <v>48</v>
      </c>
      <c r="B40" s="42"/>
      <c r="C40" s="42"/>
      <c r="D40" s="42"/>
      <c r="E40" s="42"/>
      <c r="F40" s="42"/>
      <c r="G40" s="42"/>
      <c r="H40" s="42"/>
      <c r="I40" s="4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customFormat="false" ht="30" hidden="false" customHeight="true" outlineLevel="0" collapsed="false">
      <c r="A41" s="43" t="n">
        <v>1</v>
      </c>
      <c r="B41" s="44" t="s">
        <v>49</v>
      </c>
      <c r="C41" s="44"/>
      <c r="D41" s="44"/>
      <c r="E41" s="44"/>
      <c r="F41" s="44"/>
      <c r="G41" s="44"/>
      <c r="H41" s="45" t="s">
        <v>50</v>
      </c>
      <c r="I41" s="43" t="s">
        <v>51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customFormat="false" ht="19.5" hidden="false" customHeight="true" outlineLevel="0" collapsed="false">
      <c r="A42" s="8" t="s">
        <v>7</v>
      </c>
      <c r="B42" s="5" t="s">
        <v>52</v>
      </c>
      <c r="C42" s="5"/>
      <c r="D42" s="5"/>
      <c r="E42" s="5"/>
      <c r="F42" s="5"/>
      <c r="G42" s="5"/>
      <c r="H42" s="5"/>
      <c r="I42" s="47" t="n">
        <f aca="false">H29*2</f>
        <v>3236.4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customFormat="false" ht="38.25" hidden="false" customHeight="true" outlineLevel="0" collapsed="false">
      <c r="A43" s="8" t="s">
        <v>9</v>
      </c>
      <c r="B43" s="5" t="s">
        <v>208</v>
      </c>
      <c r="C43" s="5"/>
      <c r="D43" s="5"/>
      <c r="E43" s="5"/>
      <c r="F43" s="5"/>
      <c r="G43" s="5"/>
      <c r="H43" s="5"/>
      <c r="I43" s="47" t="n">
        <f aca="false">ROUND(2*8*15*H34,2)</f>
        <v>432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customFormat="false" ht="51" hidden="false" customHeight="true" outlineLevel="0" collapsed="false">
      <c r="A44" s="8" t="s">
        <v>12</v>
      </c>
      <c r="B44" s="5" t="s">
        <v>209</v>
      </c>
      <c r="C44" s="5"/>
      <c r="D44" s="5"/>
      <c r="E44" s="5"/>
      <c r="F44" s="5"/>
      <c r="G44" s="5"/>
      <c r="H44" s="5"/>
      <c r="I44" s="47" t="n">
        <f aca="false">ROUND(H36*(((12*15)+15)-((44/6)*26))*H33,2)*0+ROUND(2*4.33*H33,2)</f>
        <v>116.74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customFormat="false" ht="47.25" hidden="false" customHeight="true" outlineLevel="0" collapsed="false">
      <c r="A45" s="8" t="s">
        <v>15</v>
      </c>
      <c r="B45" s="5" t="s">
        <v>210</v>
      </c>
      <c r="C45" s="5"/>
      <c r="D45" s="5"/>
      <c r="E45" s="5"/>
      <c r="F45" s="5"/>
      <c r="G45" s="5"/>
      <c r="H45" s="5"/>
      <c r="I45" s="174" t="s">
        <v>54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customFormat="false" ht="39" hidden="false" customHeight="true" outlineLevel="0" collapsed="false">
      <c r="A46" s="8" t="s">
        <v>57</v>
      </c>
      <c r="B46" s="5" t="s">
        <v>211</v>
      </c>
      <c r="C46" s="5"/>
      <c r="D46" s="5"/>
      <c r="E46" s="5"/>
      <c r="F46" s="5"/>
      <c r="G46" s="5"/>
      <c r="H46" s="5"/>
      <c r="I46" s="47" t="n">
        <f aca="false">ROUND(SUM(I43:I45)*0.3,2)</f>
        <v>164.62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customFormat="false" ht="24.75" hidden="false" customHeight="true" outlineLevel="0" collapsed="false">
      <c r="A47" s="8" t="s">
        <v>60</v>
      </c>
      <c r="B47" s="5" t="s">
        <v>56</v>
      </c>
      <c r="C47" s="5"/>
      <c r="D47" s="5"/>
      <c r="E47" s="5"/>
      <c r="F47" s="5"/>
      <c r="G47" s="5"/>
      <c r="H47" s="49" t="n">
        <v>0.3</v>
      </c>
      <c r="I47" s="47" t="n">
        <f aca="false">ROUND(H47*SUM(I42:I46),2)</f>
        <v>1184.93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customFormat="false" ht="18.75" hidden="false" customHeight="true" outlineLevel="0" collapsed="false">
      <c r="A48" s="8" t="s">
        <v>87</v>
      </c>
      <c r="B48" s="5" t="s">
        <v>58</v>
      </c>
      <c r="C48" s="5"/>
      <c r="D48" s="5"/>
      <c r="E48" s="5"/>
      <c r="F48" s="5"/>
      <c r="G48" s="5"/>
      <c r="H48" s="5"/>
      <c r="I48" s="50" t="s">
        <v>23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customFormat="false" ht="27.75" hidden="false" customHeight="true" outlineLevel="0" collapsed="false">
      <c r="A49" s="7" t="s">
        <v>212</v>
      </c>
      <c r="B49" s="7"/>
      <c r="C49" s="7"/>
      <c r="D49" s="7"/>
      <c r="E49" s="7"/>
      <c r="F49" s="7"/>
      <c r="G49" s="7"/>
      <c r="H49" s="7"/>
      <c r="I49" s="58" t="n">
        <f aca="false">SUM(I42:I48)</f>
        <v>5134.69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customFormat="false" ht="9.75" hidden="false" customHeight="true" outlineLevel="0" collapsed="false">
      <c r="A50" s="54"/>
      <c r="B50" s="54"/>
      <c r="C50" s="54"/>
      <c r="D50" s="54"/>
      <c r="E50" s="54"/>
      <c r="F50" s="54"/>
      <c r="G50" s="54"/>
      <c r="H50" s="54"/>
      <c r="I50" s="5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customFormat="false" ht="29.25" hidden="false" customHeight="true" outlineLevel="0" collapsed="false">
      <c r="A51" s="8" t="s">
        <v>89</v>
      </c>
      <c r="B51" s="5" t="s">
        <v>61</v>
      </c>
      <c r="C51" s="5"/>
      <c r="D51" s="5"/>
      <c r="E51" s="5"/>
      <c r="F51" s="5"/>
      <c r="G51" s="5"/>
      <c r="H51" s="5"/>
      <c r="I51" s="47" t="n">
        <f aca="false">ROUND(H33*15*H36*0.5,2)</f>
        <v>202.2</v>
      </c>
      <c r="J51" s="1"/>
      <c r="K51" s="1"/>
      <c r="L51" s="5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customFormat="false" ht="39" hidden="false" customHeight="true" outlineLevel="0" collapsed="false">
      <c r="A52" s="7" t="s">
        <v>213</v>
      </c>
      <c r="B52" s="7"/>
      <c r="C52" s="7"/>
      <c r="D52" s="7"/>
      <c r="E52" s="7"/>
      <c r="F52" s="7"/>
      <c r="G52" s="7"/>
      <c r="H52" s="7"/>
      <c r="I52" s="58" t="n">
        <f aca="false">I51</f>
        <v>202.2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customFormat="false" ht="15.75" hidden="false" customHeight="true" outlineLevel="0" collapsed="false">
      <c r="A53" s="20"/>
      <c r="B53" s="20"/>
      <c r="C53" s="20"/>
      <c r="D53" s="20"/>
      <c r="E53" s="20"/>
      <c r="F53" s="20"/>
      <c r="G53" s="20"/>
      <c r="H53" s="20"/>
      <c r="I53" s="2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customFormat="false" ht="45" hidden="false" customHeight="true" outlineLevel="0" collapsed="false">
      <c r="A54" s="59" t="s">
        <v>214</v>
      </c>
      <c r="B54" s="59"/>
      <c r="C54" s="59"/>
      <c r="D54" s="59"/>
      <c r="E54" s="59"/>
      <c r="F54" s="59"/>
      <c r="G54" s="59"/>
      <c r="H54" s="59"/>
      <c r="I54" s="60" t="n">
        <f aca="false">I49+I52</f>
        <v>5336.89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customFormat="false" ht="9" hidden="false" customHeight="true" outlineLevel="0" collapsed="false">
      <c r="A55" s="54"/>
      <c r="B55" s="54"/>
      <c r="C55" s="54"/>
      <c r="D55" s="54"/>
      <c r="E55" s="54"/>
      <c r="F55" s="54"/>
      <c r="G55" s="54"/>
      <c r="H55" s="54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customFormat="false" ht="17.25" hidden="false" customHeight="true" outlineLevel="0" collapsed="false">
      <c r="A56" s="61" t="s">
        <v>64</v>
      </c>
      <c r="B56" s="61"/>
      <c r="C56" s="61"/>
      <c r="D56" s="61"/>
      <c r="E56" s="61"/>
      <c r="F56" s="61"/>
      <c r="G56" s="61"/>
      <c r="H56" s="61"/>
      <c r="I56" s="6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customFormat="false" ht="8.25" hidden="false" customHeight="true" outlineLevel="0" collapsed="false">
      <c r="A57" s="54"/>
      <c r="B57" s="54"/>
      <c r="C57" s="54"/>
      <c r="D57" s="54"/>
      <c r="E57" s="54"/>
      <c r="F57" s="54"/>
      <c r="G57" s="54"/>
      <c r="H57" s="54"/>
      <c r="I57" s="5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customFormat="false" ht="27" hidden="false" customHeight="true" outlineLevel="0" collapsed="false">
      <c r="A58" s="62" t="s">
        <v>65</v>
      </c>
      <c r="B58" s="62"/>
      <c r="C58" s="62"/>
      <c r="D58" s="62"/>
      <c r="E58" s="62"/>
      <c r="F58" s="62"/>
      <c r="G58" s="62"/>
      <c r="H58" s="62"/>
      <c r="I58" s="6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customFormat="false" ht="27" hidden="false" customHeight="true" outlineLevel="0" collapsed="false">
      <c r="A59" s="63" t="s">
        <v>215</v>
      </c>
      <c r="B59" s="63"/>
      <c r="C59" s="63"/>
      <c r="D59" s="63"/>
      <c r="E59" s="63"/>
      <c r="F59" s="63"/>
      <c r="G59" s="63"/>
      <c r="H59" s="63"/>
      <c r="I59" s="6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customFormat="false" ht="22.5" hidden="false" customHeight="true" outlineLevel="0" collapsed="false">
      <c r="A60" s="64" t="s">
        <v>67</v>
      </c>
      <c r="B60" s="64" t="s">
        <v>216</v>
      </c>
      <c r="C60" s="64"/>
      <c r="D60" s="64"/>
      <c r="E60" s="64"/>
      <c r="F60" s="64"/>
      <c r="G60" s="64"/>
      <c r="H60" s="64"/>
      <c r="I60" s="12" t="s">
        <v>69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customFormat="false" ht="27" hidden="false" customHeight="true" outlineLevel="0" collapsed="false">
      <c r="A61" s="64" t="s">
        <v>7</v>
      </c>
      <c r="B61" s="5" t="s">
        <v>217</v>
      </c>
      <c r="C61" s="5"/>
      <c r="D61" s="5"/>
      <c r="E61" s="5"/>
      <c r="F61" s="5"/>
      <c r="G61" s="5"/>
      <c r="H61" s="175" t="n">
        <v>0.0833</v>
      </c>
      <c r="I61" s="176" t="n">
        <f aca="false">ROUND(I49*H61,2)</f>
        <v>427.72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customFormat="false" ht="111" hidden="false" customHeight="true" outlineLevel="0" collapsed="false">
      <c r="A62" s="64" t="s">
        <v>9</v>
      </c>
      <c r="B62" s="177" t="s">
        <v>218</v>
      </c>
      <c r="C62" s="177"/>
      <c r="D62" s="177"/>
      <c r="E62" s="177"/>
      <c r="F62" s="177"/>
      <c r="G62" s="177"/>
      <c r="H62" s="178" t="n">
        <v>0.03025</v>
      </c>
      <c r="I62" s="176" t="n">
        <f aca="false">ROUND(I49*H62,2)</f>
        <v>155.32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customFormat="false" ht="15.75" hidden="false" customHeight="true" outlineLevel="0" collapsed="false">
      <c r="A63" s="69" t="s">
        <v>72</v>
      </c>
      <c r="B63" s="69"/>
      <c r="C63" s="69"/>
      <c r="D63" s="69"/>
      <c r="E63" s="69"/>
      <c r="F63" s="69"/>
      <c r="G63" s="69"/>
      <c r="H63" s="69"/>
      <c r="I63" s="70" t="n">
        <f aca="false">SUM(I61+I62)</f>
        <v>583.04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customFormat="false" ht="22.5" hidden="false" customHeight="true" outlineLevel="0" collapsed="false">
      <c r="A64" s="179" t="s">
        <v>73</v>
      </c>
      <c r="B64" s="179"/>
      <c r="C64" s="179"/>
      <c r="D64" s="179"/>
      <c r="E64" s="179"/>
      <c r="F64" s="179"/>
      <c r="G64" s="179"/>
      <c r="H64" s="179"/>
      <c r="I64" s="17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customFormat="false" ht="113.25" hidden="false" customHeight="true" outlineLevel="0" collapsed="false">
      <c r="A65" s="21" t="s">
        <v>219</v>
      </c>
      <c r="B65" s="21"/>
      <c r="C65" s="21"/>
      <c r="D65" s="21"/>
      <c r="E65" s="21"/>
      <c r="F65" s="21"/>
      <c r="G65" s="21"/>
      <c r="H65" s="21"/>
      <c r="I65" s="2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customFormat="false" ht="7.5" hidden="false" customHeight="true" outlineLevel="0" collapsed="false">
      <c r="A66" s="180"/>
      <c r="B66" s="180"/>
      <c r="C66" s="180"/>
      <c r="D66" s="180"/>
      <c r="E66" s="180"/>
      <c r="F66" s="180"/>
      <c r="G66" s="180"/>
      <c r="H66" s="180"/>
      <c r="I66" s="180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customFormat="false" ht="32.25" hidden="false" customHeight="true" outlineLevel="0" collapsed="false">
      <c r="A67" s="73" t="s">
        <v>220</v>
      </c>
      <c r="B67" s="73"/>
      <c r="C67" s="73"/>
      <c r="D67" s="73"/>
      <c r="E67" s="73"/>
      <c r="F67" s="73"/>
      <c r="G67" s="73"/>
      <c r="H67" s="73"/>
      <c r="I67" s="7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customFormat="false" ht="27" hidden="false" customHeight="true" outlineLevel="0" collapsed="false">
      <c r="A68" s="74" t="s">
        <v>76</v>
      </c>
      <c r="B68" s="44" t="s">
        <v>77</v>
      </c>
      <c r="C68" s="44"/>
      <c r="D68" s="44"/>
      <c r="E68" s="44"/>
      <c r="F68" s="44"/>
      <c r="G68" s="44"/>
      <c r="H68" s="14" t="s">
        <v>50</v>
      </c>
      <c r="I68" s="44" t="s">
        <v>78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customFormat="false" ht="18.75" hidden="false" customHeight="true" outlineLevel="0" collapsed="false">
      <c r="A69" s="75" t="s">
        <v>7</v>
      </c>
      <c r="B69" s="5" t="s">
        <v>79</v>
      </c>
      <c r="C69" s="5"/>
      <c r="D69" s="5"/>
      <c r="E69" s="5"/>
      <c r="F69" s="5"/>
      <c r="G69" s="5"/>
      <c r="H69" s="76" t="n">
        <v>0.2</v>
      </c>
      <c r="I69" s="48" t="n">
        <f aca="false">ROUND(($I$49+$I$63+$I$52)*H69,2)</f>
        <v>1183.99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customFormat="false" ht="18.75" hidden="false" customHeight="true" outlineLevel="0" collapsed="false">
      <c r="A70" s="75" t="s">
        <v>9</v>
      </c>
      <c r="B70" s="5" t="s">
        <v>80</v>
      </c>
      <c r="C70" s="5"/>
      <c r="D70" s="5"/>
      <c r="E70" s="5"/>
      <c r="F70" s="5"/>
      <c r="G70" s="5"/>
      <c r="H70" s="76" t="n">
        <v>0.025</v>
      </c>
      <c r="I70" s="48" t="n">
        <f aca="false">ROUND(($I$49+$I$63+$I$52)*H70,2)</f>
        <v>148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customFormat="false" ht="56.25" hidden="false" customHeight="true" outlineLevel="0" collapsed="false">
      <c r="A71" s="75" t="s">
        <v>12</v>
      </c>
      <c r="B71" s="73" t="s">
        <v>221</v>
      </c>
      <c r="C71" s="73"/>
      <c r="D71" s="77" t="s">
        <v>82</v>
      </c>
      <c r="E71" s="78" t="n">
        <v>0.03</v>
      </c>
      <c r="F71" s="77" t="s">
        <v>83</v>
      </c>
      <c r="G71" s="79" t="n">
        <v>1</v>
      </c>
      <c r="H71" s="80" t="n">
        <f aca="false">ROUND((E71*G71),6)</f>
        <v>0.03</v>
      </c>
      <c r="I71" s="48" t="n">
        <f aca="false">ROUND(($I$49+$I$63+$I$52)*H71,2)</f>
        <v>177.6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customFormat="false" ht="15.75" hidden="false" customHeight="true" outlineLevel="0" collapsed="false">
      <c r="A72" s="75" t="s">
        <v>15</v>
      </c>
      <c r="B72" s="5" t="s">
        <v>84</v>
      </c>
      <c r="C72" s="5"/>
      <c r="D72" s="5"/>
      <c r="E72" s="5"/>
      <c r="F72" s="5"/>
      <c r="G72" s="5"/>
      <c r="H72" s="76" t="n">
        <v>0.015</v>
      </c>
      <c r="I72" s="48" t="n">
        <f aca="false">ROUND(($I$49+$I$63+$I$52)*H72,2)</f>
        <v>88.8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customFormat="false" ht="15.75" hidden="false" customHeight="true" outlineLevel="0" collapsed="false">
      <c r="A73" s="75" t="s">
        <v>57</v>
      </c>
      <c r="B73" s="5" t="s">
        <v>85</v>
      </c>
      <c r="C73" s="5"/>
      <c r="D73" s="5"/>
      <c r="E73" s="5"/>
      <c r="F73" s="5"/>
      <c r="G73" s="5"/>
      <c r="H73" s="76" t="n">
        <v>0.01</v>
      </c>
      <c r="I73" s="48" t="n">
        <f aca="false">ROUND(($I$49+$I$63+$I$52)*H73,2)</f>
        <v>59.2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customFormat="false" ht="15.75" hidden="false" customHeight="true" outlineLevel="0" collapsed="false">
      <c r="A74" s="75" t="s">
        <v>60</v>
      </c>
      <c r="B74" s="5" t="s">
        <v>86</v>
      </c>
      <c r="C74" s="5"/>
      <c r="D74" s="5"/>
      <c r="E74" s="5"/>
      <c r="F74" s="5"/>
      <c r="G74" s="5"/>
      <c r="H74" s="76" t="n">
        <v>0.006</v>
      </c>
      <c r="I74" s="48" t="n">
        <f aca="false">ROUND(($I$49+$I$63+$I$52)*H74,2)</f>
        <v>35.52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customFormat="false" ht="15.75" hidden="false" customHeight="true" outlineLevel="0" collapsed="false">
      <c r="A75" s="75" t="s">
        <v>87</v>
      </c>
      <c r="B75" s="5" t="s">
        <v>88</v>
      </c>
      <c r="C75" s="5"/>
      <c r="D75" s="5"/>
      <c r="E75" s="5"/>
      <c r="F75" s="5"/>
      <c r="G75" s="5"/>
      <c r="H75" s="76" t="n">
        <v>0.002</v>
      </c>
      <c r="I75" s="48" t="n">
        <f aca="false">ROUND(($I$49+$I$63+$I$52)*H75,2)</f>
        <v>11.84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customFormat="false" ht="15.75" hidden="false" customHeight="true" outlineLevel="0" collapsed="false">
      <c r="A76" s="75" t="s">
        <v>89</v>
      </c>
      <c r="B76" s="5" t="s">
        <v>90</v>
      </c>
      <c r="C76" s="5"/>
      <c r="D76" s="5"/>
      <c r="E76" s="5"/>
      <c r="F76" s="5"/>
      <c r="G76" s="5"/>
      <c r="H76" s="76" t="n">
        <v>0.08</v>
      </c>
      <c r="I76" s="48" t="n">
        <f aca="false">ROUND(($I$49+$I$63+$I$52)*H76,2)</f>
        <v>473.59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customFormat="false" ht="15.75" hidden="false" customHeight="true" outlineLevel="0" collapsed="false">
      <c r="A77" s="69" t="s">
        <v>72</v>
      </c>
      <c r="B77" s="69"/>
      <c r="C77" s="69"/>
      <c r="D77" s="69"/>
      <c r="E77" s="69"/>
      <c r="F77" s="69"/>
      <c r="G77" s="69"/>
      <c r="H77" s="81" t="n">
        <f aca="false">SUM(H69:H76)</f>
        <v>0.368</v>
      </c>
      <c r="I77" s="70" t="n">
        <f aca="false">SUM(I69:I76)</f>
        <v>2178.54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customFormat="false" ht="8.25" hidden="false" customHeight="true" outlineLevel="0" collapsed="false">
      <c r="A78" s="82"/>
      <c r="B78" s="83"/>
      <c r="C78" s="83"/>
      <c r="D78" s="83"/>
      <c r="E78" s="83"/>
      <c r="F78" s="83"/>
      <c r="G78" s="83"/>
      <c r="H78" s="84"/>
      <c r="I78" s="8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customFormat="false" ht="35.25" hidden="false" customHeight="true" outlineLevel="0" collapsed="false">
      <c r="A79" s="21" t="s">
        <v>91</v>
      </c>
      <c r="B79" s="21"/>
      <c r="C79" s="21"/>
      <c r="D79" s="21"/>
      <c r="E79" s="21"/>
      <c r="F79" s="21"/>
      <c r="G79" s="21"/>
      <c r="H79" s="21"/>
      <c r="I79" s="2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customFormat="false" ht="9.75" hidden="false" customHeight="true" outlineLevel="0" collapsed="false">
      <c r="A80" s="25"/>
      <c r="B80" s="25"/>
      <c r="C80" s="25"/>
      <c r="D80" s="25"/>
      <c r="E80" s="25"/>
      <c r="F80" s="25"/>
      <c r="G80" s="25"/>
      <c r="H80" s="25"/>
      <c r="I80" s="2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customFormat="false" ht="20.25" hidden="false" customHeight="true" outlineLevel="0" collapsed="false">
      <c r="A81" s="86" t="s">
        <v>92</v>
      </c>
      <c r="B81" s="86"/>
      <c r="C81" s="86"/>
      <c r="D81" s="86"/>
      <c r="E81" s="86"/>
      <c r="F81" s="86"/>
      <c r="G81" s="86"/>
      <c r="H81" s="86"/>
      <c r="I81" s="8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customFormat="false" ht="27" hidden="false" customHeight="true" outlineLevel="0" collapsed="false">
      <c r="A82" s="87" t="s">
        <v>93</v>
      </c>
      <c r="B82" s="44" t="s">
        <v>94</v>
      </c>
      <c r="C82" s="44"/>
      <c r="D82" s="44"/>
      <c r="E82" s="44"/>
      <c r="F82" s="44"/>
      <c r="G82" s="44"/>
      <c r="H82" s="44"/>
      <c r="I82" s="44" t="s">
        <v>69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customFormat="false" ht="23.25" hidden="false" customHeight="true" outlineLevel="0" collapsed="false">
      <c r="A83" s="65" t="s">
        <v>7</v>
      </c>
      <c r="B83" s="88" t="s">
        <v>95</v>
      </c>
      <c r="C83" s="88"/>
      <c r="D83" s="88"/>
      <c r="E83" s="88"/>
      <c r="F83" s="88"/>
      <c r="G83" s="88"/>
      <c r="H83" s="88"/>
      <c r="I83" s="48" t="n">
        <f aca="false">IF(ROUND((H84*H86*H85)-(I42*H87),2)&lt;0,0,ROUND((H84*H86*H85)-(I42*H87),2))</f>
        <v>171.82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customFormat="false" ht="33.75" hidden="false" customHeight="true" outlineLevel="0" collapsed="false">
      <c r="A84" s="65"/>
      <c r="B84" s="88" t="s">
        <v>96</v>
      </c>
      <c r="C84" s="88"/>
      <c r="D84" s="88"/>
      <c r="E84" s="88"/>
      <c r="F84" s="88"/>
      <c r="G84" s="88"/>
      <c r="H84" s="89" t="n">
        <v>6.1</v>
      </c>
      <c r="I84" s="50" t="s">
        <v>23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customFormat="false" ht="19.5" hidden="false" customHeight="true" outlineLevel="0" collapsed="false">
      <c r="A85" s="65"/>
      <c r="B85" s="5" t="s">
        <v>97</v>
      </c>
      <c r="C85" s="5"/>
      <c r="D85" s="5"/>
      <c r="E85" s="5"/>
      <c r="F85" s="5"/>
      <c r="G85" s="5"/>
      <c r="H85" s="90" t="n">
        <v>2</v>
      </c>
      <c r="I85" s="50" t="s">
        <v>23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customFormat="false" ht="19.5" hidden="false" customHeight="true" outlineLevel="0" collapsed="false">
      <c r="A86" s="65"/>
      <c r="B86" s="35" t="s">
        <v>98</v>
      </c>
      <c r="C86" s="35"/>
      <c r="D86" s="35"/>
      <c r="E86" s="35"/>
      <c r="F86" s="35"/>
      <c r="G86" s="35"/>
      <c r="H86" s="91" t="n">
        <v>30</v>
      </c>
      <c r="I86" s="50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customFormat="false" ht="25.5" hidden="false" customHeight="true" outlineLevel="0" collapsed="false">
      <c r="A87" s="65"/>
      <c r="B87" s="35" t="s">
        <v>222</v>
      </c>
      <c r="C87" s="35"/>
      <c r="D87" s="35"/>
      <c r="E87" s="35"/>
      <c r="F87" s="35"/>
      <c r="G87" s="35"/>
      <c r="H87" s="92" t="n">
        <v>0.06</v>
      </c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customFormat="false" ht="14.25" hidden="false" customHeight="true" outlineLevel="0" collapsed="false">
      <c r="A88" s="65" t="s">
        <v>9</v>
      </c>
      <c r="B88" s="88" t="s">
        <v>100</v>
      </c>
      <c r="C88" s="88"/>
      <c r="D88" s="88"/>
      <c r="E88" s="88"/>
      <c r="F88" s="88"/>
      <c r="G88" s="88"/>
      <c r="H88" s="88"/>
      <c r="I88" s="48" t="n">
        <f aca="false">ROUND(H90*H89*(1-H91),2)*1+ROUND(21.726*6*(1-H91),2)*0</f>
        <v>744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customFormat="false" ht="15.75" hidden="false" customHeight="true" outlineLevel="0" collapsed="false">
      <c r="A89" s="65"/>
      <c r="B89" s="88" t="s">
        <v>101</v>
      </c>
      <c r="C89" s="88"/>
      <c r="D89" s="88"/>
      <c r="E89" s="88"/>
      <c r="F89" s="88"/>
      <c r="G89" s="88"/>
      <c r="H89" s="89" t="n">
        <v>31</v>
      </c>
      <c r="I89" s="50" t="s">
        <v>23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customFormat="false" ht="15.75" hidden="false" customHeight="true" outlineLevel="0" collapsed="false">
      <c r="A90" s="65"/>
      <c r="B90" s="88" t="s">
        <v>102</v>
      </c>
      <c r="C90" s="88"/>
      <c r="D90" s="88"/>
      <c r="E90" s="88"/>
      <c r="F90" s="88"/>
      <c r="G90" s="88"/>
      <c r="H90" s="91" t="n">
        <v>30</v>
      </c>
      <c r="I90" s="5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customFormat="false" ht="22.5" hidden="false" customHeight="true" outlineLevel="0" collapsed="false">
      <c r="A91" s="65"/>
      <c r="B91" s="181" t="s">
        <v>223</v>
      </c>
      <c r="C91" s="181"/>
      <c r="D91" s="181"/>
      <c r="E91" s="181"/>
      <c r="F91" s="181"/>
      <c r="G91" s="181"/>
      <c r="H91" s="92" t="n">
        <v>0.2</v>
      </c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customFormat="false" ht="15.75" hidden="false" customHeight="true" outlineLevel="0" collapsed="false">
      <c r="A92" s="65" t="s">
        <v>12</v>
      </c>
      <c r="B92" s="88" t="s">
        <v>104</v>
      </c>
      <c r="C92" s="88"/>
      <c r="D92" s="88"/>
      <c r="E92" s="88"/>
      <c r="F92" s="88"/>
      <c r="G92" s="88"/>
      <c r="H92" s="88"/>
      <c r="I92" s="48" t="n"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customFormat="false" ht="34.5" hidden="false" customHeight="true" outlineLevel="0" collapsed="false">
      <c r="A93" s="65" t="s">
        <v>15</v>
      </c>
      <c r="B93" s="88" t="s">
        <v>105</v>
      </c>
      <c r="C93" s="88"/>
      <c r="D93" s="88"/>
      <c r="E93" s="88"/>
      <c r="F93" s="88"/>
      <c r="G93" s="88"/>
      <c r="H93" s="88"/>
      <c r="I93" s="48" t="n">
        <f aca="false">ROUND(I49*30*0.00023,2)</f>
        <v>35.43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customFormat="false" ht="31.5" hidden="false" customHeight="true" outlineLevel="0" collapsed="false">
      <c r="A94" s="65" t="s">
        <v>57</v>
      </c>
      <c r="B94" s="5" t="s">
        <v>106</v>
      </c>
      <c r="C94" s="5"/>
      <c r="D94" s="5"/>
      <c r="E94" s="5"/>
      <c r="F94" s="5"/>
      <c r="G94" s="5"/>
      <c r="H94" s="5"/>
      <c r="I94" s="48" t="n">
        <f aca="false">ROUND((6386*0.0052066)/12,2)</f>
        <v>2.77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customFormat="false" ht="15.75" hidden="false" customHeight="true" outlineLevel="0" collapsed="false">
      <c r="A95" s="65" t="s">
        <v>60</v>
      </c>
      <c r="B95" s="93" t="s">
        <v>107</v>
      </c>
      <c r="C95" s="93"/>
      <c r="D95" s="93"/>
      <c r="E95" s="93"/>
      <c r="F95" s="93"/>
      <c r="G95" s="93"/>
      <c r="H95" s="93"/>
      <c r="I95" s="94" t="n"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customFormat="false" ht="18" hidden="false" customHeight="true" outlineLevel="0" collapsed="false">
      <c r="A96" s="95"/>
      <c r="B96" s="96" t="s">
        <v>72</v>
      </c>
      <c r="C96" s="96"/>
      <c r="D96" s="96"/>
      <c r="E96" s="96"/>
      <c r="F96" s="96"/>
      <c r="G96" s="96"/>
      <c r="H96" s="96"/>
      <c r="I96" s="70" t="n">
        <f aca="false">SUM(I83:I95)</f>
        <v>954.02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customFormat="false" ht="9" hidden="false" customHeight="true" outlineLevel="0" collapsed="false">
      <c r="A97" s="25"/>
      <c r="B97" s="25"/>
      <c r="C97" s="25"/>
      <c r="D97" s="25"/>
      <c r="E97" s="25"/>
      <c r="F97" s="25"/>
      <c r="G97" s="25"/>
      <c r="H97" s="25"/>
      <c r="I97" s="2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customFormat="false" ht="32.25" hidden="false" customHeight="true" outlineLevel="0" collapsed="false">
      <c r="A98" s="21" t="s">
        <v>108</v>
      </c>
      <c r="B98" s="21"/>
      <c r="C98" s="21"/>
      <c r="D98" s="21"/>
      <c r="E98" s="21"/>
      <c r="F98" s="21"/>
      <c r="G98" s="21"/>
      <c r="H98" s="21"/>
      <c r="I98" s="2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customFormat="false" ht="8.25" hidden="false" customHeight="true" outlineLevel="0" collapsed="false">
      <c r="A99" s="20"/>
      <c r="B99" s="20"/>
      <c r="C99" s="20"/>
      <c r="D99" s="20"/>
      <c r="E99" s="20"/>
      <c r="F99" s="20"/>
      <c r="G99" s="20"/>
      <c r="H99" s="20"/>
      <c r="I99" s="2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customFormat="false" ht="17.25" hidden="false" customHeight="true" outlineLevel="0" collapsed="false">
      <c r="A100" s="97" t="s">
        <v>109</v>
      </c>
      <c r="B100" s="97"/>
      <c r="C100" s="97"/>
      <c r="D100" s="97"/>
      <c r="E100" s="97"/>
      <c r="F100" s="97"/>
      <c r="G100" s="97"/>
      <c r="H100" s="97"/>
      <c r="I100" s="9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customFormat="false" ht="15.75" hidden="false" customHeight="true" outlineLevel="0" collapsed="false">
      <c r="A101" s="44" t="n">
        <v>2</v>
      </c>
      <c r="B101" s="44" t="s">
        <v>110</v>
      </c>
      <c r="C101" s="44"/>
      <c r="D101" s="44"/>
      <c r="E101" s="44"/>
      <c r="F101" s="44"/>
      <c r="G101" s="44"/>
      <c r="H101" s="44"/>
      <c r="I101" s="44" t="s">
        <v>69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customFormat="false" ht="14.25" hidden="false" customHeight="true" outlineLevel="0" collapsed="false">
      <c r="A102" s="8" t="s">
        <v>67</v>
      </c>
      <c r="B102" s="5" t="s">
        <v>224</v>
      </c>
      <c r="C102" s="5"/>
      <c r="D102" s="5"/>
      <c r="E102" s="5"/>
      <c r="F102" s="5"/>
      <c r="G102" s="5"/>
      <c r="H102" s="5"/>
      <c r="I102" s="94" t="n">
        <f aca="false">I63</f>
        <v>583.04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customFormat="false" ht="14.25" hidden="false" customHeight="true" outlineLevel="0" collapsed="false">
      <c r="A103" s="8" t="s">
        <v>76</v>
      </c>
      <c r="B103" s="5" t="s">
        <v>77</v>
      </c>
      <c r="C103" s="5"/>
      <c r="D103" s="5"/>
      <c r="E103" s="5"/>
      <c r="F103" s="5"/>
      <c r="G103" s="5"/>
      <c r="H103" s="5"/>
      <c r="I103" s="94" t="n">
        <f aca="false">I77</f>
        <v>2178.54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customFormat="false" ht="14.25" hidden="false" customHeight="true" outlineLevel="0" collapsed="false">
      <c r="A104" s="8" t="s">
        <v>93</v>
      </c>
      <c r="B104" s="5" t="s">
        <v>94</v>
      </c>
      <c r="C104" s="5"/>
      <c r="D104" s="5"/>
      <c r="E104" s="5"/>
      <c r="F104" s="5"/>
      <c r="G104" s="5"/>
      <c r="H104" s="5"/>
      <c r="I104" s="94" t="n">
        <f aca="false">I96</f>
        <v>954.02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customFormat="false" ht="14.25" hidden="false" customHeight="true" outlineLevel="0" collapsed="false">
      <c r="A105" s="98" t="s">
        <v>72</v>
      </c>
      <c r="B105" s="98"/>
      <c r="C105" s="98"/>
      <c r="D105" s="98"/>
      <c r="E105" s="98"/>
      <c r="F105" s="98"/>
      <c r="G105" s="98"/>
      <c r="H105" s="98"/>
      <c r="I105" s="99" t="n">
        <f aca="false">SUM(I102+I103+I104)</f>
        <v>3715.6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customFormat="false" ht="8.25" hidden="false" customHeight="true" outlineLevel="0" collapsed="false">
      <c r="A106" s="100"/>
      <c r="B106" s="100"/>
      <c r="C106" s="100"/>
      <c r="D106" s="100"/>
      <c r="E106" s="100"/>
      <c r="F106" s="100"/>
      <c r="G106" s="100"/>
      <c r="H106" s="100"/>
      <c r="I106" s="10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customFormat="false" ht="20.25" hidden="false" customHeight="true" outlineLevel="0" collapsed="false">
      <c r="A107" s="62" t="s">
        <v>112</v>
      </c>
      <c r="B107" s="62"/>
      <c r="C107" s="62"/>
      <c r="D107" s="62"/>
      <c r="E107" s="62"/>
      <c r="F107" s="62"/>
      <c r="G107" s="62"/>
      <c r="H107" s="62"/>
      <c r="I107" s="6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customFormat="false" ht="12.75" hidden="false" customHeight="true" outlineLevel="0" collapsed="false">
      <c r="A108" s="87" t="n">
        <v>3</v>
      </c>
      <c r="B108" s="87" t="s">
        <v>113</v>
      </c>
      <c r="C108" s="87"/>
      <c r="D108" s="87"/>
      <c r="E108" s="87"/>
      <c r="F108" s="87"/>
      <c r="G108" s="87"/>
      <c r="H108" s="87"/>
      <c r="I108" s="87" t="s">
        <v>69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customFormat="false" ht="44.25" hidden="false" customHeight="true" outlineLevel="0" collapsed="false">
      <c r="A109" s="65" t="s">
        <v>7</v>
      </c>
      <c r="B109" s="5" t="s">
        <v>225</v>
      </c>
      <c r="C109" s="5"/>
      <c r="D109" s="5"/>
      <c r="E109" s="5"/>
      <c r="F109" s="5"/>
      <c r="G109" s="5"/>
      <c r="H109" s="5"/>
      <c r="I109" s="48" t="n">
        <f aca="false">ROUND(((I49/12)+($I$61/12)+(I49*0.121/12))*(30/30)*0.05,2)</f>
        <v>25.77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customFormat="false" ht="14.25" hidden="false" customHeight="true" outlineLevel="0" collapsed="false">
      <c r="A110" s="65" t="s">
        <v>9</v>
      </c>
      <c r="B110" s="101" t="s">
        <v>115</v>
      </c>
      <c r="C110" s="101"/>
      <c r="D110" s="101"/>
      <c r="E110" s="101"/>
      <c r="F110" s="101"/>
      <c r="G110" s="101"/>
      <c r="H110" s="101"/>
      <c r="I110" s="48" t="n">
        <f aca="false">ROUND($H$76*I109,2)</f>
        <v>2.06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customFormat="false" ht="51.75" hidden="false" customHeight="true" outlineLevel="0" collapsed="false">
      <c r="A111" s="65" t="s">
        <v>12</v>
      </c>
      <c r="B111" s="5" t="s">
        <v>226</v>
      </c>
      <c r="C111" s="5"/>
      <c r="D111" s="5"/>
      <c r="E111" s="5"/>
      <c r="F111" s="5"/>
      <c r="G111" s="5"/>
      <c r="H111" s="5"/>
      <c r="I111" s="48" t="n">
        <f aca="false">ROUND(((7/30)/$H$11)*I49*1,2)</f>
        <v>99.84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customFormat="false" ht="19.5" hidden="false" customHeight="true" outlineLevel="0" collapsed="false">
      <c r="A112" s="65" t="s">
        <v>15</v>
      </c>
      <c r="B112" s="101" t="s">
        <v>117</v>
      </c>
      <c r="C112" s="101"/>
      <c r="D112" s="101"/>
      <c r="E112" s="101"/>
      <c r="F112" s="101"/>
      <c r="G112" s="101"/>
      <c r="H112" s="101"/>
      <c r="I112" s="48" t="n">
        <f aca="false">ROUND($H$77*I111,2)</f>
        <v>36.74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customFormat="false" ht="36.75" hidden="false" customHeight="true" outlineLevel="0" collapsed="false">
      <c r="A113" s="65" t="s">
        <v>57</v>
      </c>
      <c r="B113" s="5" t="s">
        <v>227</v>
      </c>
      <c r="C113" s="5"/>
      <c r="D113" s="5"/>
      <c r="E113" s="5"/>
      <c r="F113" s="5"/>
      <c r="G113" s="5"/>
      <c r="H113" s="182" t="n">
        <v>0.04</v>
      </c>
      <c r="I113" s="48" t="n">
        <f aca="false">ROUND(I49*H113,2)</f>
        <v>205.39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customFormat="false" ht="15.75" hidden="false" customHeight="true" outlineLevel="0" collapsed="false">
      <c r="A114" s="69" t="s">
        <v>119</v>
      </c>
      <c r="B114" s="69"/>
      <c r="C114" s="69"/>
      <c r="D114" s="69"/>
      <c r="E114" s="69"/>
      <c r="F114" s="69"/>
      <c r="G114" s="69"/>
      <c r="H114" s="69"/>
      <c r="I114" s="70" t="n">
        <f aca="false">SUM(I109:I113)</f>
        <v>369.8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customFormat="false" ht="9" hidden="false" customHeight="true" outlineLevel="0" collapsed="false">
      <c r="A115" s="103"/>
      <c r="B115" s="103"/>
      <c r="C115" s="103"/>
      <c r="D115" s="103"/>
      <c r="E115" s="103"/>
      <c r="F115" s="103"/>
      <c r="G115" s="103"/>
      <c r="H115" s="103"/>
      <c r="I115" s="10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customFormat="false" ht="24" hidden="false" customHeight="true" outlineLevel="0" collapsed="false">
      <c r="A116" s="97" t="s">
        <v>120</v>
      </c>
      <c r="B116" s="97"/>
      <c r="C116" s="97"/>
      <c r="D116" s="97"/>
      <c r="E116" s="97"/>
      <c r="F116" s="97"/>
      <c r="G116" s="97"/>
      <c r="H116" s="97"/>
      <c r="I116" s="9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customFormat="false" ht="24.75" hidden="false" customHeight="true" outlineLevel="0" collapsed="false">
      <c r="A117" s="21" t="s">
        <v>121</v>
      </c>
      <c r="B117" s="21"/>
      <c r="C117" s="21"/>
      <c r="D117" s="21"/>
      <c r="E117" s="21"/>
      <c r="F117" s="21"/>
      <c r="G117" s="21"/>
      <c r="H117" s="21"/>
      <c r="I117" s="2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customFormat="false" ht="55.5" hidden="false" customHeight="true" outlineLevel="0" collapsed="false">
      <c r="A118" s="73" t="s">
        <v>228</v>
      </c>
      <c r="B118" s="73"/>
      <c r="C118" s="73"/>
      <c r="D118" s="73"/>
      <c r="E118" s="73"/>
      <c r="F118" s="73"/>
      <c r="G118" s="73"/>
      <c r="H118" s="73"/>
      <c r="I118" s="7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customFormat="false" ht="7.5" hidden="false" customHeight="true" outlineLevel="0" collapsed="false">
      <c r="A119" s="104"/>
      <c r="B119" s="104"/>
      <c r="C119" s="104"/>
      <c r="D119" s="104"/>
      <c r="E119" s="104"/>
      <c r="F119" s="104"/>
      <c r="G119" s="104"/>
      <c r="H119" s="104"/>
      <c r="I119" s="10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customFormat="false" ht="58.5" hidden="false" customHeight="true" outlineLevel="0" collapsed="false">
      <c r="A120" s="105" t="s">
        <v>123</v>
      </c>
      <c r="B120" s="106" t="n">
        <f aca="false">I49</f>
        <v>5134.69</v>
      </c>
      <c r="C120" s="183"/>
      <c r="D120" s="105" t="s">
        <v>229</v>
      </c>
      <c r="E120" s="106" t="n">
        <f aca="false">I105-I83-I88+I124</f>
        <v>3437.22696</v>
      </c>
      <c r="F120" s="184"/>
      <c r="G120" s="105" t="s">
        <v>126</v>
      </c>
      <c r="H120" s="106" t="n">
        <f aca="false">I114</f>
        <v>369.8</v>
      </c>
      <c r="I120" s="108" t="n">
        <f aca="false">B120+E120+H120</f>
        <v>8941.71696</v>
      </c>
      <c r="J120" s="51" t="n">
        <f aca="false">I120+I124</f>
        <v>9579.16392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customFormat="false" ht="7.5" hidden="false" customHeight="true" outlineLevel="0" collapsed="false">
      <c r="A121" s="72"/>
      <c r="B121" s="72"/>
      <c r="C121" s="72"/>
      <c r="D121" s="72"/>
      <c r="E121" s="72"/>
      <c r="F121" s="72"/>
      <c r="G121" s="72"/>
      <c r="H121" s="72"/>
      <c r="I121" s="7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customFormat="false" ht="24" hidden="false" customHeight="true" outlineLevel="0" collapsed="false">
      <c r="A122" s="73" t="s">
        <v>230</v>
      </c>
      <c r="B122" s="73"/>
      <c r="C122" s="73"/>
      <c r="D122" s="73"/>
      <c r="E122" s="73"/>
      <c r="F122" s="73"/>
      <c r="G122" s="73"/>
      <c r="H122" s="73"/>
      <c r="I122" s="7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customFormat="false" ht="24" hidden="false" customHeight="true" outlineLevel="0" collapsed="false">
      <c r="A123" s="109" t="s">
        <v>128</v>
      </c>
      <c r="B123" s="87" t="s">
        <v>129</v>
      </c>
      <c r="C123" s="87"/>
      <c r="D123" s="87"/>
      <c r="E123" s="87"/>
      <c r="F123" s="87"/>
      <c r="G123" s="87"/>
      <c r="H123" s="87"/>
      <c r="I123" s="109" t="s">
        <v>69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customFormat="false" ht="63.75" hidden="false" customHeight="true" outlineLevel="0" collapsed="false">
      <c r="A124" s="64" t="s">
        <v>7</v>
      </c>
      <c r="B124" s="88" t="s">
        <v>231</v>
      </c>
      <c r="C124" s="88"/>
      <c r="D124" s="88"/>
      <c r="E124" s="88"/>
      <c r="F124" s="88"/>
      <c r="G124" s="185" t="n">
        <v>0.09075</v>
      </c>
      <c r="H124" s="186" t="n">
        <f aca="false">H77</f>
        <v>0.368</v>
      </c>
      <c r="I124" s="48" t="n">
        <f aca="false">ROUND(G124*I49,2)*(1+H124)</f>
        <v>637.44696</v>
      </c>
      <c r="J124" s="5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customFormat="false" ht="30" hidden="false" customHeight="true" outlineLevel="0" collapsed="false">
      <c r="A125" s="65" t="s">
        <v>9</v>
      </c>
      <c r="B125" s="97" t="s">
        <v>131</v>
      </c>
      <c r="C125" s="97"/>
      <c r="D125" s="97"/>
      <c r="E125" s="97"/>
      <c r="F125" s="97"/>
      <c r="G125" s="97"/>
      <c r="H125" s="97"/>
      <c r="I125" s="48" t="n">
        <f aca="false">ROUND((1/30)/12*(I120),2)</f>
        <v>24.84</v>
      </c>
      <c r="J125" s="1"/>
      <c r="K125" s="5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customFormat="false" ht="31.5" hidden="false" customHeight="true" outlineLevel="0" collapsed="false">
      <c r="A126" s="65" t="s">
        <v>12</v>
      </c>
      <c r="B126" s="97" t="s">
        <v>132</v>
      </c>
      <c r="C126" s="97"/>
      <c r="D126" s="97"/>
      <c r="E126" s="97"/>
      <c r="F126" s="97"/>
      <c r="G126" s="97"/>
      <c r="H126" s="97"/>
      <c r="I126" s="48" t="n">
        <f aca="false">ROUND((5/30)/12*0.015*(I120),2)</f>
        <v>1.86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customFormat="false" ht="30.75" hidden="false" customHeight="true" outlineLevel="0" collapsed="false">
      <c r="A127" s="65" t="s">
        <v>15</v>
      </c>
      <c r="B127" s="112" t="s">
        <v>232</v>
      </c>
      <c r="C127" s="112"/>
      <c r="D127" s="112"/>
      <c r="E127" s="112"/>
      <c r="F127" s="112"/>
      <c r="G127" s="112"/>
      <c r="H127" s="112"/>
      <c r="I127" s="48" t="n">
        <f aca="false">ROUND(((($I$120)/30)*0.69)/12,2)</f>
        <v>17.14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customFormat="false" ht="78" hidden="false" customHeight="true" outlineLevel="0" collapsed="false">
      <c r="A128" s="65" t="s">
        <v>57</v>
      </c>
      <c r="B128" s="97" t="s">
        <v>233</v>
      </c>
      <c r="C128" s="97"/>
      <c r="D128" s="97"/>
      <c r="E128" s="97"/>
      <c r="F128" s="97"/>
      <c r="G128" s="97"/>
      <c r="H128" s="97"/>
      <c r="I128" s="48" t="n">
        <f aca="false">ROUND((((B120*0.121)+(H77)*(B120*0.121))*(4/12))*0.02,2)+ROUND(((H76*B120+H77*I61+I96-I83-I88+I114)*4/12)*0.02,2)</f>
        <v>12.18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customFormat="false" ht="39" hidden="false" customHeight="true" outlineLevel="0" collapsed="false">
      <c r="A129" s="65" t="s">
        <v>60</v>
      </c>
      <c r="B129" s="5" t="s">
        <v>234</v>
      </c>
      <c r="C129" s="5"/>
      <c r="D129" s="5"/>
      <c r="E129" s="5"/>
      <c r="F129" s="5"/>
      <c r="G129" s="5"/>
      <c r="H129" s="5"/>
      <c r="I129" s="48" t="n">
        <f aca="false">ROUND(((3/30)/12)*(I120),2)</f>
        <v>74.51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customFormat="false" ht="15.75" hidden="false" customHeight="true" outlineLevel="0" collapsed="false">
      <c r="A130" s="69" t="s">
        <v>72</v>
      </c>
      <c r="B130" s="69"/>
      <c r="C130" s="69"/>
      <c r="D130" s="69"/>
      <c r="E130" s="69"/>
      <c r="F130" s="69"/>
      <c r="G130" s="69"/>
      <c r="H130" s="69"/>
      <c r="I130" s="70" t="n">
        <f aca="false">SUM(I124:I129)</f>
        <v>767.97696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customFormat="false" ht="9" hidden="false" customHeight="true" outlineLevel="0" collapsed="false">
      <c r="A131" s="103"/>
      <c r="B131" s="103"/>
      <c r="C131" s="103"/>
      <c r="D131" s="103"/>
      <c r="E131" s="103"/>
      <c r="F131" s="103"/>
      <c r="G131" s="103"/>
      <c r="H131" s="103"/>
      <c r="I131" s="10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customFormat="false" ht="15.75" hidden="false" customHeight="true" outlineLevel="0" collapsed="false">
      <c r="A132" s="86" t="s">
        <v>136</v>
      </c>
      <c r="B132" s="86"/>
      <c r="C132" s="86"/>
      <c r="D132" s="86"/>
      <c r="E132" s="86"/>
      <c r="F132" s="86"/>
      <c r="G132" s="86"/>
      <c r="H132" s="86"/>
      <c r="I132" s="8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customFormat="false" ht="15.75" hidden="false" customHeight="true" outlineLevel="0" collapsed="false">
      <c r="A133" s="87" t="s">
        <v>137</v>
      </c>
      <c r="B133" s="87" t="s">
        <v>138</v>
      </c>
      <c r="C133" s="87"/>
      <c r="D133" s="87"/>
      <c r="E133" s="87"/>
      <c r="F133" s="87"/>
      <c r="G133" s="87"/>
      <c r="H133" s="87"/>
      <c r="I133" s="113" t="s">
        <v>69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customFormat="false" ht="15.75" hidden="false" customHeight="true" outlineLevel="0" collapsed="false">
      <c r="A134" s="65" t="s">
        <v>7</v>
      </c>
      <c r="B134" s="101" t="s">
        <v>139</v>
      </c>
      <c r="C134" s="101"/>
      <c r="D134" s="101"/>
      <c r="E134" s="101"/>
      <c r="F134" s="101"/>
      <c r="G134" s="101"/>
      <c r="H134" s="101"/>
      <c r="I134" s="48" t="n"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customFormat="false" ht="15.75" hidden="false" customHeight="true" outlineLevel="0" collapsed="false">
      <c r="A135" s="114" t="s">
        <v>72</v>
      </c>
      <c r="B135" s="114"/>
      <c r="C135" s="114"/>
      <c r="D135" s="114"/>
      <c r="E135" s="114"/>
      <c r="F135" s="114"/>
      <c r="G135" s="114"/>
      <c r="H135" s="114"/>
      <c r="I135" s="48" t="n"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customFormat="false" ht="7.5" hidden="false" customHeight="true" outlineLevel="0" collapsed="false">
      <c r="A136" s="187"/>
      <c r="B136" s="187"/>
      <c r="C136" s="187"/>
      <c r="D136" s="187"/>
      <c r="E136" s="187"/>
      <c r="F136" s="187"/>
      <c r="G136" s="187"/>
      <c r="H136" s="187"/>
      <c r="I136" s="18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customFormat="false" ht="23.25" hidden="false" customHeight="true" outlineLevel="0" collapsed="false">
      <c r="A137" s="62" t="s">
        <v>140</v>
      </c>
      <c r="B137" s="62"/>
      <c r="C137" s="62"/>
      <c r="D137" s="62"/>
      <c r="E137" s="62"/>
      <c r="F137" s="62"/>
      <c r="G137" s="62"/>
      <c r="H137" s="62"/>
      <c r="I137" s="6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customFormat="false" ht="23.25" hidden="false" customHeight="true" outlineLevel="0" collapsed="false">
      <c r="A138" s="44" t="n">
        <v>4</v>
      </c>
      <c r="B138" s="87" t="s">
        <v>141</v>
      </c>
      <c r="C138" s="87"/>
      <c r="D138" s="87"/>
      <c r="E138" s="87"/>
      <c r="F138" s="87"/>
      <c r="G138" s="87"/>
      <c r="H138" s="87"/>
      <c r="I138" s="113" t="s">
        <v>69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customFormat="false" ht="18.75" hidden="false" customHeight="true" outlineLevel="0" collapsed="false">
      <c r="A139" s="8" t="s">
        <v>128</v>
      </c>
      <c r="B139" s="101" t="s">
        <v>129</v>
      </c>
      <c r="C139" s="101"/>
      <c r="D139" s="101"/>
      <c r="E139" s="101"/>
      <c r="F139" s="101"/>
      <c r="G139" s="101"/>
      <c r="H139" s="101"/>
      <c r="I139" s="48" t="n">
        <f aca="false">I130</f>
        <v>767.97696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customFormat="false" ht="21.75" hidden="false" customHeight="true" outlineLevel="0" collapsed="false">
      <c r="A140" s="8" t="s">
        <v>142</v>
      </c>
      <c r="B140" s="101" t="s">
        <v>138</v>
      </c>
      <c r="C140" s="101"/>
      <c r="D140" s="101"/>
      <c r="E140" s="101"/>
      <c r="F140" s="101"/>
      <c r="G140" s="101"/>
      <c r="H140" s="101"/>
      <c r="I140" s="48" t="n">
        <f aca="false">I135</f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customFormat="false" ht="23.25" hidden="false" customHeight="true" outlineLevel="0" collapsed="false">
      <c r="A141" s="98" t="s">
        <v>72</v>
      </c>
      <c r="B141" s="98"/>
      <c r="C141" s="98"/>
      <c r="D141" s="98"/>
      <c r="E141" s="98"/>
      <c r="F141" s="98"/>
      <c r="G141" s="98"/>
      <c r="H141" s="98"/>
      <c r="I141" s="70" t="n">
        <f aca="false">SUM(I139+I140)</f>
        <v>767.97696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customFormat="false" ht="7.5" hidden="false" customHeight="true" outlineLevel="0" collapsed="false">
      <c r="A142" s="103"/>
      <c r="B142" s="103"/>
      <c r="C142" s="103"/>
      <c r="D142" s="103"/>
      <c r="E142" s="103"/>
      <c r="F142" s="103"/>
      <c r="G142" s="103"/>
      <c r="H142" s="103"/>
      <c r="I142" s="10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customFormat="false" ht="27.75" hidden="false" customHeight="true" outlineLevel="0" collapsed="false">
      <c r="A143" s="97" t="s">
        <v>143</v>
      </c>
      <c r="B143" s="97"/>
      <c r="C143" s="97"/>
      <c r="D143" s="97"/>
      <c r="E143" s="97"/>
      <c r="F143" s="97"/>
      <c r="G143" s="97"/>
      <c r="H143" s="97"/>
      <c r="I143" s="9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customFormat="false" ht="27" hidden="false" customHeight="true" outlineLevel="0" collapsed="false">
      <c r="A144" s="87" t="n">
        <v>3</v>
      </c>
      <c r="B144" s="44" t="s">
        <v>144</v>
      </c>
      <c r="C144" s="44"/>
      <c r="D144" s="44"/>
      <c r="E144" s="44"/>
      <c r="F144" s="44"/>
      <c r="G144" s="44"/>
      <c r="H144" s="44"/>
      <c r="I144" s="87" t="s">
        <v>69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customFormat="false" ht="27" hidden="false" customHeight="true" outlineLevel="0" collapsed="false">
      <c r="A145" s="65" t="s">
        <v>7</v>
      </c>
      <c r="B145" s="5" t="s">
        <v>145</v>
      </c>
      <c r="C145" s="5"/>
      <c r="D145" s="5"/>
      <c r="E145" s="5"/>
      <c r="F145" s="5"/>
      <c r="G145" s="5"/>
      <c r="H145" s="5"/>
      <c r="I145" s="48" t="n">
        <v>434.2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customFormat="false" ht="15.75" hidden="false" customHeight="true" outlineLevel="0" collapsed="false">
      <c r="A146" s="65" t="s">
        <v>9</v>
      </c>
      <c r="B146" s="5" t="s">
        <v>146</v>
      </c>
      <c r="C146" s="5"/>
      <c r="D146" s="5"/>
      <c r="E146" s="5"/>
      <c r="F146" s="5"/>
      <c r="G146" s="5"/>
      <c r="H146" s="5"/>
      <c r="I146" s="94" t="n">
        <v>196.08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customFormat="false" ht="17.25" hidden="false" customHeight="true" outlineLevel="0" collapsed="false">
      <c r="A147" s="65" t="s">
        <v>12</v>
      </c>
      <c r="B147" s="5" t="s">
        <v>107</v>
      </c>
      <c r="C147" s="5"/>
      <c r="D147" s="5"/>
      <c r="E147" s="5"/>
      <c r="F147" s="5"/>
      <c r="G147" s="5"/>
      <c r="H147" s="5"/>
      <c r="I147" s="94" t="s">
        <v>54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customFormat="false" ht="15.75" hidden="false" customHeight="true" outlineLevel="0" collapsed="false">
      <c r="A148" s="69" t="s">
        <v>147</v>
      </c>
      <c r="B148" s="69"/>
      <c r="C148" s="69"/>
      <c r="D148" s="69"/>
      <c r="E148" s="69"/>
      <c r="F148" s="69"/>
      <c r="G148" s="69"/>
      <c r="H148" s="69"/>
      <c r="I148" s="99" t="n">
        <f aca="false">ROUND(SUM(I145:I147),2)</f>
        <v>630.28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customFormat="false" ht="7.5" hidden="false" customHeight="true" outlineLevel="0" collapsed="false">
      <c r="A149" s="115"/>
      <c r="B149" s="115"/>
      <c r="C149" s="115"/>
      <c r="D149" s="115"/>
      <c r="E149" s="115"/>
      <c r="F149" s="115"/>
      <c r="G149" s="115"/>
      <c r="H149" s="115"/>
      <c r="I149" s="1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customFormat="false" ht="15.75" hidden="false" customHeight="true" outlineLevel="0" collapsed="false">
      <c r="A150" s="116" t="s">
        <v>148</v>
      </c>
      <c r="B150" s="116"/>
      <c r="C150" s="116"/>
      <c r="D150" s="116"/>
      <c r="E150" s="116"/>
      <c r="F150" s="116"/>
      <c r="G150" s="116"/>
      <c r="H150" s="116"/>
      <c r="I150" s="11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customFormat="false" ht="6.75" hidden="false" customHeight="true" outlineLevel="0" collapsed="false">
      <c r="A151" s="117"/>
      <c r="B151" s="118"/>
      <c r="C151" s="118"/>
      <c r="D151" s="118"/>
      <c r="E151" s="118"/>
      <c r="F151" s="118"/>
      <c r="G151" s="118"/>
      <c r="H151" s="118"/>
      <c r="I151" s="11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customFormat="false" ht="12.75" hidden="false" customHeight="true" outlineLevel="0" collapsed="false">
      <c r="A152" s="62" t="s">
        <v>149</v>
      </c>
      <c r="B152" s="62"/>
      <c r="C152" s="62"/>
      <c r="D152" s="62"/>
      <c r="E152" s="62"/>
      <c r="F152" s="62"/>
      <c r="G152" s="62"/>
      <c r="H152" s="62"/>
      <c r="I152" s="6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customFormat="false" ht="12.75" hidden="false" customHeight="true" outlineLevel="0" collapsed="false">
      <c r="A153" s="87" t="n">
        <v>6</v>
      </c>
      <c r="B153" s="87" t="s">
        <v>150</v>
      </c>
      <c r="C153" s="87"/>
      <c r="D153" s="87"/>
      <c r="E153" s="87"/>
      <c r="F153" s="87"/>
      <c r="G153" s="87"/>
      <c r="H153" s="14" t="s">
        <v>50</v>
      </c>
      <c r="I153" s="120" t="s">
        <v>78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customFormat="false" ht="50.25" hidden="false" customHeight="true" outlineLevel="0" collapsed="false">
      <c r="A154" s="35" t="s">
        <v>151</v>
      </c>
      <c r="B154" s="35"/>
      <c r="C154" s="35"/>
      <c r="D154" s="35"/>
      <c r="E154" s="35"/>
      <c r="F154" s="35"/>
      <c r="G154" s="35"/>
      <c r="H154" s="121" t="s">
        <v>23</v>
      </c>
      <c r="I154" s="122" t="n">
        <f aca="false">SUM(I54+I105+I114+I141+I148)</f>
        <v>10820.54696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customFormat="false" ht="15.75" hidden="false" customHeight="true" outlineLevel="0" collapsed="false">
      <c r="A155" s="65" t="s">
        <v>7</v>
      </c>
      <c r="B155" s="86" t="s">
        <v>152</v>
      </c>
      <c r="C155" s="86"/>
      <c r="D155" s="86"/>
      <c r="E155" s="86"/>
      <c r="F155" s="86"/>
      <c r="G155" s="86"/>
      <c r="H155" s="76" t="n">
        <v>0.06</v>
      </c>
      <c r="I155" s="48" t="n">
        <f aca="false">ROUND(H155*I154,2)</f>
        <v>649.23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customFormat="false" ht="50.25" hidden="false" customHeight="true" outlineLevel="0" collapsed="false">
      <c r="A156" s="35" t="s">
        <v>153</v>
      </c>
      <c r="B156" s="35"/>
      <c r="C156" s="35"/>
      <c r="D156" s="35"/>
      <c r="E156" s="35"/>
      <c r="F156" s="35"/>
      <c r="G156" s="35"/>
      <c r="H156" s="123" t="s">
        <v>23</v>
      </c>
      <c r="I156" s="122" t="n">
        <f aca="false">SUM(I54+I105+I114+I141+I148+I155)</f>
        <v>11469.77696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customFormat="false" ht="15.75" hidden="false" customHeight="true" outlineLevel="0" collapsed="false">
      <c r="A157" s="65" t="s">
        <v>9</v>
      </c>
      <c r="B157" s="86" t="s">
        <v>154</v>
      </c>
      <c r="C157" s="86"/>
      <c r="D157" s="86"/>
      <c r="E157" s="86"/>
      <c r="F157" s="86"/>
      <c r="G157" s="86"/>
      <c r="H157" s="76" t="n">
        <v>0.0679</v>
      </c>
      <c r="I157" s="48" t="n">
        <f aca="false">ROUND(H157*I156,2)</f>
        <v>778.8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customFormat="false" ht="48.75" hidden="false" customHeight="true" outlineLevel="0" collapsed="false">
      <c r="A158" s="35" t="s">
        <v>155</v>
      </c>
      <c r="B158" s="35"/>
      <c r="C158" s="35"/>
      <c r="D158" s="35"/>
      <c r="E158" s="35"/>
      <c r="F158" s="35"/>
      <c r="G158" s="35"/>
      <c r="H158" s="123" t="s">
        <v>23</v>
      </c>
      <c r="I158" s="122" t="n">
        <f aca="false">SUM(I154+I155+I157)</f>
        <v>12248.57696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customFormat="false" ht="16.5" hidden="false" customHeight="true" outlineLevel="0" collapsed="false">
      <c r="A159" s="124" t="s">
        <v>12</v>
      </c>
      <c r="B159" s="62" t="s">
        <v>156</v>
      </c>
      <c r="C159" s="62"/>
      <c r="D159" s="62"/>
      <c r="E159" s="62"/>
      <c r="F159" s="62"/>
      <c r="G159" s="62"/>
      <c r="H159" s="49" t="s">
        <v>23</v>
      </c>
      <c r="I159" s="50" t="s">
        <v>23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customFormat="false" ht="12.75" hidden="false" customHeight="true" outlineLevel="0" collapsed="false">
      <c r="A160" s="65"/>
      <c r="B160" s="101" t="s">
        <v>157</v>
      </c>
      <c r="C160" s="101"/>
      <c r="D160" s="101"/>
      <c r="E160" s="101"/>
      <c r="F160" s="101"/>
      <c r="G160" s="101"/>
      <c r="H160" s="49" t="s">
        <v>23</v>
      </c>
      <c r="I160" s="50" t="s">
        <v>23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customFormat="false" ht="22.5" hidden="false" customHeight="true" outlineLevel="0" collapsed="false">
      <c r="A161" s="65"/>
      <c r="B161" s="61" t="s">
        <v>158</v>
      </c>
      <c r="C161" s="61"/>
      <c r="D161" s="61"/>
      <c r="E161" s="61"/>
      <c r="F161" s="61"/>
      <c r="G161" s="61"/>
      <c r="H161" s="125" t="n">
        <v>0.03</v>
      </c>
      <c r="I161" s="126" t="n">
        <f aca="false">ROUND(($I$158/(1-$H$170))*H161,2)</f>
        <v>397.9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customFormat="false" ht="22.5" hidden="false" customHeight="true" outlineLevel="0" collapsed="false">
      <c r="A162" s="65"/>
      <c r="B162" s="61" t="s">
        <v>159</v>
      </c>
      <c r="C162" s="61"/>
      <c r="D162" s="61"/>
      <c r="E162" s="61"/>
      <c r="F162" s="61"/>
      <c r="G162" s="61"/>
      <c r="H162" s="125" t="n">
        <v>0.0065</v>
      </c>
      <c r="I162" s="126" t="n">
        <f aca="false">ROUND(($I$158/(1-$H$170))*H162,2)</f>
        <v>86.21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customFormat="false" ht="29.25" hidden="false" customHeight="true" outlineLevel="0" collapsed="false">
      <c r="A163" s="65"/>
      <c r="B163" s="5" t="s">
        <v>235</v>
      </c>
      <c r="C163" s="5"/>
      <c r="D163" s="5"/>
      <c r="E163" s="5"/>
      <c r="F163" s="5"/>
      <c r="G163" s="5"/>
      <c r="H163" s="127" t="s">
        <v>23</v>
      </c>
      <c r="I163" s="50" t="s">
        <v>23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customFormat="false" ht="29.25" hidden="false" customHeight="true" outlineLevel="0" collapsed="false">
      <c r="A164" s="65"/>
      <c r="B164" s="5" t="s">
        <v>236</v>
      </c>
      <c r="C164" s="5"/>
      <c r="D164" s="5"/>
      <c r="E164" s="5"/>
      <c r="F164" s="5"/>
      <c r="G164" s="5"/>
      <c r="H164" s="127" t="s">
        <v>23</v>
      </c>
      <c r="I164" s="50" t="s">
        <v>23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customFormat="false" ht="18" hidden="false" customHeight="true" outlineLevel="0" collapsed="false">
      <c r="A165" s="65"/>
      <c r="B165" s="88" t="s">
        <v>162</v>
      </c>
      <c r="C165" s="88"/>
      <c r="D165" s="88"/>
      <c r="E165" s="88"/>
      <c r="F165" s="88"/>
      <c r="G165" s="88"/>
      <c r="H165" s="128" t="s">
        <v>23</v>
      </c>
      <c r="I165" s="129" t="s">
        <v>23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customFormat="false" ht="18" hidden="false" customHeight="true" outlineLevel="0" collapsed="false">
      <c r="A166" s="65"/>
      <c r="B166" s="88" t="s">
        <v>163</v>
      </c>
      <c r="C166" s="88"/>
      <c r="D166" s="88"/>
      <c r="E166" s="88"/>
      <c r="F166" s="88"/>
      <c r="G166" s="88"/>
      <c r="H166" s="128" t="s">
        <v>23</v>
      </c>
      <c r="I166" s="129" t="s">
        <v>23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customFormat="false" ht="24.75" hidden="false" customHeight="true" outlineLevel="0" collapsed="false">
      <c r="A167" s="65"/>
      <c r="B167" s="5" t="s">
        <v>164</v>
      </c>
      <c r="C167" s="5"/>
      <c r="D167" s="5"/>
      <c r="E167" s="5"/>
      <c r="F167" s="5"/>
      <c r="G167" s="5"/>
      <c r="H167" s="125" t="n">
        <v>0.04</v>
      </c>
      <c r="I167" s="126" t="n">
        <f aca="false">ROUND(($I$158/(1-$H$170))*H167,2)</f>
        <v>530.53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customFormat="false" ht="15.75" hidden="false" customHeight="true" outlineLevel="0" collapsed="false">
      <c r="A168" s="69" t="s">
        <v>119</v>
      </c>
      <c r="B168" s="69"/>
      <c r="C168" s="69"/>
      <c r="D168" s="69"/>
      <c r="E168" s="69"/>
      <c r="F168" s="69"/>
      <c r="G168" s="69"/>
      <c r="H168" s="69"/>
      <c r="I168" s="70" t="n">
        <f aca="false">SUM(I155+I157+I161+I162+I167)</f>
        <v>2442.67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customFormat="false" ht="6.75" hidden="false" customHeight="true" outlineLevel="0" collapsed="false">
      <c r="A169" s="103"/>
      <c r="B169" s="103"/>
      <c r="C169" s="103"/>
      <c r="D169" s="103"/>
      <c r="E169" s="103"/>
      <c r="F169" s="103"/>
      <c r="G169" s="103"/>
      <c r="H169" s="103"/>
      <c r="I169" s="10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customFormat="false" ht="15.75" hidden="false" customHeight="true" outlineLevel="0" collapsed="false">
      <c r="A170" s="130" t="s">
        <v>165</v>
      </c>
      <c r="B170" s="130"/>
      <c r="C170" s="130"/>
      <c r="D170" s="130"/>
      <c r="E170" s="130"/>
      <c r="F170" s="130"/>
      <c r="G170" s="130"/>
      <c r="H170" s="131" t="n">
        <f aca="false">SUM(H161:H167)</f>
        <v>0.0765</v>
      </c>
      <c r="I170" s="122" t="n">
        <f aca="false">SUM(I161:I167)</f>
        <v>1014.64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customFormat="false" ht="12.75" hidden="false" customHeight="true" outlineLevel="0" collapsed="false">
      <c r="A171" s="132" t="s">
        <v>166</v>
      </c>
      <c r="B171" s="132"/>
      <c r="C171" s="133" t="s">
        <v>167</v>
      </c>
      <c r="D171" s="133"/>
      <c r="E171" s="133"/>
      <c r="F171" s="133"/>
      <c r="G171" s="133"/>
      <c r="H171" s="133"/>
      <c r="I171" s="1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customFormat="false" ht="12" hidden="false" customHeight="true" outlineLevel="0" collapsed="false">
      <c r="A172" s="132"/>
      <c r="B172" s="132"/>
      <c r="C172" s="134" t="s">
        <v>168</v>
      </c>
      <c r="D172" s="134"/>
      <c r="E172" s="134"/>
      <c r="F172" s="134"/>
      <c r="G172" s="134"/>
      <c r="H172" s="134"/>
      <c r="I172" s="13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customFormat="false" ht="13.5" hidden="false" customHeight="true" outlineLevel="0" collapsed="false">
      <c r="A173" s="132"/>
      <c r="B173" s="132"/>
      <c r="C173" s="135" t="s">
        <v>169</v>
      </c>
      <c r="D173" s="135"/>
      <c r="E173" s="135"/>
      <c r="F173" s="135"/>
      <c r="G173" s="135"/>
      <c r="H173" s="135"/>
      <c r="I173" s="13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customFormat="false" ht="6.75" hidden="false" customHeight="true" outlineLevel="0" collapsed="false">
      <c r="A174" s="136"/>
      <c r="B174" s="136"/>
      <c r="C174" s="136"/>
      <c r="D174" s="136"/>
      <c r="E174" s="136"/>
      <c r="F174" s="136"/>
      <c r="G174" s="136"/>
      <c r="H174" s="136"/>
      <c r="I174" s="13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customFormat="false" ht="24" hidden="false" customHeight="true" outlineLevel="0" collapsed="false">
      <c r="A175" s="21" t="s">
        <v>170</v>
      </c>
      <c r="B175" s="21"/>
      <c r="C175" s="21"/>
      <c r="D175" s="21"/>
      <c r="E175" s="21"/>
      <c r="F175" s="21"/>
      <c r="G175" s="21"/>
      <c r="H175" s="21"/>
      <c r="I175" s="2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customFormat="false" ht="5.25" hidden="false" customHeight="true" outlineLevel="0" collapsed="false">
      <c r="A176" s="103"/>
      <c r="B176" s="103"/>
      <c r="C176" s="103"/>
      <c r="D176" s="103"/>
      <c r="E176" s="103"/>
      <c r="F176" s="103"/>
      <c r="G176" s="103"/>
      <c r="H176" s="103"/>
      <c r="I176" s="10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customFormat="false" ht="27.75" hidden="false" customHeight="true" outlineLevel="0" collapsed="false">
      <c r="A177" s="97" t="s">
        <v>237</v>
      </c>
      <c r="B177" s="97"/>
      <c r="C177" s="97"/>
      <c r="D177" s="97"/>
      <c r="E177" s="97"/>
      <c r="F177" s="97"/>
      <c r="G177" s="97"/>
      <c r="H177" s="97"/>
      <c r="I177" s="9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customFormat="false" ht="15" hidden="false" customHeight="true" outlineLevel="0" collapsed="false">
      <c r="A178" s="7" t="s">
        <v>172</v>
      </c>
      <c r="B178" s="7"/>
      <c r="C178" s="7"/>
      <c r="D178" s="7"/>
      <c r="E178" s="7"/>
      <c r="F178" s="7"/>
      <c r="G178" s="7"/>
      <c r="H178" s="7"/>
      <c r="I178" s="14" t="s">
        <v>69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customFormat="false" ht="15" hidden="false" customHeight="true" outlineLevel="0" collapsed="false">
      <c r="A179" s="138" t="s">
        <v>7</v>
      </c>
      <c r="B179" s="139" t="s">
        <v>173</v>
      </c>
      <c r="C179" s="139"/>
      <c r="D179" s="139"/>
      <c r="E179" s="139"/>
      <c r="F179" s="139"/>
      <c r="G179" s="139"/>
      <c r="H179" s="139"/>
      <c r="I179" s="94" t="n">
        <f aca="false">I54</f>
        <v>5336.89</v>
      </c>
      <c r="J179" s="1"/>
      <c r="K179" s="13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customFormat="false" ht="15" hidden="false" customHeight="true" outlineLevel="0" collapsed="false">
      <c r="A180" s="138" t="s">
        <v>9</v>
      </c>
      <c r="B180" s="139" t="s">
        <v>174</v>
      </c>
      <c r="C180" s="139"/>
      <c r="D180" s="139"/>
      <c r="E180" s="139"/>
      <c r="F180" s="139"/>
      <c r="G180" s="139"/>
      <c r="H180" s="139"/>
      <c r="I180" s="94" t="n">
        <f aca="false">I105</f>
        <v>3715.6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customFormat="false" ht="15" hidden="false" customHeight="true" outlineLevel="0" collapsed="false">
      <c r="A181" s="138" t="s">
        <v>12</v>
      </c>
      <c r="B181" s="139" t="s">
        <v>175</v>
      </c>
      <c r="C181" s="139"/>
      <c r="D181" s="139"/>
      <c r="E181" s="139"/>
      <c r="F181" s="139"/>
      <c r="G181" s="139"/>
      <c r="H181" s="139"/>
      <c r="I181" s="94" t="n">
        <f aca="false">I114</f>
        <v>369.8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customFormat="false" ht="15" hidden="false" customHeight="true" outlineLevel="0" collapsed="false">
      <c r="A182" s="138" t="s">
        <v>15</v>
      </c>
      <c r="B182" s="139" t="s">
        <v>176</v>
      </c>
      <c r="C182" s="139"/>
      <c r="D182" s="139"/>
      <c r="E182" s="139"/>
      <c r="F182" s="139"/>
      <c r="G182" s="139"/>
      <c r="H182" s="139"/>
      <c r="I182" s="94" t="n">
        <f aca="false">I141</f>
        <v>767.97696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customFormat="false" ht="15" hidden="false" customHeight="true" outlineLevel="0" collapsed="false">
      <c r="A183" s="138" t="s">
        <v>57</v>
      </c>
      <c r="B183" s="139" t="s">
        <v>177</v>
      </c>
      <c r="C183" s="139"/>
      <c r="D183" s="139"/>
      <c r="E183" s="139"/>
      <c r="F183" s="139"/>
      <c r="G183" s="139"/>
      <c r="H183" s="139"/>
      <c r="I183" s="94" t="n">
        <f aca="false">I148</f>
        <v>630.28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customFormat="false" ht="15" hidden="false" customHeight="true" outlineLevel="0" collapsed="false">
      <c r="A184" s="140" t="s">
        <v>178</v>
      </c>
      <c r="B184" s="140"/>
      <c r="C184" s="140"/>
      <c r="D184" s="140"/>
      <c r="E184" s="140"/>
      <c r="F184" s="140"/>
      <c r="G184" s="140"/>
      <c r="H184" s="140"/>
      <c r="I184" s="94" t="n">
        <f aca="false">ROUND(SUM(I179:I183),2)</f>
        <v>10820.55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customFormat="false" ht="15" hidden="false" customHeight="true" outlineLevel="0" collapsed="false">
      <c r="A185" s="141" t="s">
        <v>60</v>
      </c>
      <c r="B185" s="139" t="s">
        <v>149</v>
      </c>
      <c r="C185" s="139"/>
      <c r="D185" s="139"/>
      <c r="E185" s="139"/>
      <c r="F185" s="139"/>
      <c r="G185" s="139"/>
      <c r="H185" s="139"/>
      <c r="I185" s="99" t="n">
        <f aca="false">I168</f>
        <v>2442.67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customFormat="false" ht="15" hidden="false" customHeight="true" outlineLevel="0" collapsed="false">
      <c r="A186" s="140" t="s">
        <v>179</v>
      </c>
      <c r="B186" s="140"/>
      <c r="C186" s="140"/>
      <c r="D186" s="140"/>
      <c r="E186" s="140"/>
      <c r="F186" s="140"/>
      <c r="G186" s="140"/>
      <c r="H186" s="140"/>
      <c r="I186" s="94" t="n">
        <f aca="false">I184+I185</f>
        <v>13263.22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customFormat="false" ht="36.75" hidden="false" customHeight="true" outlineLevel="0" collapsed="false">
      <c r="A187" s="188" t="s">
        <v>180</v>
      </c>
      <c r="B187" s="188"/>
      <c r="C187" s="188"/>
      <c r="D187" s="188"/>
      <c r="E187" s="188"/>
      <c r="F187" s="188"/>
      <c r="G187" s="188"/>
      <c r="H187" s="188"/>
      <c r="I187" s="18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customFormat="false" ht="7.5" hidden="false" customHeight="true" outlineLevel="0" collapsed="false">
      <c r="A188" s="145"/>
      <c r="B188" s="145"/>
      <c r="C188" s="145"/>
      <c r="D188" s="145"/>
      <c r="E188" s="145"/>
      <c r="F188" s="145"/>
      <c r="G188" s="145"/>
      <c r="H188" s="145"/>
      <c r="I188" s="14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customFormat="false" ht="15" hidden="false" customHeight="true" outlineLevel="0" collapsed="false">
      <c r="A189" s="189"/>
      <c r="B189" s="189"/>
      <c r="C189" s="189"/>
      <c r="D189" s="189"/>
      <c r="E189" s="189"/>
      <c r="F189" s="189"/>
      <c r="G189" s="189"/>
      <c r="H189" s="190"/>
      <c r="I189" s="191"/>
      <c r="J189" s="22"/>
      <c r="K189" s="143"/>
      <c r="L189" s="22"/>
      <c r="M189" s="14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customFormat="false" ht="31.5" hidden="false" customHeight="true" outlineLevel="0" collapsed="false">
      <c r="A190" s="146" t="s">
        <v>181</v>
      </c>
      <c r="B190" s="146"/>
      <c r="C190" s="146"/>
      <c r="D190" s="146"/>
      <c r="E190" s="146"/>
      <c r="F190" s="146"/>
      <c r="G190" s="146"/>
      <c r="H190" s="146"/>
      <c r="I190" s="14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customFormat="false" ht="45" hidden="false" customHeight="true" outlineLevel="0" collapsed="false">
      <c r="A191" s="14" t="s">
        <v>182</v>
      </c>
      <c r="B191" s="14"/>
      <c r="C191" s="14"/>
      <c r="D191" s="14"/>
      <c r="E191" s="14" t="s">
        <v>183</v>
      </c>
      <c r="F191" s="14"/>
      <c r="G191" s="14" t="s">
        <v>184</v>
      </c>
      <c r="H191" s="14" t="s">
        <v>185</v>
      </c>
      <c r="I191" s="14"/>
    </row>
    <row r="192" customFormat="false" ht="33" hidden="false" customHeight="true" outlineLevel="0" collapsed="false">
      <c r="A192" s="5" t="s">
        <v>186</v>
      </c>
      <c r="B192" s="5"/>
      <c r="C192" s="5"/>
      <c r="D192" s="5"/>
      <c r="E192" s="147" t="n">
        <v>0</v>
      </c>
      <c r="F192" s="147"/>
      <c r="G192" s="148" t="n">
        <f aca="false">D192*E192</f>
        <v>0</v>
      </c>
      <c r="H192" s="147" t="n">
        <f aca="false">E192*G192</f>
        <v>0</v>
      </c>
      <c r="I192" s="147"/>
    </row>
    <row r="193" customFormat="false" ht="42.75" hidden="false" customHeight="true" outlineLevel="0" collapsed="false">
      <c r="A193" s="5" t="s">
        <v>187</v>
      </c>
      <c r="B193" s="5"/>
      <c r="C193" s="5"/>
      <c r="D193" s="5"/>
      <c r="E193" s="147" t="n">
        <v>0</v>
      </c>
      <c r="F193" s="147"/>
      <c r="G193" s="148" t="n">
        <f aca="false">D193*E193</f>
        <v>0</v>
      </c>
      <c r="H193" s="147" t="n">
        <f aca="false">E193*G193</f>
        <v>0</v>
      </c>
      <c r="I193" s="147"/>
    </row>
    <row r="194" customFormat="false" ht="41.25" hidden="false" customHeight="true" outlineLevel="0" collapsed="false">
      <c r="A194" s="16" t="s">
        <v>188</v>
      </c>
      <c r="B194" s="16"/>
      <c r="C194" s="16"/>
      <c r="D194" s="16"/>
      <c r="E194" s="149" t="n">
        <f aca="false">I186</f>
        <v>13263.22</v>
      </c>
      <c r="F194" s="149"/>
      <c r="G194" s="150" t="n">
        <f aca="false">H17</f>
        <v>2</v>
      </c>
      <c r="H194" s="151" t="n">
        <f aca="false">E194*G194</f>
        <v>26526.44</v>
      </c>
      <c r="I194" s="151"/>
    </row>
    <row r="195" customFormat="false" ht="41.25" hidden="false" customHeight="true" outlineLevel="0" collapsed="false">
      <c r="A195" s="5" t="s">
        <v>189</v>
      </c>
      <c r="B195" s="5"/>
      <c r="C195" s="5"/>
      <c r="D195" s="5"/>
      <c r="E195" s="152" t="n">
        <v>0</v>
      </c>
      <c r="F195" s="152"/>
      <c r="G195" s="148" t="n">
        <f aca="false">D195*F195</f>
        <v>0</v>
      </c>
      <c r="H195" s="147" t="n">
        <f aca="false">E195*G195</f>
        <v>0</v>
      </c>
      <c r="I195" s="147"/>
    </row>
    <row r="196" customFormat="false" ht="39.75" hidden="false" customHeight="true" outlineLevel="0" collapsed="false">
      <c r="A196" s="5" t="s">
        <v>190</v>
      </c>
      <c r="B196" s="5"/>
      <c r="C196" s="5"/>
      <c r="D196" s="5"/>
      <c r="E196" s="152" t="n">
        <v>0</v>
      </c>
      <c r="F196" s="152"/>
      <c r="G196" s="148" t="n">
        <f aca="false">D196*F196</f>
        <v>0</v>
      </c>
      <c r="H196" s="147" t="n">
        <f aca="false">E196*G196</f>
        <v>0</v>
      </c>
      <c r="I196" s="147"/>
    </row>
    <row r="197" customFormat="false" ht="35.25" hidden="false" customHeight="true" outlineLevel="0" collapsed="false">
      <c r="A197" s="153" t="s">
        <v>191</v>
      </c>
      <c r="B197" s="153"/>
      <c r="C197" s="153"/>
      <c r="D197" s="153"/>
      <c r="E197" s="147" t="n">
        <v>0</v>
      </c>
      <c r="F197" s="147"/>
      <c r="G197" s="148" t="n">
        <f aca="false">D197*F197</f>
        <v>0</v>
      </c>
      <c r="H197" s="147" t="n">
        <f aca="false">E197*G197</f>
        <v>0</v>
      </c>
      <c r="I197" s="147"/>
    </row>
    <row r="198" customFormat="false" ht="20.25" hidden="false" customHeight="true" outlineLevel="0" collapsed="false">
      <c r="A198" s="154" t="s">
        <v>192</v>
      </c>
      <c r="B198" s="154"/>
      <c r="C198" s="154"/>
      <c r="D198" s="154"/>
      <c r="E198" s="154"/>
      <c r="F198" s="154"/>
      <c r="G198" s="155" t="n">
        <f aca="false">SUM(G192:G197)</f>
        <v>2</v>
      </c>
      <c r="H198" s="156" t="n">
        <f aca="false">SUM(H192:I197)</f>
        <v>26526.44</v>
      </c>
      <c r="I198" s="156"/>
    </row>
    <row r="199" customFormat="false" ht="6.75" hidden="false" customHeight="true" outlineLevel="0" collapsed="false">
      <c r="A199" s="157"/>
      <c r="B199" s="157"/>
      <c r="C199" s="157"/>
      <c r="D199" s="157"/>
      <c r="E199" s="157"/>
      <c r="F199" s="157"/>
      <c r="G199" s="157"/>
      <c r="H199" s="157"/>
      <c r="I199" s="157"/>
    </row>
    <row r="200" customFormat="false" ht="17.25" hidden="false" customHeight="true" outlineLevel="0" collapsed="false">
      <c r="A200" s="158" t="s">
        <v>193</v>
      </c>
      <c r="B200" s="158"/>
      <c r="C200" s="158"/>
      <c r="D200" s="158"/>
      <c r="E200" s="158"/>
      <c r="F200" s="158"/>
      <c r="G200" s="158"/>
      <c r="H200" s="158"/>
      <c r="I200" s="158"/>
    </row>
    <row r="201" customFormat="false" ht="6.75" hidden="false" customHeight="true" outlineLevel="0" collapsed="false">
      <c r="A201" s="159"/>
      <c r="B201" s="159"/>
      <c r="C201" s="159"/>
      <c r="D201" s="159"/>
      <c r="E201" s="159"/>
      <c r="F201" s="159"/>
      <c r="G201" s="159"/>
      <c r="H201" s="159"/>
      <c r="I201" s="15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customFormat="false" ht="18.75" hidden="false" customHeight="true" outlineLevel="0" collapsed="false">
      <c r="A202" s="160" t="s">
        <v>194</v>
      </c>
      <c r="B202" s="160"/>
      <c r="C202" s="160"/>
      <c r="D202" s="160"/>
      <c r="E202" s="160"/>
      <c r="F202" s="160"/>
      <c r="G202" s="161" t="n">
        <f aca="false">$H$198</f>
        <v>26526.44</v>
      </c>
      <c r="H202" s="161"/>
      <c r="I202" s="16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customFormat="false" ht="8.25" hidden="false" customHeight="true" outlineLevel="0" collapsed="false">
      <c r="A203" s="162"/>
      <c r="B203" s="162"/>
      <c r="C203" s="162"/>
      <c r="D203" s="162"/>
      <c r="E203" s="162"/>
      <c r="F203" s="162"/>
      <c r="G203" s="162"/>
      <c r="H203" s="162"/>
      <c r="I203" s="16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customFormat="false" ht="19.5" hidden="false" customHeight="true" outlineLevel="0" collapsed="false">
      <c r="A204" s="160" t="s">
        <v>195</v>
      </c>
      <c r="B204" s="160"/>
      <c r="C204" s="160"/>
      <c r="D204" s="160"/>
      <c r="E204" s="160"/>
      <c r="F204" s="160"/>
      <c r="G204" s="163" t="n">
        <f aca="false">$H$11</f>
        <v>12</v>
      </c>
      <c r="H204" s="163"/>
      <c r="I204" s="16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customFormat="false" ht="8.25" hidden="false" customHeight="true" outlineLevel="0" collapsed="false">
      <c r="A205" s="164"/>
      <c r="B205" s="164"/>
      <c r="C205" s="164"/>
      <c r="D205" s="164"/>
      <c r="E205" s="164"/>
      <c r="F205" s="164"/>
      <c r="G205" s="164"/>
      <c r="H205" s="164"/>
      <c r="I205" s="16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customFormat="false" ht="31.5" hidden="false" customHeight="true" outlineLevel="0" collapsed="false">
      <c r="A206" s="160" t="s">
        <v>196</v>
      </c>
      <c r="B206" s="160"/>
      <c r="C206" s="160"/>
      <c r="D206" s="160"/>
      <c r="E206" s="160"/>
      <c r="F206" s="160"/>
      <c r="G206" s="165" t="n">
        <f aca="false">ROUND(G202*G204,2)</f>
        <v>318317.28</v>
      </c>
      <c r="H206" s="165"/>
      <c r="I206" s="16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customFormat="false" ht="8.25" hidden="false" customHeight="true" outlineLevel="0" collapsed="false">
      <c r="A207" s="166"/>
      <c r="B207" s="166"/>
      <c r="C207" s="166"/>
      <c r="D207" s="166"/>
      <c r="E207" s="166"/>
      <c r="F207" s="166"/>
      <c r="G207" s="166"/>
      <c r="H207" s="166"/>
      <c r="I207" s="16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customFormat="false" ht="29.25" hidden="false" customHeight="true" outlineLevel="0" collapsed="false">
      <c r="A208" s="167" t="s">
        <v>197</v>
      </c>
      <c r="B208" s="167"/>
      <c r="C208" s="167"/>
      <c r="D208" s="167"/>
      <c r="E208" s="167"/>
      <c r="F208" s="167"/>
      <c r="G208" s="167"/>
      <c r="H208" s="167"/>
      <c r="I208" s="167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customFormat="false" ht="12" hidden="false" customHeight="true" outlineLevel="0" collapsed="false">
      <c r="A209" s="168" t="s">
        <v>198</v>
      </c>
      <c r="B209" s="168"/>
      <c r="C209" s="168"/>
      <c r="D209" s="8" t="s">
        <v>199</v>
      </c>
      <c r="E209" s="8"/>
      <c r="F209" s="8"/>
      <c r="G209" s="8"/>
      <c r="H209" s="8"/>
      <c r="I209" s="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customFormat="false" ht="12.75" hidden="false" customHeight="true" outlineLevel="0" collapsed="false">
      <c r="A210" s="168"/>
      <c r="B210" s="168"/>
      <c r="C210" s="168"/>
      <c r="D210" s="8"/>
      <c r="E210" s="8"/>
      <c r="F210" s="8"/>
      <c r="G210" s="8"/>
      <c r="H210" s="8"/>
      <c r="I210" s="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customFormat="false" ht="14.25" hidden="false" customHeight="true" outlineLevel="0" collapsed="false">
      <c r="A211" s="34" t="s">
        <v>200</v>
      </c>
      <c r="B211" s="34"/>
      <c r="C211" s="34"/>
      <c r="D211" s="34" t="n">
        <v>2</v>
      </c>
      <c r="E211" s="34"/>
      <c r="F211" s="34"/>
      <c r="G211" s="34"/>
      <c r="H211" s="34"/>
      <c r="I211" s="3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customFormat="false" ht="12.75" hidden="false" customHeight="true" outlineLevel="0" collapsed="false">
      <c r="A212" s="169"/>
      <c r="B212" s="169"/>
      <c r="C212" s="169"/>
      <c r="D212" s="34"/>
      <c r="E212" s="34"/>
      <c r="F212" s="34"/>
      <c r="G212" s="34"/>
      <c r="H212" s="34"/>
      <c r="I212" s="3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customFormat="false" ht="12.75" hidden="false" customHeight="true" outlineLevel="0" collapsed="false">
      <c r="A213" s="170"/>
      <c r="B213" s="170"/>
      <c r="C213" s="170"/>
      <c r="D213" s="34"/>
      <c r="E213" s="34"/>
      <c r="F213" s="34"/>
      <c r="G213" s="34"/>
      <c r="H213" s="34"/>
      <c r="I213" s="3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customFormat="false" ht="15" hidden="false" customHeight="true" outlineLevel="0" collapsed="false">
      <c r="A214" s="171"/>
      <c r="B214" s="171"/>
      <c r="C214" s="171"/>
      <c r="D214" s="171"/>
      <c r="E214" s="171"/>
      <c r="F214" s="171"/>
      <c r="G214" s="171"/>
      <c r="H214" s="171"/>
      <c r="I214" s="17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customFormat="false" ht="12.75" hidden="false" customHeight="true" outlineLevel="0" collapsed="false">
      <c r="A215" s="171"/>
      <c r="B215" s="171"/>
      <c r="C215" s="171"/>
      <c r="D215" s="171"/>
      <c r="E215" s="171"/>
      <c r="F215" s="171"/>
      <c r="G215" s="171"/>
      <c r="H215" s="171"/>
      <c r="I215" s="17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customFormat="false" ht="27" hidden="false" customHeight="true" outlineLevel="0" collapsed="false">
      <c r="A216" s="172" t="s">
        <v>238</v>
      </c>
      <c r="B216" s="172"/>
      <c r="C216" s="172"/>
      <c r="D216" s="172"/>
      <c r="E216" s="172"/>
      <c r="F216" s="172"/>
      <c r="G216" s="172"/>
      <c r="H216" s="172"/>
      <c r="I216" s="17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customFormat="false" ht="12.75" hidden="false" customHeight="true" outlineLevel="0" collapsed="false">
      <c r="A217" s="8" t="s">
        <v>202</v>
      </c>
      <c r="B217" s="8"/>
      <c r="C217" s="8"/>
      <c r="D217" s="8"/>
      <c r="E217" s="8"/>
      <c r="F217" s="8"/>
      <c r="G217" s="8"/>
      <c r="H217" s="8" t="s">
        <v>203</v>
      </c>
      <c r="I217" s="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customFormat="false" ht="15" hidden="false" customHeight="true" outlineLevel="0" collapsed="false">
      <c r="A218" s="173"/>
      <c r="B218" s="173"/>
      <c r="C218" s="173"/>
      <c r="D218" s="173"/>
      <c r="E218" s="173"/>
      <c r="F218" s="173"/>
      <c r="G218" s="173"/>
      <c r="H218" s="8"/>
      <c r="I218" s="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customFormat="false" ht="12.75" hidden="false" customHeight="true" outlineLevel="0" collapsed="false">
      <c r="A219" s="169"/>
      <c r="B219" s="169"/>
      <c r="C219" s="169"/>
      <c r="D219" s="169"/>
      <c r="E219" s="169"/>
      <c r="F219" s="169"/>
      <c r="G219" s="169"/>
      <c r="H219" s="8"/>
      <c r="I219" s="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customFormat="false" ht="12.75" hidden="false" customHeight="true" outlineLevel="0" collapsed="false">
      <c r="A220" s="170"/>
      <c r="B220" s="170"/>
      <c r="C220" s="170"/>
      <c r="D220" s="170"/>
      <c r="E220" s="170"/>
      <c r="F220" s="170"/>
      <c r="G220" s="170"/>
      <c r="H220" s="8"/>
      <c r="I220" s="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customFormat="false" ht="12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customFormat="false" ht="12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customFormat="false" ht="12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customFormat="false" ht="12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customFormat="false" ht="12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customFormat="false" ht="12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customFormat="false" ht="12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customFormat="false" ht="12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customFormat="false" ht="12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customFormat="false" ht="12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customFormat="false" ht="12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customFormat="false" ht="12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customFormat="false" ht="12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customFormat="false" ht="12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customFormat="false" ht="12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customFormat="false" ht="12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customFormat="false" ht="12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customFormat="false" ht="12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customFormat="false" ht="12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customFormat="false" ht="12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customFormat="false" ht="12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customFormat="false" ht="12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customFormat="false" ht="12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customFormat="false" ht="12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customFormat="false" ht="12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customFormat="false" ht="12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customFormat="false" ht="12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customFormat="false" ht="12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customFormat="false" ht="12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customFormat="false" ht="12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customFormat="false" ht="12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customFormat="false" ht="12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customFormat="false" ht="12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customFormat="false" ht="12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customFormat="false" ht="12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customFormat="false" ht="12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customFormat="false" ht="12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customFormat="false" ht="12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customFormat="false" ht="12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customFormat="false" ht="12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customFormat="false" ht="12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customFormat="false" ht="12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customFormat="false" ht="12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customFormat="false" ht="12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customFormat="false" ht="12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customFormat="false" ht="12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customFormat="false" ht="12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customFormat="false" ht="12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customFormat="false" ht="12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customFormat="false" ht="12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customFormat="false" ht="12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customFormat="false" ht="12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customFormat="false" ht="12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customFormat="false" ht="12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customFormat="false" ht="12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customFormat="false" ht="12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customFormat="false" ht="12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customFormat="false" ht="12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customFormat="false" ht="12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customFormat="false" ht="12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customFormat="false" ht="12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customFormat="false" ht="12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customFormat="false" ht="12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customFormat="false" ht="12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customFormat="false" ht="12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customFormat="false" ht="12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customFormat="false" ht="12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customFormat="false" ht="12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customFormat="false" ht="12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customFormat="false" ht="12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customFormat="false" ht="12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customFormat="false" ht="12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customFormat="false" ht="12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customFormat="false" ht="12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customFormat="false" ht="12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customFormat="false" ht="12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customFormat="false" ht="12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customFormat="false" ht="12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customFormat="false" ht="12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customFormat="false" ht="12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customFormat="false" ht="12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customFormat="false" ht="12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customFormat="false" ht="12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customFormat="false" ht="12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customFormat="false" ht="12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customFormat="false" ht="12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customFormat="false" ht="12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customFormat="false" ht="12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customFormat="false" ht="12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customFormat="false" ht="12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customFormat="false" ht="12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customFormat="false" ht="12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customFormat="false" ht="12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customFormat="false" ht="12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customFormat="false" ht="12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customFormat="false" ht="12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customFormat="false" ht="12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customFormat="false" ht="12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customFormat="false" ht="12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customFormat="false" ht="12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customFormat="false" ht="12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customFormat="false" ht="12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customFormat="false" ht="12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customFormat="false" ht="12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customFormat="false" ht="12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customFormat="false" ht="12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customFormat="false" ht="12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customFormat="false" ht="12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customFormat="false" ht="12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customFormat="false" ht="12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customFormat="false" ht="12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customFormat="false" ht="12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customFormat="false" ht="12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customFormat="false" ht="12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customFormat="false" ht="12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customFormat="false" ht="12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customFormat="false" ht="12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customFormat="false" ht="12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customFormat="false" ht="12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customFormat="false" ht="12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customFormat="false" ht="12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customFormat="false" ht="12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customFormat="false" ht="12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customFormat="false" ht="12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customFormat="false" ht="12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customFormat="false" ht="12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customFormat="false" ht="12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customFormat="false" ht="12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customFormat="false" ht="12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customFormat="false" ht="12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customFormat="false" ht="12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customFormat="false" ht="12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customFormat="false" ht="12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customFormat="false" ht="12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customFormat="false" ht="12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customFormat="false" ht="12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customFormat="false" ht="12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customFormat="false" ht="12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customFormat="false" ht="12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customFormat="false" ht="12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customFormat="false" ht="12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customFormat="false" ht="12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customFormat="false" ht="12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customFormat="false" ht="12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customFormat="false" ht="12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customFormat="false" ht="12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customFormat="false" ht="12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customFormat="false" ht="12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customFormat="false" ht="12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customFormat="false" ht="12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customFormat="false" ht="12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customFormat="false" ht="12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customFormat="false" ht="12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customFormat="false" ht="12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customFormat="false" ht="12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customFormat="false" ht="12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customFormat="false" ht="12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customFormat="false" ht="12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customFormat="false" ht="12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customFormat="false" ht="12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customFormat="false" ht="12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customFormat="false" ht="12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customFormat="false" ht="12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customFormat="false" ht="12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customFormat="false" ht="12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customFormat="false" ht="12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customFormat="false" ht="12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customFormat="false" ht="12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customFormat="false" ht="12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customFormat="false" ht="12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customFormat="false" ht="12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customFormat="false" ht="12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customFormat="false" ht="12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customFormat="false" ht="12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customFormat="false" ht="12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customFormat="false" ht="12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customFormat="false" ht="12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customFormat="false" ht="12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customFormat="false" ht="12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customFormat="false" ht="12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customFormat="false" ht="12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customFormat="false" ht="12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customFormat="false" ht="12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customFormat="false" ht="12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customFormat="false" ht="12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customFormat="false" ht="12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customFormat="false" ht="12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customFormat="false" ht="12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customFormat="false" ht="12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customFormat="false" ht="12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customFormat="false" ht="12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customFormat="false" ht="12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customFormat="false" ht="12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customFormat="false" ht="12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customFormat="false" ht="12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customFormat="false" ht="12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customFormat="false" ht="12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customFormat="false" ht="12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customFormat="false" ht="12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customFormat="false" ht="12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customFormat="false" ht="12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customFormat="false" ht="12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customFormat="false" ht="12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customFormat="false" ht="12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customFormat="false" ht="12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customFormat="false" ht="12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customFormat="false" ht="12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customFormat="false" ht="12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customFormat="false" ht="12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customFormat="false" ht="12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customFormat="false" ht="12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customFormat="false" ht="12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customFormat="false" ht="12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customFormat="false" ht="12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customFormat="false" ht="12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customFormat="false" ht="12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customFormat="false" ht="12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customFormat="false" ht="12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customFormat="false" ht="12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customFormat="false" ht="12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customFormat="false" ht="12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customFormat="false" ht="12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customFormat="false" ht="12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customFormat="false" ht="12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customFormat="false" ht="12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customFormat="false" ht="12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customFormat="false" ht="12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customFormat="false" ht="12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customFormat="false" ht="12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customFormat="false" ht="12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customFormat="false" ht="12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customFormat="false" ht="12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customFormat="false" ht="12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customFormat="false" ht="12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customFormat="false" ht="12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customFormat="false" ht="12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customFormat="false" ht="12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customFormat="false" ht="12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customFormat="false" ht="12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customFormat="false" ht="12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customFormat="false" ht="12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customFormat="false" ht="12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customFormat="false" ht="12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customFormat="false" ht="12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customFormat="false" ht="12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customFormat="false" ht="12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customFormat="false" ht="12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customFormat="false" ht="12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customFormat="false" ht="12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customFormat="false" ht="12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customFormat="false" ht="12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customFormat="false" ht="12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customFormat="false" ht="12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customFormat="false" ht="12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customFormat="false" ht="12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customFormat="false" ht="12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customFormat="false" ht="12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customFormat="false" ht="12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customFormat="false" ht="12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customFormat="false" ht="12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customFormat="false" ht="12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customFormat="false" ht="12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customFormat="false" ht="12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customFormat="false" ht="12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customFormat="false" ht="12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customFormat="false" ht="12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customFormat="false" ht="12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customFormat="false" ht="12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customFormat="false" ht="12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customFormat="false" ht="12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customFormat="false" ht="12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customFormat="false" ht="12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customFormat="false" ht="12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customFormat="false" ht="12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customFormat="false" ht="12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customFormat="false" ht="12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customFormat="false" ht="12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customFormat="false" ht="12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customFormat="false" ht="12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customFormat="false" ht="12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customFormat="false" ht="12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customFormat="false" ht="12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customFormat="false" ht="12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customFormat="false" ht="12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customFormat="false" ht="12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customFormat="false" ht="12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customFormat="false" ht="12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customFormat="false" ht="12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customFormat="false" ht="12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customFormat="false" ht="12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customFormat="false" ht="12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customFormat="false" ht="12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customFormat="false" ht="12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customFormat="false" ht="12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customFormat="false" ht="12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customFormat="false" ht="12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customFormat="false" ht="12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customFormat="false" ht="12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customFormat="false" ht="12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customFormat="false" ht="12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customFormat="false" ht="12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customFormat="false" ht="12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customFormat="false" ht="12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customFormat="false" ht="12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customFormat="false" ht="12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customFormat="false" ht="12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customFormat="false" ht="12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customFormat="false" ht="12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customFormat="false" ht="12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customFormat="false" ht="12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customFormat="false" ht="12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customFormat="false" ht="12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customFormat="false" ht="12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customFormat="false" ht="12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customFormat="false" ht="12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customFormat="false" ht="12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customFormat="false" ht="12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customFormat="false" ht="12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customFormat="false" ht="12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customFormat="false" ht="12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customFormat="false" ht="12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customFormat="false" ht="12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customFormat="false" ht="12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customFormat="false" ht="12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customFormat="false" ht="12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customFormat="false" ht="12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customFormat="false" ht="12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customFormat="false" ht="12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customFormat="false" ht="12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customFormat="false" ht="12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customFormat="false" ht="12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customFormat="false" ht="12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customFormat="false" ht="12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customFormat="false" ht="12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customFormat="false" ht="12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customFormat="false" ht="12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customFormat="false" ht="12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customFormat="false" ht="12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customFormat="false" ht="12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customFormat="false" ht="12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customFormat="false" ht="12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customFormat="false" ht="12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customFormat="false" ht="12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customFormat="false" ht="12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customFormat="false" ht="12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customFormat="false" ht="12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customFormat="false" ht="12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customFormat="false" ht="12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customFormat="false" ht="12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customFormat="false" ht="12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customFormat="false" ht="12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customFormat="false" ht="12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customFormat="false" ht="12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customFormat="false" ht="12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customFormat="false" ht="12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customFormat="false" ht="12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customFormat="false" ht="12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customFormat="false" ht="12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customFormat="false" ht="12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customFormat="false" ht="12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customFormat="false" ht="12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customFormat="false" ht="12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customFormat="false" ht="12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customFormat="false" ht="12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customFormat="false" ht="12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customFormat="false" ht="12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customFormat="false" ht="12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customFormat="false" ht="12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customFormat="false" ht="12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customFormat="false" ht="12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customFormat="false" ht="12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customFormat="false" ht="12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customFormat="false" ht="12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customFormat="false" ht="12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customFormat="false" ht="12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customFormat="false" ht="12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customFormat="false" ht="12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customFormat="false" ht="12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customFormat="false" ht="12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customFormat="false" ht="12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customFormat="false" ht="12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customFormat="false" ht="12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customFormat="false" ht="12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customFormat="false" ht="12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customFormat="false" ht="12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customFormat="false" ht="12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customFormat="false" ht="12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customFormat="false" ht="12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customFormat="false" ht="12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customFormat="false" ht="12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customFormat="false" ht="12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customFormat="false" ht="12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customFormat="false" ht="12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customFormat="false" ht="12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customFormat="false" ht="12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customFormat="false" ht="12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customFormat="false" ht="12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customFormat="false" ht="12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customFormat="false" ht="12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customFormat="false" ht="12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customFormat="false" ht="12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customFormat="false" ht="12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customFormat="false" ht="12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customFormat="false" ht="12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customFormat="false" ht="12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customFormat="false" ht="12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customFormat="false" ht="12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customFormat="false" ht="12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customFormat="false" ht="12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customFormat="false" ht="12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customFormat="false" ht="12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customFormat="false" ht="12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customFormat="false" ht="12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customFormat="false" ht="12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customFormat="false" ht="12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customFormat="false" ht="12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customFormat="false" ht="12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customFormat="false" ht="12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customFormat="false" ht="12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customFormat="false" ht="12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customFormat="false" ht="12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customFormat="false" ht="12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customFormat="false" ht="12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customFormat="false" ht="12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customFormat="false" ht="12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customFormat="false" ht="12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customFormat="false" ht="12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customFormat="false" ht="12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customFormat="false" ht="12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customFormat="false" ht="12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customFormat="false" ht="12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customFormat="false" ht="12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customFormat="false" ht="12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customFormat="false" ht="12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customFormat="false" ht="12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customFormat="false" ht="12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customFormat="false" ht="12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customFormat="false" ht="12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customFormat="false" ht="12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customFormat="false" ht="12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customFormat="false" ht="12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customFormat="false" ht="12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customFormat="false" ht="12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customFormat="false" ht="12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customFormat="false" ht="12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customFormat="false" ht="12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customFormat="false" ht="12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customFormat="false" ht="12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customFormat="false" ht="12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customFormat="false" ht="12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customFormat="false" ht="12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customFormat="false" ht="12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customFormat="false" ht="12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customFormat="false" ht="12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customFormat="false" ht="12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customFormat="false" ht="12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customFormat="false" ht="12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customFormat="false" ht="12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customFormat="false" ht="12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customFormat="false" ht="12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customFormat="false" ht="12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customFormat="false" ht="12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customFormat="false" ht="12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customFormat="false" ht="12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customFormat="false" ht="12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customFormat="false" ht="12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customFormat="false" ht="12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customFormat="false" ht="12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customFormat="false" ht="12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customFormat="false" ht="12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customFormat="false" ht="12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customFormat="false" ht="12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customFormat="false" ht="12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customFormat="false" ht="12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customFormat="false" ht="12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customFormat="false" ht="12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customFormat="false" ht="12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customFormat="false" ht="12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customFormat="false" ht="12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customFormat="false" ht="12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customFormat="false" ht="12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customFormat="false" ht="12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customFormat="false" ht="12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customFormat="false" ht="12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customFormat="false" ht="12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customFormat="false" ht="12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customFormat="false" ht="12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customFormat="false" ht="12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customFormat="false" ht="12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customFormat="false" ht="12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customFormat="false" ht="12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customFormat="false" ht="12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customFormat="false" ht="12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customFormat="false" ht="12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customFormat="false" ht="12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customFormat="false" ht="12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customFormat="false" ht="12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customFormat="false" ht="12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customFormat="false" ht="12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customFormat="false" ht="12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customFormat="false" ht="12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customFormat="false" ht="12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customFormat="false" ht="12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customFormat="false" ht="12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customFormat="false" ht="12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customFormat="false" ht="12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customFormat="false" ht="12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customFormat="false" ht="12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customFormat="false" ht="12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customFormat="false" ht="12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customFormat="false" ht="12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customFormat="false" ht="12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customFormat="false" ht="12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customFormat="false" ht="12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customFormat="false" ht="12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customFormat="false" ht="12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customFormat="false" ht="12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customFormat="false" ht="12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customFormat="false" ht="12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customFormat="false" ht="12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customFormat="false" ht="12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customFormat="false" ht="12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customFormat="false" ht="12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customFormat="false" ht="12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customFormat="false" ht="12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customFormat="false" ht="12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customFormat="false" ht="12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customFormat="false" ht="12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customFormat="false" ht="12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customFormat="false" ht="12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customFormat="false" ht="12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customFormat="false" ht="12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customFormat="false" ht="12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customFormat="false" ht="12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customFormat="false" ht="12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customFormat="false" ht="12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customFormat="false" ht="12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customFormat="false" ht="12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customFormat="false" ht="12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customFormat="false" ht="12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customFormat="false" ht="12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customFormat="false" ht="12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customFormat="false" ht="12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customFormat="false" ht="12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customFormat="false" ht="12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customFormat="false" ht="12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customFormat="false" ht="12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customFormat="false" ht="12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customFormat="false" ht="12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customFormat="false" ht="12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customFormat="false" ht="12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customFormat="false" ht="12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customFormat="false" ht="12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customFormat="false" ht="12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customFormat="false" ht="12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customFormat="false" ht="12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customFormat="false" ht="12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customFormat="false" ht="12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customFormat="false" ht="12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customFormat="false" ht="12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customFormat="false" ht="12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customFormat="false" ht="12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customFormat="false" ht="12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customFormat="false" ht="12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customFormat="false" ht="12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customFormat="false" ht="12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customFormat="false" ht="12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customFormat="false" ht="12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customFormat="false" ht="12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customFormat="false" ht="12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customFormat="false" ht="12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customFormat="false" ht="12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customFormat="false" ht="12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customFormat="false" ht="12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customFormat="false" ht="12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customFormat="false" ht="12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customFormat="false" ht="12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customFormat="false" ht="12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customFormat="false" ht="12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customFormat="false" ht="12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customFormat="false" ht="12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customFormat="false" ht="12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customFormat="false" ht="12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customFormat="false" ht="12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customFormat="false" ht="12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customFormat="false" ht="12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customFormat="false" ht="12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customFormat="false" ht="12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customFormat="false" ht="12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customFormat="false" ht="12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customFormat="false" ht="12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customFormat="false" ht="12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customFormat="false" ht="12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customFormat="false" ht="12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customFormat="false" ht="12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customFormat="false" ht="12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customFormat="false" ht="12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customFormat="false" ht="12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customFormat="false" ht="12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customFormat="false" ht="12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customFormat="false" ht="12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customFormat="false" ht="12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customFormat="false" ht="12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customFormat="false" ht="12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customFormat="false" ht="12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customFormat="false" ht="12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customFormat="false" ht="12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customFormat="false" ht="12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customFormat="false" ht="12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customFormat="false" ht="12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customFormat="false" ht="12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customFormat="false" ht="12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customFormat="false" ht="12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customFormat="false" ht="12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customFormat="false" ht="12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customFormat="false" ht="12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customFormat="false" ht="12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customFormat="false" ht="12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customFormat="false" ht="12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customFormat="false" ht="12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customFormat="false" ht="12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customFormat="false" ht="12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customFormat="false" ht="12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customFormat="false" ht="12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customFormat="false" ht="12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customFormat="false" ht="12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customFormat="false" ht="12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customFormat="false" ht="12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customFormat="false" ht="12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customFormat="false" ht="12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customFormat="false" ht="12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customFormat="false" ht="12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customFormat="false" ht="12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customFormat="false" ht="12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customFormat="false" ht="12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customFormat="false" ht="12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customFormat="false" ht="12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customFormat="false" ht="12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customFormat="false" ht="12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customFormat="false" ht="12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customFormat="false" ht="12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customFormat="false" ht="12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customFormat="false" ht="12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customFormat="false" ht="12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customFormat="false" ht="12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customFormat="false" ht="12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customFormat="false" ht="12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customFormat="false" ht="12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customFormat="false" ht="12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customFormat="false" ht="12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customFormat="false" ht="12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customFormat="false" ht="12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customFormat="false" ht="12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customFormat="false" ht="12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customFormat="false" ht="12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customFormat="false" ht="12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customFormat="false" ht="12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customFormat="false" ht="12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customFormat="false" ht="12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customFormat="false" ht="12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customFormat="false" ht="12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customFormat="false" ht="12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customFormat="false" ht="12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customFormat="false" ht="12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customFormat="false" ht="12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customFormat="false" ht="12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customFormat="false" ht="12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customFormat="false" ht="12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customFormat="false" ht="12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customFormat="false" ht="12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customFormat="false" ht="12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customFormat="false" ht="12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customFormat="false" ht="12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customFormat="false" ht="12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customFormat="false" ht="12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customFormat="false" ht="12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customFormat="false" ht="12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customFormat="false" ht="12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customFormat="false" ht="12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customFormat="false" ht="12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customFormat="false" ht="12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customFormat="false" ht="12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customFormat="false" ht="12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customFormat="false" ht="12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customFormat="false" ht="12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customFormat="false" ht="12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customFormat="false" ht="12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customFormat="false" ht="12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customFormat="false" ht="12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customFormat="false" ht="12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customFormat="false" ht="12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customFormat="false" ht="12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customFormat="false" ht="12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customFormat="false" ht="12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customFormat="false" ht="12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customFormat="false" ht="12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customFormat="false" ht="12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customFormat="false" ht="12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customFormat="false" ht="12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customFormat="false" ht="12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customFormat="false" ht="12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customFormat="false" ht="12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customFormat="false" ht="12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customFormat="false" ht="12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customFormat="false" ht="12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customFormat="false" ht="12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customFormat="false" ht="12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customFormat="false" ht="12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customFormat="false" ht="12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customFormat="false" ht="12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customFormat="false" ht="12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customFormat="false" ht="12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customFormat="false" ht="12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customFormat="false" ht="12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customFormat="false" ht="12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customFormat="false" ht="12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customFormat="false" ht="12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customFormat="false" ht="12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customFormat="false" ht="12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customFormat="false" ht="12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customFormat="false" ht="12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customFormat="false" ht="12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customFormat="false" ht="12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customFormat="false" ht="12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customFormat="false" ht="12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customFormat="false" ht="12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customFormat="false" ht="12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customFormat="false" ht="12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customFormat="false" ht="12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customFormat="false" ht="12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customFormat="false" ht="12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customFormat="false" ht="12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customFormat="false" ht="12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customFormat="false" ht="12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customFormat="false" ht="12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customFormat="false" ht="12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customFormat="false" ht="12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customFormat="false" ht="12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customFormat="false" ht="12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customFormat="false" ht="12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customFormat="false" ht="12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customFormat="false" ht="12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customFormat="false" ht="12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customFormat="false" ht="12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customFormat="false" ht="12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customFormat="false" ht="12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customFormat="false" ht="12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customFormat="false" ht="12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customFormat="false" ht="12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customFormat="false" ht="12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customFormat="false" ht="12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customFormat="false" ht="12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customFormat="false" ht="12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customFormat="false" ht="12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customFormat="false" ht="12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customFormat="false" ht="12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customFormat="false" ht="12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customFormat="false" ht="12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customFormat="false" ht="12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customFormat="false" ht="12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customFormat="false" ht="12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customFormat="false" ht="12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customFormat="false" ht="12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customFormat="false" ht="12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customFormat="false" ht="12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customFormat="false" ht="12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customFormat="false" ht="12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customFormat="false" ht="12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customFormat="false" ht="12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customFormat="false" ht="12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customFormat="false" ht="12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customFormat="false" ht="12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customFormat="false" ht="12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customFormat="false" ht="12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customFormat="false" ht="12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customFormat="false" ht="12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customFormat="false" ht="12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customFormat="false" ht="12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customFormat="false" ht="12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customFormat="false" ht="12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274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B11:G11"/>
    <mergeCell ref="H11:I11"/>
    <mergeCell ref="A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G20"/>
    <mergeCell ref="H20:I20"/>
    <mergeCell ref="A21:I21"/>
    <mergeCell ref="A22:I22"/>
    <mergeCell ref="A23:I23"/>
    <mergeCell ref="A24:I24"/>
    <mergeCell ref="A25:I25"/>
    <mergeCell ref="A26:I26"/>
    <mergeCell ref="J26:P26"/>
    <mergeCell ref="Q26:X26"/>
    <mergeCell ref="Y26:AD26"/>
    <mergeCell ref="B27:G27"/>
    <mergeCell ref="H27:I27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A37:I37"/>
    <mergeCell ref="A38:I38"/>
    <mergeCell ref="A39:I39"/>
    <mergeCell ref="A40:I40"/>
    <mergeCell ref="B41:G41"/>
    <mergeCell ref="B42:H42"/>
    <mergeCell ref="B43:H43"/>
    <mergeCell ref="B44:H44"/>
    <mergeCell ref="B45:H45"/>
    <mergeCell ref="B46:H46"/>
    <mergeCell ref="B47:G47"/>
    <mergeCell ref="B48:H48"/>
    <mergeCell ref="A49:H49"/>
    <mergeCell ref="A50:I50"/>
    <mergeCell ref="B51:H51"/>
    <mergeCell ref="A52:H52"/>
    <mergeCell ref="A53:I53"/>
    <mergeCell ref="A54:H54"/>
    <mergeCell ref="A55:I55"/>
    <mergeCell ref="A56:I56"/>
    <mergeCell ref="A57:I57"/>
    <mergeCell ref="A58:I58"/>
    <mergeCell ref="A59:I59"/>
    <mergeCell ref="B60:H60"/>
    <mergeCell ref="B61:G61"/>
    <mergeCell ref="B62:G62"/>
    <mergeCell ref="A63:H63"/>
    <mergeCell ref="A64:I64"/>
    <mergeCell ref="A65:I65"/>
    <mergeCell ref="A66:I66"/>
    <mergeCell ref="A67:I67"/>
    <mergeCell ref="B68:G68"/>
    <mergeCell ref="B69:G69"/>
    <mergeCell ref="B70:G70"/>
    <mergeCell ref="B71:C71"/>
    <mergeCell ref="B72:G72"/>
    <mergeCell ref="B73:G73"/>
    <mergeCell ref="B74:G74"/>
    <mergeCell ref="B75:G75"/>
    <mergeCell ref="B76:G76"/>
    <mergeCell ref="A77:G77"/>
    <mergeCell ref="A79:I79"/>
    <mergeCell ref="A80:I80"/>
    <mergeCell ref="A81:I81"/>
    <mergeCell ref="B82:H82"/>
    <mergeCell ref="B83:H83"/>
    <mergeCell ref="B84:G84"/>
    <mergeCell ref="B85:G85"/>
    <mergeCell ref="B86:G86"/>
    <mergeCell ref="B87:G87"/>
    <mergeCell ref="B88:H88"/>
    <mergeCell ref="B89:G89"/>
    <mergeCell ref="B90:G90"/>
    <mergeCell ref="B91:G91"/>
    <mergeCell ref="B92:H92"/>
    <mergeCell ref="B93:H93"/>
    <mergeCell ref="B94:H94"/>
    <mergeCell ref="B95:H95"/>
    <mergeCell ref="B96:H96"/>
    <mergeCell ref="A97:I97"/>
    <mergeCell ref="A98:I98"/>
    <mergeCell ref="A99:I99"/>
    <mergeCell ref="A100:I100"/>
    <mergeCell ref="B101:H101"/>
    <mergeCell ref="B102:H102"/>
    <mergeCell ref="B103:H103"/>
    <mergeCell ref="B104:H104"/>
    <mergeCell ref="A105:H105"/>
    <mergeCell ref="A106:I106"/>
    <mergeCell ref="A107:I107"/>
    <mergeCell ref="B108:H108"/>
    <mergeCell ref="B109:H109"/>
    <mergeCell ref="B110:H110"/>
    <mergeCell ref="B111:H111"/>
    <mergeCell ref="B112:H112"/>
    <mergeCell ref="B113:G113"/>
    <mergeCell ref="A114:H114"/>
    <mergeCell ref="A115:I115"/>
    <mergeCell ref="A116:I116"/>
    <mergeCell ref="A117:I117"/>
    <mergeCell ref="A118:I118"/>
    <mergeCell ref="A119:I119"/>
    <mergeCell ref="A121:I121"/>
    <mergeCell ref="A122:I122"/>
    <mergeCell ref="B123:H123"/>
    <mergeCell ref="B124:F124"/>
    <mergeCell ref="B125:H125"/>
    <mergeCell ref="B126:H126"/>
    <mergeCell ref="B127:H127"/>
    <mergeCell ref="B128:H128"/>
    <mergeCell ref="B129:H129"/>
    <mergeCell ref="A130:H130"/>
    <mergeCell ref="A131:I131"/>
    <mergeCell ref="A132:I132"/>
    <mergeCell ref="B133:H133"/>
    <mergeCell ref="B134:H134"/>
    <mergeCell ref="A135:H135"/>
    <mergeCell ref="A136:I136"/>
    <mergeCell ref="A137:I137"/>
    <mergeCell ref="B138:H138"/>
    <mergeCell ref="B139:H139"/>
    <mergeCell ref="B140:H140"/>
    <mergeCell ref="A141:H141"/>
    <mergeCell ref="A142:I142"/>
    <mergeCell ref="A143:I143"/>
    <mergeCell ref="B144:H144"/>
    <mergeCell ref="B145:H145"/>
    <mergeCell ref="B146:H146"/>
    <mergeCell ref="B147:H147"/>
    <mergeCell ref="A148:H148"/>
    <mergeCell ref="A149:I149"/>
    <mergeCell ref="A150:I150"/>
    <mergeCell ref="A152:I152"/>
    <mergeCell ref="B153:G153"/>
    <mergeCell ref="A154:G154"/>
    <mergeCell ref="B155:G155"/>
    <mergeCell ref="A156:G156"/>
    <mergeCell ref="B157:G157"/>
    <mergeCell ref="A158:G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A168:H168"/>
    <mergeCell ref="A169:I169"/>
    <mergeCell ref="A170:G170"/>
    <mergeCell ref="A171:B173"/>
    <mergeCell ref="C171:I171"/>
    <mergeCell ref="C172:I172"/>
    <mergeCell ref="C173:I173"/>
    <mergeCell ref="A174:I174"/>
    <mergeCell ref="A175:I175"/>
    <mergeCell ref="A176:I176"/>
    <mergeCell ref="A177:I177"/>
    <mergeCell ref="A178:H178"/>
    <mergeCell ref="B179:H179"/>
    <mergeCell ref="B180:H180"/>
    <mergeCell ref="B181:H181"/>
    <mergeCell ref="B182:H182"/>
    <mergeCell ref="B183:H183"/>
    <mergeCell ref="A184:H184"/>
    <mergeCell ref="B185:H185"/>
    <mergeCell ref="A186:H186"/>
    <mergeCell ref="A187:I187"/>
    <mergeCell ref="A188:I188"/>
    <mergeCell ref="A190:I190"/>
    <mergeCell ref="A191:D191"/>
    <mergeCell ref="E191:F191"/>
    <mergeCell ref="H191:I191"/>
    <mergeCell ref="A192:D192"/>
    <mergeCell ref="E192:F192"/>
    <mergeCell ref="H192:I192"/>
    <mergeCell ref="A193:D193"/>
    <mergeCell ref="E193:F193"/>
    <mergeCell ref="H193:I193"/>
    <mergeCell ref="A194:D194"/>
    <mergeCell ref="E194:F194"/>
    <mergeCell ref="H194:I194"/>
    <mergeCell ref="A195:D195"/>
    <mergeCell ref="E195:F195"/>
    <mergeCell ref="H195:I195"/>
    <mergeCell ref="A196:D196"/>
    <mergeCell ref="E196:F196"/>
    <mergeCell ref="H196:I196"/>
    <mergeCell ref="A197:D197"/>
    <mergeCell ref="E197:F197"/>
    <mergeCell ref="H197:I197"/>
    <mergeCell ref="A198:F198"/>
    <mergeCell ref="H198:I198"/>
    <mergeCell ref="A199:I199"/>
    <mergeCell ref="A200:I200"/>
    <mergeCell ref="A201:I201"/>
    <mergeCell ref="A202:F202"/>
    <mergeCell ref="G202:I202"/>
    <mergeCell ref="A203:I203"/>
    <mergeCell ref="A204:F204"/>
    <mergeCell ref="G204:I204"/>
    <mergeCell ref="A205:I205"/>
    <mergeCell ref="A206:F206"/>
    <mergeCell ref="G206:I206"/>
    <mergeCell ref="A207:I207"/>
    <mergeCell ref="A208:I208"/>
    <mergeCell ref="A209:C210"/>
    <mergeCell ref="D209:I210"/>
    <mergeCell ref="A211:C211"/>
    <mergeCell ref="D211:I211"/>
    <mergeCell ref="A212:C212"/>
    <mergeCell ref="D212:I212"/>
    <mergeCell ref="A213:C213"/>
    <mergeCell ref="D213:I213"/>
    <mergeCell ref="A214:I215"/>
    <mergeCell ref="A216:I216"/>
    <mergeCell ref="A217:G217"/>
    <mergeCell ref="H217:I217"/>
    <mergeCell ref="A218:G218"/>
    <mergeCell ref="H218:I218"/>
    <mergeCell ref="A219:G219"/>
    <mergeCell ref="H219:I219"/>
    <mergeCell ref="A220:G220"/>
    <mergeCell ref="H220:I22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7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11.5"/>
    <col collapsed="false" customWidth="true" hidden="false" outlineLevel="0" max="2" min="2" style="0" width="27.99"/>
    <col collapsed="false" customWidth="true" hidden="false" outlineLevel="0" max="3" min="3" style="0" width="19.38"/>
    <col collapsed="false" customWidth="true" hidden="false" outlineLevel="0" max="4" min="4" style="0" width="15.63"/>
    <col collapsed="false" customWidth="true" hidden="false" outlineLevel="0" max="5" min="5" style="0" width="23.01"/>
    <col collapsed="false" customWidth="true" hidden="false" outlineLevel="0" max="6" min="6" style="0" width="20.99"/>
    <col collapsed="false" customWidth="true" hidden="false" outlineLevel="0" max="26" min="7" style="0" width="8.63"/>
  </cols>
  <sheetData>
    <row r="1" customFormat="false" ht="12.75" hidden="false" customHeight="true" outlineLevel="0" collapsed="false">
      <c r="A1" s="192" t="s">
        <v>239</v>
      </c>
      <c r="B1" s="192"/>
      <c r="C1" s="192"/>
      <c r="D1" s="192"/>
      <c r="E1" s="192"/>
      <c r="F1" s="192"/>
    </row>
    <row r="2" customFormat="false" ht="12.75" hidden="false" customHeight="true" outlineLevel="0" collapsed="false">
      <c r="A2" s="193"/>
      <c r="B2" s="192" t="s">
        <v>240</v>
      </c>
      <c r="C2" s="192" t="s">
        <v>241</v>
      </c>
      <c r="D2" s="192" t="s">
        <v>242</v>
      </c>
      <c r="E2" s="192" t="s">
        <v>243</v>
      </c>
      <c r="F2" s="192" t="s">
        <v>244</v>
      </c>
    </row>
    <row r="3" customFormat="false" ht="12.75" hidden="false" customHeight="true" outlineLevel="0" collapsed="false">
      <c r="A3" s="193" t="s">
        <v>245</v>
      </c>
      <c r="B3" s="193" t="s">
        <v>246</v>
      </c>
      <c r="C3" s="194" t="n">
        <f aca="false">'Campus Caxias do Sul - Diurno'!E191</f>
        <v>11272.09</v>
      </c>
      <c r="D3" s="193" t="n">
        <v>2</v>
      </c>
      <c r="E3" s="195" t="n">
        <f aca="false">D3*C3</f>
        <v>22544.18</v>
      </c>
      <c r="F3" s="195" t="n">
        <f aca="false">E3*12</f>
        <v>270530.16</v>
      </c>
    </row>
    <row r="4" customFormat="false" ht="12.75" hidden="false" customHeight="true" outlineLevel="0" collapsed="false">
      <c r="A4" s="193" t="s">
        <v>247</v>
      </c>
      <c r="B4" s="193" t="s">
        <v>248</v>
      </c>
      <c r="C4" s="194" t="n">
        <f aca="false">'Campus Caxias do Sul - Noturno'!E194</f>
        <v>13263.22</v>
      </c>
      <c r="D4" s="193" t="n">
        <v>2</v>
      </c>
      <c r="E4" s="195" t="n">
        <f aca="false">C4*D4</f>
        <v>26526.44</v>
      </c>
      <c r="F4" s="195" t="n">
        <f aca="false">E4*12</f>
        <v>318317.28</v>
      </c>
    </row>
    <row r="5" customFormat="false" ht="12.75" hidden="false" customHeight="true" outlineLevel="0" collapsed="false">
      <c r="A5" s="196" t="s">
        <v>72</v>
      </c>
      <c r="B5" s="196"/>
      <c r="C5" s="196"/>
      <c r="D5" s="196"/>
      <c r="E5" s="195" t="n">
        <f aca="false">SUM(E3:E4)</f>
        <v>49070.62</v>
      </c>
      <c r="F5" s="195" t="n">
        <f aca="false">SUM(F3:F4)</f>
        <v>588847.44</v>
      </c>
    </row>
    <row r="6" customFormat="false" ht="12.75" hidden="false" customHeight="true" outlineLevel="0" collapsed="false"/>
    <row r="7" customFormat="false" ht="12.75" hidden="false" customHeight="true" outlineLevel="0" collapsed="false"/>
    <row r="8" customFormat="false" ht="12.75" hidden="false" customHeight="true" outlineLevel="0" collapsed="false"/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2">
    <mergeCell ref="A1:F1"/>
    <mergeCell ref="A5:D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2024-06-20T15:17:21Z</dcterms:modified>
  <cp:revision>1</cp:revision>
  <dc:subject/>
  <dc:title/>
</cp:coreProperties>
</file>