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salubridade 20%" sheetId="1" r:id="rId1"/>
    <sheet name="Insalubridade 40%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21" authorId="0">
      <text>
        <r>
          <rPr>
            <b/>
            <sz val="8"/>
            <color indexed="8"/>
            <rFont val="Tahoma"/>
            <family val="2"/>
          </rPr>
          <t>em horas</t>
        </r>
      </text>
    </comment>
  </commentList>
</comments>
</file>

<file path=xl/sharedStrings.xml><?xml version="1.0" encoding="utf-8"?>
<sst xmlns="http://schemas.openxmlformats.org/spreadsheetml/2006/main" count="641" uniqueCount="254">
  <si>
    <r>
      <rPr>
        <b/>
        <sz val="18"/>
        <color indexed="20"/>
        <rFont val="Arial"/>
        <family val="2"/>
      </rPr>
      <t xml:space="preserve">LIMPEZA - Regime de Tributação: </t>
    </r>
    <r>
      <rPr>
        <b/>
        <sz val="18"/>
        <color indexed="12"/>
        <rFont val="Arial"/>
        <family val="2"/>
      </rPr>
      <t xml:space="preserve">Lucro Real </t>
    </r>
  </si>
  <si>
    <r>
      <rPr>
        <b/>
        <sz val="18"/>
        <rFont val="Arial"/>
        <family val="2"/>
      </rPr>
      <t>ANEXO IV A - do Pregão 46/2022 –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2"/>
        <rFont val="Arial"/>
        <family val="2"/>
      </rPr>
      <t xml:space="preserve">CONTA VINCULADA 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</si>
  <si>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</t>
  </si>
  <si>
    <t>23362.000387/2022-12</t>
  </si>
  <si>
    <t>Licitação nº:</t>
  </si>
  <si>
    <t>Pregão  nº 46/2022</t>
  </si>
  <si>
    <t xml:space="preserve">Dia: </t>
  </si>
  <si>
    <t xml:space="preserve">DISCRIMINAÇÃO DOS SERVIÇOS (DADOS REFERENTES À CONTRATAÇÃO) </t>
  </si>
  <si>
    <t>A</t>
  </si>
  <si>
    <t>Data de apresentação da proposta (dia/mês/ano)</t>
  </si>
  <si>
    <t>xx/xx/2022</t>
  </si>
  <si>
    <t>B</t>
  </si>
  <si>
    <t>Município/UF</t>
  </si>
  <si>
    <t>Caxias do Sul/RS</t>
  </si>
  <si>
    <t>C</t>
  </si>
  <si>
    <t>Ano do Acordo, Convenção ou Dissídio Coletivo</t>
  </si>
  <si>
    <t>01/01/22 a 31/12/22
SEEAC/SINDLIMP.CX.SUL/RS 
(que engloba Caxias do Sul)
REG MTE: RS005069/2021</t>
  </si>
  <si>
    <t>D</t>
  </si>
  <si>
    <t>Número de meses de execução contratual</t>
  </si>
  <si>
    <t xml:space="preserve">IDENTIFICAÇÃO DO SERVIÇO </t>
  </si>
  <si>
    <r>
      <rPr>
        <b/>
        <sz val="10"/>
        <rFont val="Arial"/>
        <family val="2"/>
      </rPr>
      <t xml:space="preserve">Tipo de Serviço: 
                                Limpeza e Conservação Predial                                                                 </t>
    </r>
    <r>
      <rPr>
        <b/>
        <sz val="10"/>
        <color indexed="10"/>
        <rFont val="Arial"/>
        <family val="0"/>
      </rPr>
      <t>SEM BANHEIROS - INSALUBRIDADE 20%</t>
    </r>
    <r>
      <rPr>
        <b/>
        <sz val="10"/>
        <rFont val="Arial"/>
        <family val="2"/>
      </rPr>
      <t xml:space="preserve">                                                </t>
    </r>
  </si>
  <si>
    <t>Unidade
 de 
Medida</t>
  </si>
  <si>
    <t xml:space="preserve">Quantidade total a contratar (Em função da unidade de medida) </t>
  </si>
  <si>
    <t>b) Áreas internas - Pisos frios</t>
  </si>
  <si>
    <t>m2</t>
  </si>
  <si>
    <t>c) Áreas internas - Laboratórios</t>
  </si>
  <si>
    <t>f) Áreas internas - Áreas com espaços livres - saguão, hall, corredor/escadas e Rampas</t>
  </si>
  <si>
    <t>m-2</t>
  </si>
  <si>
    <t>m-1</t>
  </si>
  <si>
    <t>m0</t>
  </si>
  <si>
    <t>m1</t>
  </si>
  <si>
    <t>TOTAL DA ÁREA INTERNA</t>
  </si>
  <si>
    <t>a) Áreas externas - Pisos pavimentados adjacentes/contíguos às edificações</t>
  </si>
  <si>
    <t>b) Áreas externas -  Varrição de passeios/arruamentos e quadra coberta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</si>
  <si>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</si>
  <si>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</si>
  <si>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</si>
  <si>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</si>
  <si>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</si>
  <si>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</si>
  <si>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</si>
  <si>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</si>
  <si>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</si>
  <si>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</si>
  <si>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</si>
  <si>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</si>
  <si>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</si>
  <si>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</si>
  <si>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r>
      <rPr>
        <b/>
        <sz val="10"/>
        <rFont val="Arial"/>
        <family val="2"/>
      </rP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</si>
  <si>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</si>
  <si>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 xml:space="preserve">      servente de limpeza</t>
  </si>
  <si>
    <t>Data-Base da Categoria (dia/mês/ano)</t>
  </si>
  <si>
    <t>1º de janeiro de 2022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</si>
  <si>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</si>
  <si>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</si>
  <si>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</si>
  <si>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</si>
  <si>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</si>
  <si>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  <family val="2"/>
      </rPr>
      <t xml:space="preserve">Salário-Base    </t>
    </r>
    <r>
      <rPr>
        <b/>
        <sz val="10"/>
        <color indexed="10"/>
        <rFont val="Arial"/>
        <family val="2"/>
      </rPr>
      <t xml:space="preserve">(valor para somente 1 servente de limpeza) 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horas semanais </t>
    </r>
  </si>
  <si>
    <r>
      <rPr>
        <b/>
        <sz val="10"/>
        <rFont val="Arial"/>
        <family val="2"/>
      </rPr>
      <t xml:space="preserve">Adicional de Periculosidade </t>
    </r>
    <r>
      <rPr>
        <b/>
        <sz val="10"/>
        <color indexed="12"/>
        <rFont val="Arial"/>
        <family val="2"/>
      </rPr>
      <t>(excluir esta linha, como regra)</t>
    </r>
  </si>
  <si>
    <r>
      <rPr>
        <b/>
        <sz val="10"/>
        <rFont val="Arial"/>
        <family val="2"/>
      </rP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(20% do SB: cláusula 17 da CCT 2022)</t>
    </r>
  </si>
  <si>
    <t xml:space="preserve">Total </t>
  </si>
  <si>
    <t>Nota1:  O Módulo 1 refere-se ao valor mensal devido ao empregado pela prestação do serviço no período de 12 meses.</t>
  </si>
  <si>
    <t>Módulo 2 – Encargos e Benefícios Anuais, Mensais e Diários</t>
  </si>
  <si>
    <r>
      <rPr>
        <b/>
        <sz val="11"/>
        <rFont val="Arial"/>
        <family val="2"/>
      </rPr>
      <t xml:space="preserve">Submódulo 2.1 – 13º (décimo terceiro) Salário </t>
    </r>
    <r>
      <rPr>
        <b/>
        <strike/>
        <sz val="11"/>
        <color indexed="25"/>
        <rFont val="Arial"/>
        <family val="2"/>
      </rPr>
      <t>(Férias???)</t>
    </r>
    <r>
      <rPr>
        <b/>
        <sz val="11"/>
        <color indexed="19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</si>
  <si>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2.1</t>
  </si>
  <si>
    <r>
      <rPr>
        <b/>
        <sz val="11"/>
        <rFont val="Arial"/>
        <family val="2"/>
      </rPr>
      <t xml:space="preserve">13º (décimo terceiro) Salário </t>
    </r>
    <r>
      <rPr>
        <b/>
        <strike/>
        <sz val="10"/>
        <color indexed="25"/>
        <rFont val="Arial"/>
        <family val="2"/>
      </rPr>
      <t>(Férias???)</t>
    </r>
    <r>
      <rPr>
        <b/>
        <sz val="10"/>
        <color indexed="25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</si>
  <si>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t>Valor (R$)</t>
  </si>
  <si>
    <r>
      <rPr>
        <b/>
        <sz val="10"/>
        <rFont val="Arial"/>
        <family val="2"/>
      </rPr>
      <t>13º (décimo terceiro) Salário</t>
    </r>
    <r>
      <rPr>
        <b/>
        <sz val="11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</si>
  <si>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rPr>
        <b/>
        <strike/>
        <sz val="10"/>
        <color indexed="10"/>
        <rFont val="Arial"/>
        <family val="2"/>
      </rPr>
      <t>(Férias??? e)</t>
    </r>
    <r>
      <rPr>
        <b/>
        <sz val="10"/>
        <rFont val="Arial"/>
        <family val="2"/>
      </rPr>
      <t xml:space="preserve"> 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Obrigatória a cotação de 3,025% sobre o valor do Módulo 1 - Composição da Remuneração, conforme Anexo XII da IN 5/17 (Férias + Adicional = 12,10% = 9,075% + 3,025%). </t>
    </r>
    <r>
      <rPr>
        <b/>
        <sz val="8"/>
        <color indexed="12"/>
        <rFont val="Arial"/>
        <family val="2"/>
      </rPr>
      <t>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  Na hipótese de o contrato não ser prorrogado, o pagamento relativo a Férias do empregado deverá ser efetivado pela provisão feita no Submódulo 4.1.A.</t>
    </r>
  </si>
  <si>
    <t>Total</t>
  </si>
  <si>
    <r>
      <rPr>
        <sz val="9"/>
        <rFont val="Arial"/>
        <family val="2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indexed="10"/>
        <rFont val="Arial"/>
        <family val="2"/>
      </rPr>
      <t>férias</t>
    </r>
    <r>
      <rPr>
        <sz val="9"/>
        <rFont val="Arial"/>
        <family val="2"/>
      </rPr>
      <t xml:space="preserve"> e adicional de férias.
</t>
    </r>
    <r>
      <rPr>
        <strike/>
        <sz val="9"/>
        <rFont val="Arial"/>
        <family val="2"/>
      </rPr>
      <t xml:space="preserve">Nota 2:  O adicional de férias contido no Submódulo 2.1 corresponde a 1/3 (um terço) da remuneração que por sua vez é dividido por 12 (doze) conforme Nota 1 acima. </t>
    </r>
    <r>
      <rPr>
        <b/>
        <strike/>
        <sz val="9"/>
        <color indexed="12"/>
        <rFont val="Arial"/>
        <family val="2"/>
      </rPr>
      <t xml:space="preserve">(Excluir a Nota 2 para Conta Vinculada ou alterar a redação)
</t>
    </r>
    <r>
      <rPr>
        <b/>
        <strike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  <r>
      <rPr>
        <sz val="9"/>
        <rFont val="Arial"/>
        <family val="2"/>
      </rPr>
      <t xml:space="preserve"> </t>
    </r>
    <r>
      <rPr>
        <b/>
        <sz val="9"/>
        <color indexed="62"/>
        <rFont val="Arial"/>
        <family val="2"/>
      </rPr>
      <t xml:space="preserve"> </t>
    </r>
    <r>
      <rPr>
        <b/>
        <strike/>
        <sz val="9"/>
        <color indexed="62"/>
        <rFont val="Arial"/>
        <family val="2"/>
      </rPr>
      <t>EXCLUIR A NOTA 3 E A PALAVRA "FÉRIAS" DA NOTA 1.</t>
    </r>
  </si>
  <si>
    <r>
      <rPr>
        <b/>
        <sz val="11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</si>
  <si>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</si>
  <si>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</si>
  <si>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</si>
  <si>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</si>
  <si>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</si>
  <si>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</si>
  <si>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RAT x FAP
</t>
    </r>
    <r>
      <rPr>
        <b/>
        <sz val="7"/>
        <color indexed="10"/>
        <rFont val="Arial"/>
        <family val="2"/>
      </rPr>
      <t>Cálculo do valor: % do RAT (Riscos Ambientais do Trabalho)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</si>
  <si>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</si>
  <si>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</si>
  <si>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</si>
  <si>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</si>
  <si>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</si>
  <si>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</si>
  <si>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</si>
  <si>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</si>
  <si>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</si>
  <si>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</si>
  <si>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</si>
  <si>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</si>
  <si>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</si>
  <si>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</si>
  <si>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</si>
  <si>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[(2xVTx22) – (6%xSB)]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</si>
  <si>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>A.1) Valor da passagem do transporte coletivo no município de prestação dos serviços: (DECRETO Nº 22.144, DE 08.07.2022, de Caxias do Sul)</t>
    </r>
  </si>
  <si>
    <t>-</t>
  </si>
  <si>
    <r>
      <rPr>
        <b/>
        <sz val="9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</si>
  <si>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A.3) Quantidade de dias do mês de recebimento de passagens </t>
    </r>
  </si>
  <si>
    <r>
      <rPr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A.4) Participação do empregado em percentual do salário-base </t>
    </r>
    <r>
      <rPr>
        <b/>
        <sz val="9"/>
        <color indexed="10"/>
        <rFont val="Arial"/>
        <family val="2"/>
      </rPr>
      <t>(clausula 20 da CCT 2022)</t>
    </r>
  </si>
  <si>
    <r>
      <rPr>
        <b/>
        <sz val="10"/>
        <rFont val="Arial"/>
        <family val="2"/>
      </rPr>
      <t xml:space="preserve">Auxílio-Refeição/Alimentação </t>
    </r>
    <r>
      <rPr>
        <b/>
        <sz val="8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</si>
  <si>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18 da CCT 2022): </t>
    </r>
  </si>
  <si>
    <r>
      <rPr>
        <b/>
        <sz val="9"/>
        <rFont val="Arial"/>
        <family val="2"/>
      </rP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</si>
  <si>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</si>
  <si>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</si>
  <si>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rPr>
        <b/>
        <sz val="10"/>
        <rFont val="Arial"/>
        <family val="2"/>
      </rPr>
      <t xml:space="preserve">Plano de Benefício Social Familiar </t>
    </r>
    <r>
      <rPr>
        <b/>
        <sz val="10"/>
        <color indexed="10"/>
        <rFont val="Arial"/>
        <family val="2"/>
      </rPr>
      <t xml:space="preserve">(cláusula 29 da CCT 2022)  </t>
    </r>
    <r>
      <rPr>
        <b/>
        <sz val="10"/>
        <color indexed="12"/>
        <rFont val="Arial"/>
        <family val="2"/>
      </rPr>
      <t xml:space="preserve">Sem participação do empregado 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</si>
  <si>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</si>
  <si>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</si>
  <si>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</si>
  <si>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</si>
  <si>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  <family val="2"/>
      </rPr>
      <t xml:space="preserve">13º (décimo terceiro) Salário </t>
    </r>
    <r>
      <rPr>
        <b/>
        <strike/>
        <sz val="10"/>
        <color indexed="25"/>
        <rFont val="Arial"/>
        <family val="2"/>
      </rPr>
      <t>(Férias???)</t>
    </r>
    <r>
      <rPr>
        <b/>
        <strike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</si>
  <si>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</si>
  <si>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</si>
  <si>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</si>
  <si>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color indexed="8"/>
        <rFont val="Arial"/>
        <family val="0"/>
      </rPr>
      <t xml:space="preserve">Aviso Prévio Indenizado     </t>
    </r>
    <r>
      <rPr>
        <b/>
        <sz val="8"/>
        <color indexed="10"/>
        <rFont val="Arial"/>
        <family val="0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</si>
  <si>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</si>
  <si>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Aviso Prévio Trabalhado </t>
    </r>
    <r>
      <rPr>
        <b/>
        <sz val="8"/>
        <color indexed="8"/>
        <rFont val="Arial"/>
        <family val="2"/>
      </rPr>
      <t xml:space="preserve"> (negociar extinção/redução na 1ª prorrogação. Em caso de prorrogação de contrato, o percentual máximo dessa parcela será de 0,194% a cada ano de prorrogação)</t>
    </r>
    <r>
      <rPr>
        <b/>
        <sz val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>- ao final do contrato</t>
    </r>
  </si>
  <si>
    <t xml:space="preserve">Incidência de GPS, FGTS e outras contribuições sobre o Aviso Prévio Trabalhado         </t>
  </si>
  <si>
    <r>
      <rPr>
        <b/>
        <sz val="10"/>
        <rFont val="Arial"/>
        <family val="2"/>
      </rPr>
      <t>Multa do FGTS sobre o Aviso Prévio Trabalhado e sobre o Aviso Prévio Indenizado</t>
    </r>
    <r>
      <rPr>
        <b/>
        <sz val="8"/>
        <color indexed="10"/>
        <rFont val="Arial"/>
        <family val="2"/>
      </rPr>
      <t>Obrigatória a cotação de 4% sobre o valor do Módulo 1 – Composição da Remuneração, conforme Anexo XII da IN Seges nº 5/2017</t>
    </r>
  </si>
  <si>
    <t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</si>
  <si>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</si>
  <si>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</si>
  <si>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color indexed="12"/>
        <rFont val="Arial"/>
        <family val="2"/>
      </rPr>
      <t xml:space="preserve">Base de cálculo para o Custo de Reposição do Profissional Ausente (substituto): BCCPA = MÓDULO 1 + MÓDULO 2 (-VA - VT) + MÓDULO 3 - </t>
    </r>
    <r>
      <rPr>
        <b/>
        <sz val="11"/>
        <color indexed="10"/>
        <rFont val="Arial"/>
        <family val="2"/>
      </rPr>
      <t>exceto o Substituto na cobertura de Férias e o Afastamento Maternidade, sendo que neste último a Rem e o 13º podem ser compensados pelo INSS, ambos com base de cálculo própria, conforme consta nesses itens de custo.</t>
    </r>
  </si>
  <si>
    <t>MÓD 1 =</t>
  </si>
  <si>
    <r>
      <rPr>
        <b/>
        <sz val="11"/>
        <color indexed="12"/>
        <rFont val="Arial"/>
        <family val="2"/>
      </rPr>
      <t xml:space="preserve">MÓD 2 </t>
    </r>
    <r>
      <rPr>
        <b/>
        <sz val="10"/>
        <color indexed="10"/>
        <rFont val="Arial"/>
        <family val="2"/>
      </rPr>
      <t>(sem VA e VT)</t>
    </r>
    <r>
      <rPr>
        <b/>
        <sz val="11"/>
        <color indexed="12"/>
        <rFont val="Arial"/>
        <family val="2"/>
      </rPr>
      <t xml:space="preserve"> + Férias=</t>
    </r>
  </si>
  <si>
    <t>MÓD 3 =</t>
  </si>
  <si>
    <t xml:space="preserve">Submódulo 4.1 – Substituto nas Ausências Legais </t>
  </si>
  <si>
    <t>4.1</t>
  </si>
  <si>
    <t>Substituto nas Ausências Legais</t>
  </si>
  <si>
    <r>
      <rPr>
        <b/>
        <sz val="10"/>
        <rFont val="Arial"/>
        <family val="2"/>
      </rPr>
      <t>Substituto na cobertura de Férias</t>
    </r>
    <r>
      <rPr>
        <b/>
        <sz val="10"/>
        <color indexed="19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Obrigatória a cotação de 9,075% sobre o valor do (Módulo 1 - Composição da Remuneração </t>
    </r>
    <r>
      <rPr>
        <b/>
        <sz val="10"/>
        <color indexed="39"/>
        <rFont val="Arial"/>
        <family val="2"/>
      </rPr>
      <t xml:space="preserve"> mais</t>
    </r>
    <r>
      <rPr>
        <b/>
        <sz val="10"/>
        <color indexed="10"/>
        <rFont val="Arial"/>
        <family val="2"/>
      </rPr>
      <t xml:space="preserve"> o percentual do Submódulo 2.2 sobre o cálculo anterior, conforme Anexo XII da IN 5/17 (Férias + Adicional = 12,10% = 9,075% + 3,025%) </t>
    </r>
  </si>
  <si>
    <r>
      <rPr>
        <b/>
        <sz val="10"/>
        <rFont val="Arial"/>
        <family val="2"/>
      </rP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</si>
  <si>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 Licença-Paternidade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</si>
  <si>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</si>
  <si>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rFont val="Arial"/>
        <family val="2"/>
      </rPr>
      <t xml:space="preserve">Substituto na cobertura de Afastamento Maternidade 
</t>
    </r>
    <r>
      <rPr>
        <b/>
        <sz val="10"/>
        <color indexed="10"/>
        <rFont val="Arial"/>
        <family val="2"/>
      </rPr>
      <t>[((Férias + Férias / 3) + SUB2.2 x (Férias + Férias / 3)) x (4/12)]  x 2% + [(FGTS + SUB2.3 - VA - VT + MÓD3) x (4/12)] x 2%</t>
    </r>
  </si>
  <si>
    <r>
      <rPr>
        <b/>
        <sz val="10"/>
        <rFont val="Arial"/>
        <family val="2"/>
      </rPr>
      <t xml:space="preserve">Substituto na cobertura de Ausência por doença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)/30)x3dias]/12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</si>
  <si>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</si>
  <si>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</si>
  <si>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</si>
  <si>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</si>
  <si>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</si>
  <si>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</si>
  <si>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</si>
  <si>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</si>
  <si>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</si>
  <si>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  <family val="2"/>
      </rPr>
      <t>Uniformes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</si>
  <si>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Materiais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</si>
  <si>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Equipamentos</t>
    </r>
    <r>
      <rPr>
        <b/>
        <sz val="10"/>
        <color indexed="12"/>
        <rFont val="Arial"/>
        <family val="2"/>
      </rPr>
      <t xml:space="preserve"> </t>
    </r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</si>
  <si>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</si>
  <si>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</si>
  <si>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</si>
  <si>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</si>
  <si>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</si>
  <si>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</si>
  <si>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</si>
  <si>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</si>
  <si>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</si>
  <si>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</si>
  <si>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</si>
  <si>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 xml:space="preserve">(depende do regime de tributação - utilizada a hipótese de Lucro Real)
</t>
    </r>
    <r>
      <rPr>
        <sz val="12"/>
        <rFont val="Arial"/>
        <family val="2"/>
      </rPr>
      <t xml:space="preserve">      </t>
    </r>
    <r>
      <rPr>
        <b/>
        <sz val="10"/>
        <color indexed="30"/>
        <rFont val="Arial"/>
        <family val="2"/>
      </rPr>
      <t>As licitantes do lucro real devem apresentar a alíquota média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</si>
  <si>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(depende do regime de tributação - utilizada a hipótese de Lucro Real)
</t>
    </r>
    <r>
      <rPr>
        <b/>
        <sz val="10"/>
        <color indexed="30"/>
        <rFont val="Arial"/>
        <family val="2"/>
      </rPr>
      <t xml:space="preserve">      As licitantes do lucro real devem apresentar a alíquota média</t>
    </r>
  </si>
  <si>
    <r>
      <rPr>
        <b/>
        <sz val="12"/>
        <rFont val="Arial"/>
        <family val="2"/>
      </rP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</si>
  <si>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rPr>
        <b/>
        <sz val="12"/>
        <rFont val="Arial"/>
        <family val="2"/>
      </rP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</si>
  <si>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</si>
  <si>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</si>
  <si>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</t>
    </r>
    <r>
      <rPr>
        <sz val="10"/>
        <color indexed="10"/>
        <rFont val="Arial"/>
        <family val="2"/>
      </rPr>
      <t>(Lei Complementar nº 399, de 20 de dezembro de 2011, Caxias do Sul/RS)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</si>
  <si>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</si>
  <si>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</si>
  <si>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</si>
  <si>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</si>
  <si>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</si>
  <si>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</si>
  <si>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</si>
  <si>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</si>
  <si>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</si>
  <si>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</si>
  <si>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</si>
  <si>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</si>
  <si>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</si>
  <si>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</si>
  <si>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</si>
  <si>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</si>
  <si>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</si>
  <si>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b/>
        <sz val="9"/>
        <rFont val="Arial"/>
        <family val="2"/>
      </rPr>
      <t xml:space="preserve">MÃO DE OBRA 
       </t>
    </r>
    <r>
      <rPr>
        <b/>
        <sz val="8"/>
        <rFont val="Arial"/>
        <family val="2"/>
      </rPr>
      <t>ENCARREGADO / SERVENTE</t>
    </r>
  </si>
  <si>
    <t>(1) 
PRODUTIVIDADE
(1/M²)</t>
  </si>
  <si>
    <t>(2)
PREÇO HOMEM-MÊS                   (R$)</t>
  </si>
  <si>
    <t>(1 X 2)
SUBTOTAL
(R$/M²)</t>
  </si>
  <si>
    <t>SERV. / Pisos frios</t>
  </si>
  <si>
    <t>1/1200*</t>
  </si>
  <si>
    <t>TOTAL</t>
  </si>
  <si>
    <t>SERV. / Laboratórios</t>
  </si>
  <si>
    <t>1/450*</t>
  </si>
  <si>
    <t>SERV. / Áreas com espaços livres - saguão, hall e salão</t>
  </si>
  <si>
    <t>1/1500*</t>
  </si>
  <si>
    <t>P = produtividade de referência do trabalhador prevista no subitem 3.1. (Áreas Internas, IN 05/17, anexo VI-B).</t>
  </si>
  <si>
    <r>
      <rPr>
        <b/>
        <sz val="10"/>
        <rFont val="Arial"/>
        <family val="2"/>
      </rPr>
      <t xml:space="preserve">OBS: </t>
    </r>
    <r>
      <rPr>
        <sz val="10"/>
        <rFont val="Arial"/>
        <family val="2"/>
      </rPr>
      <t xml:space="preserve">No caso de o edital permitir a alteração das produtividades da coluna (1), deve-se, também, proceder à alteração na fórmula das células da coluna (1x2), pois que as frações das células da coluna (1) estão em forma de texto. </t>
    </r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</si>
  <si>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</si>
  <si>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
(1/M²)</t>
  </si>
  <si>
    <t>(2)
PREÇO HOMEM-MÊS
(R$)</t>
  </si>
  <si>
    <t>SERV. / Pisos pavimentados adjacentes/contíguos às edificações</t>
  </si>
  <si>
    <t>1/2700*</t>
  </si>
  <si>
    <t>SERV. / Varrição de passeios e arruamentos</t>
  </si>
  <si>
    <t>1/9000*</t>
  </si>
  <si>
    <t>SERV. / Pátios e áreas verdes com baixa frequência</t>
  </si>
  <si>
    <t>SERV. / Coleta de detritos em pátios e áreas verdes com frequência diária</t>
  </si>
  <si>
    <t>1/100000*</t>
  </si>
  <si>
    <t>P = produtividade de referência do trabalhador prevista no subitem 3.2. (Áreas Externas, IN 05/17, anexo VI-B).</t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</si>
  <si>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</si>
  <si>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 
(1/M²)</t>
  </si>
  <si>
    <r>
      <rPr>
        <b/>
        <sz val="10"/>
        <rFont val="Arial"/>
        <family val="2"/>
      </rPr>
      <t xml:space="preserve">(2) FREQUÊNCIA NO </t>
    </r>
    <r>
      <rPr>
        <b/>
        <sz val="10"/>
        <color indexed="10"/>
        <rFont val="Arial"/>
        <family val="2"/>
      </rPr>
      <t xml:space="preserve">MÊS </t>
    </r>
    <r>
      <rPr>
        <b/>
        <sz val="10"/>
        <rFont val="Arial"/>
        <family val="2"/>
      </rPr>
      <t>(HORAS)</t>
    </r>
  </si>
  <si>
    <r>
      <rPr>
        <b/>
        <sz val="10"/>
        <rFont val="Arial"/>
        <family val="2"/>
      </rPr>
      <t xml:space="preserve">(3)
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</si>
  <si>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</si>
  <si>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</si>
  <si>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</si>
  <si>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SERV. / Face externa com exposição a situação de risco</t>
  </si>
  <si>
    <t>1/160*</t>
  </si>
  <si>
    <t>16***</t>
  </si>
  <si>
    <t>1/188,76</t>
  </si>
  <si>
    <t>SERV. / Face externa sem exposição a situação de risco</t>
  </si>
  <si>
    <t>1/380*</t>
  </si>
  <si>
    <t>SERV. / Face interna</t>
  </si>
  <si>
    <t>P = produtividade de referência do trabalhador prevista no subitem 3.3. (Esquadrias Externas, IN 05/17, anexo VI-B).</t>
  </si>
  <si>
    <r>
      <rPr>
        <b/>
        <sz val="10"/>
        <rFont val="Arial"/>
        <family val="2"/>
      </rPr>
      <t xml:space="preserve">OBS: </t>
    </r>
    <r>
      <rPr>
        <sz val="10"/>
        <rFont val="Arial"/>
        <family val="2"/>
      </rPr>
      <t xml:space="preserve">No caso de alteração das produtividades da coluna (1) e da jornada de trabalho da coluna (3), deve-se, também, proceder à alteração na fórmula das células da coluna (4), pois que as frações das células das colunas (1) e (3) estão em forma de texto.  </t>
    </r>
  </si>
  <si>
    <t>4. VALOR MENSAL DOS SERVIÇOS</t>
  </si>
  <si>
    <t>TIPO DE ÁREA</t>
  </si>
  <si>
    <t>PREÇO MENSAL UNITÁRIO (R$/M²)</t>
  </si>
  <si>
    <t>ÁREA
(M²)</t>
  </si>
  <si>
    <t>SUBTOTAL
(R$)</t>
  </si>
  <si>
    <t>f) Áreas internas - Áreas com espaços livres - saguão, hall e salão</t>
  </si>
  <si>
    <t>b) Áreas externas - Varrição de passeios e arruamentos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</si>
  <si>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</si>
  <si>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</si>
  <si>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</si>
  <si>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</si>
  <si>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</si>
  <si>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</si>
  <si>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</si>
  <si>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</si>
  <si>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QUANTIDADE DE PESSOAL ALOCADO NA EXECUÇÃO CONTRATUAL (item 6.2.e do Anexo VII da IN nº 5/2017, planilha de calculo do n° de serventes insalubridade 20%, anexo ao Termo de Referência)</t>
  </si>
  <si>
    <t>Tipo de Mão de Obra</t>
  </si>
  <si>
    <t>Quantidade de Pessoal</t>
  </si>
  <si>
    <t>Servente</t>
  </si>
  <si>
    <t xml:space="preserve"> MATERIAIS, MÁQUINAS E EQUIPAMENTOS ALOCADOS NA EXECUÇÃO CONTRATUAL (item 6.2.f do Anexo VII da IN nº 5/2017, planilha insumos limpeza insalubridade 20%, anexo ao Termo de Referência)</t>
  </si>
  <si>
    <t>Especificação dos Materiais/Máquinas/Equipamentos</t>
  </si>
  <si>
    <t xml:space="preserve">Quantidade </t>
  </si>
  <si>
    <r>
      <rPr>
        <b/>
        <sz val="10"/>
        <rFont val="Arial"/>
        <family val="2"/>
      </rPr>
      <t xml:space="preserve">Tipo de Serviço: 
                                Limpeza e Conservação Predial                                                                 </t>
    </r>
    <r>
      <rPr>
        <b/>
        <sz val="10"/>
        <color indexed="10"/>
        <rFont val="Arial"/>
        <family val="0"/>
      </rPr>
      <t xml:space="preserve"> COM BANHEIROS - INSALUBRIDADE 40%</t>
    </r>
    <r>
      <rPr>
        <b/>
        <sz val="10"/>
        <rFont val="Arial"/>
        <family val="2"/>
      </rPr>
      <t xml:space="preserve">                                                </t>
    </r>
  </si>
  <si>
    <r>
      <rPr>
        <b/>
        <sz val="10"/>
        <color indexed="62"/>
        <rFont val="Arial"/>
        <family val="2"/>
      </rPr>
      <t xml:space="preserve">g) Banheiros </t>
    </r>
    <r>
      <rPr>
        <sz val="10"/>
        <rFont val="Arial"/>
        <family val="2"/>
      </rPr>
      <t>(40% insalubridade)</t>
    </r>
  </si>
  <si>
    <r>
      <rPr>
        <b/>
        <sz val="10"/>
        <rFont val="Arial"/>
        <family val="2"/>
      </rP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(40% do SB: cláusula 17 da CCT 2022)</t>
    </r>
  </si>
  <si>
    <r>
      <rPr>
        <b/>
        <sz val="10"/>
        <rFont val="Arial"/>
        <family val="2"/>
      </rPr>
      <t xml:space="preserve">Aviso Prévio Trabalhado 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(negociar extinção/redução na 1ª prorrogação. Em caso de prorrogação de contrato, o percentual máximo dessa parcela será de 0,194% a cada ano de prorrogação)</t>
    </r>
    <r>
      <rPr>
        <b/>
        <sz val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>- ao final do contrato</t>
    </r>
  </si>
  <si>
    <t>SERV. / Banheiros</t>
  </si>
  <si>
    <t>1/300*</t>
  </si>
  <si>
    <t xml:space="preserve">g) Áreas internas -  Banheiros </t>
  </si>
  <si>
    <t>QUANTIDADE DE PESSOAL ALOCADO NA EXECUÇÃO CONTRATUAL (item 6.2.e do Anexo VII da IN nº 5/2017, planilha de calculo do n° de serventes com insalubridade 40%, anexo do Termo de Referência).</t>
  </si>
  <si>
    <t xml:space="preserve"> MATERIAIS, MÁQUINAS E EQUIPAMENTOS ALOCADOS NA EXECUÇÃO CONTRATUAL (item 6.2.f do Anexo VII da IN nº 5/2017, planilha insumos limpeza com insalubridade 40%, anexo do Termo de Referência).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</si>
</sst>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dd/mm/yyyy"/>
    <numFmt numFmtId="166" formatCode="0.00"/>
    <numFmt numFmtId="167" formatCode="#,##0.00"/>
    <numFmt numFmtId="168" formatCode="0.00%"/>
    <numFmt numFmtId="169" formatCode="_(* #,##0.00_);_(* \(#,##0.00\);_(* \-??_);_(@_)"/>
    <numFmt numFmtId="170" formatCode="_(&quot;R$ &quot;* #,##0.00_);_(&quot;R$ &quot;* \(#,##0.00\);_(&quot;R$ &quot;* \-??_);_(@_)"/>
    <numFmt numFmtId="171" formatCode="&quot;R$ &quot;#,##0.00"/>
    <numFmt numFmtId="172" formatCode="0;[RED]\-0"/>
    <numFmt numFmtId="173" formatCode="0.000%"/>
    <numFmt numFmtId="174" formatCode="0%"/>
    <numFmt numFmtId="175" formatCode="0.0000"/>
    <numFmt numFmtId="176" formatCode="0.0000%"/>
    <numFmt numFmtId="177" formatCode="#,##0"/>
    <numFmt numFmtId="178" formatCode="@"/>
    <numFmt numFmtId="179" formatCode="#,##0.0000000"/>
    <numFmt numFmtId="180" formatCode="#,##0.00;\-#,##0.00"/>
    <numFmt numFmtId="181" formatCode="General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9"/>
      <name val="Arial"/>
      <family val="2"/>
    </font>
    <font>
      <b/>
      <strike/>
      <sz val="11"/>
      <color indexed="25"/>
      <name val="Arial"/>
      <family val="2"/>
    </font>
    <font>
      <b/>
      <sz val="11"/>
      <color indexed="19"/>
      <name val="Arial"/>
      <family val="2"/>
    </font>
    <font>
      <b/>
      <strike/>
      <sz val="10"/>
      <color indexed="25"/>
      <name val="Arial"/>
      <family val="2"/>
    </font>
    <font>
      <b/>
      <sz val="10"/>
      <color indexed="25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8"/>
      <color indexed="12"/>
      <name val="Arial"/>
      <family val="2"/>
    </font>
    <font>
      <b/>
      <sz val="12"/>
      <color indexed="21"/>
      <name val="Arial"/>
      <family val="2"/>
    </font>
    <font>
      <b/>
      <strike/>
      <sz val="9"/>
      <color indexed="10"/>
      <name val="Arial"/>
      <family val="2"/>
    </font>
    <font>
      <strike/>
      <sz val="9"/>
      <name val="Arial"/>
      <family val="2"/>
    </font>
    <font>
      <b/>
      <strike/>
      <sz val="9"/>
      <color indexed="12"/>
      <name val="Arial"/>
      <family val="2"/>
    </font>
    <font>
      <b/>
      <sz val="9"/>
      <color indexed="62"/>
      <name val="Arial"/>
      <family val="2"/>
    </font>
    <font>
      <b/>
      <strike/>
      <sz val="9"/>
      <color indexed="62"/>
      <name val="Arial"/>
      <family val="2"/>
    </font>
    <font>
      <b/>
      <sz val="10"/>
      <color indexed="21"/>
      <name val="Arial"/>
      <family val="2"/>
    </font>
    <font>
      <b/>
      <sz val="11"/>
      <color indexed="12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trike/>
      <sz val="10"/>
      <color indexed="17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3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Tahoma"/>
      <family val="2"/>
    </font>
    <font>
      <b/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3" fillId="5" borderId="1" applyNumberFormat="0" applyAlignment="0" applyProtection="0"/>
    <xf numFmtId="164" fontId="4" fillId="6" borderId="0" applyNumberFormat="0" applyBorder="0" applyAlignment="0" applyProtection="0"/>
    <xf numFmtId="164" fontId="5" fillId="7" borderId="0" applyNumberFormat="0" applyBorder="0" applyAlignment="0" applyProtection="0"/>
    <xf numFmtId="164" fontId="6" fillId="5" borderId="2" applyNumberFormat="0" applyAlignment="0" applyProtection="0"/>
    <xf numFmtId="164" fontId="7" fillId="0" borderId="0" applyNumberFormat="0" applyFill="0" applyBorder="0" applyAlignment="0" applyProtection="0"/>
    <xf numFmtId="164" fontId="2" fillId="8" borderId="0" applyNumberFormat="0" applyBorder="0" applyAlignment="0" applyProtection="0"/>
  </cellStyleXfs>
  <cellXfs count="240">
    <xf numFmtId="164" fontId="0" fillId="0" borderId="0" xfId="0" applyAlignment="1">
      <alignment/>
    </xf>
    <xf numFmtId="164" fontId="8" fillId="0" borderId="0" xfId="0" applyFont="1" applyAlignment="1">
      <alignment/>
    </xf>
    <xf numFmtId="164" fontId="8" fillId="9" borderId="0" xfId="0" applyFont="1" applyFill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1" fillId="10" borderId="0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13" fillId="0" borderId="3" xfId="0" applyFont="1" applyBorder="1" applyAlignment="1">
      <alignment horizontal="left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7" borderId="3" xfId="0" applyFont="1" applyFill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3" fillId="7" borderId="4" xfId="0" applyFont="1" applyFill="1" applyBorder="1" applyAlignment="1">
      <alignment horizontal="center" vertical="center" wrapText="1"/>
    </xf>
    <xf numFmtId="164" fontId="13" fillId="7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right" vertical="center" wrapText="1"/>
    </xf>
    <xf numFmtId="164" fontId="16" fillId="0" borderId="0" xfId="0" applyFont="1" applyAlignment="1">
      <alignment/>
    </xf>
    <xf numFmtId="164" fontId="14" fillId="7" borderId="3" xfId="0" applyFont="1" applyFill="1" applyBorder="1" applyAlignment="1">
      <alignment horizontal="right" vertical="center" wrapText="1"/>
    </xf>
    <xf numFmtId="167" fontId="14" fillId="7" borderId="3" xfId="0" applyNumberFormat="1" applyFont="1" applyFill="1" applyBorder="1" applyAlignment="1">
      <alignment horizontal="right" vertical="center" wrapText="1"/>
    </xf>
    <xf numFmtId="164" fontId="13" fillId="10" borderId="3" xfId="0" applyFont="1" applyFill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right" vertical="center" wrapText="1"/>
    </xf>
    <xf numFmtId="164" fontId="0" fillId="0" borderId="3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4" fontId="14" fillId="7" borderId="3" xfId="0" applyFont="1" applyFill="1" applyBorder="1" applyAlignment="1">
      <alignment horizontal="right" vertical="center"/>
    </xf>
    <xf numFmtId="164" fontId="0" fillId="10" borderId="3" xfId="0" applyFill="1" applyBorder="1" applyAlignment="1">
      <alignment horizontal="center" vertical="center" wrapText="1"/>
    </xf>
    <xf numFmtId="164" fontId="14" fillId="0" borderId="3" xfId="0" applyFont="1" applyBorder="1" applyAlignment="1">
      <alignment horizontal="right" vertical="center" wrapText="1"/>
    </xf>
    <xf numFmtId="167" fontId="14" fillId="0" borderId="3" xfId="15" applyNumberFormat="1" applyFont="1" applyFill="1" applyBorder="1" applyAlignment="1" applyProtection="1">
      <alignment horizontal="right" vertical="center"/>
      <protection/>
    </xf>
    <xf numFmtId="164" fontId="13" fillId="10" borderId="3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8" fontId="8" fillId="0" borderId="0" xfId="15" applyNumberFormat="1" applyFont="1" applyFill="1" applyBorder="1" applyAlignment="1" applyProtection="1">
      <alignment horizontal="center" vertical="center"/>
      <protection/>
    </xf>
    <xf numFmtId="170" fontId="8" fillId="0" borderId="0" xfId="17" applyFont="1" applyFill="1" applyBorder="1" applyAlignment="1" applyProtection="1">
      <alignment vertical="center"/>
      <protection/>
    </xf>
    <xf numFmtId="164" fontId="8" fillId="0" borderId="3" xfId="0" applyFont="1" applyBorder="1" applyAlignment="1">
      <alignment horizontal="justify" vertical="center" wrapText="1"/>
    </xf>
    <xf numFmtId="164" fontId="17" fillId="0" borderId="3" xfId="0" applyFont="1" applyBorder="1" applyAlignment="1">
      <alignment horizontal="left" vertical="center" wrapText="1"/>
    </xf>
    <xf numFmtId="164" fontId="17" fillId="10" borderId="3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71" fontId="19" fillId="0" borderId="3" xfId="0" applyNumberFormat="1" applyFont="1" applyBorder="1" applyAlignment="1">
      <alignment horizontal="right" vertical="center"/>
    </xf>
    <xf numFmtId="172" fontId="15" fillId="0" borderId="3" xfId="0" applyNumberFormat="1" applyFont="1" applyBorder="1" applyAlignment="1">
      <alignment horizontal="right" vertical="center"/>
    </xf>
    <xf numFmtId="165" fontId="19" fillId="0" borderId="3" xfId="0" applyNumberFormat="1" applyFont="1" applyBorder="1" applyAlignment="1">
      <alignment horizontal="right" vertical="center" wrapText="1"/>
    </xf>
    <xf numFmtId="164" fontId="0" fillId="10" borderId="3" xfId="0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 wrapText="1"/>
    </xf>
    <xf numFmtId="164" fontId="13" fillId="10" borderId="3" xfId="0" applyFont="1" applyFill="1" applyBorder="1" applyAlignment="1">
      <alignment horizontal="left" wrapText="1"/>
    </xf>
    <xf numFmtId="164" fontId="18" fillId="0" borderId="3" xfId="0" applyFont="1" applyBorder="1" applyAlignment="1">
      <alignment horizontal="left" vertical="center" wrapText="1"/>
    </xf>
    <xf numFmtId="164" fontId="15" fillId="7" borderId="5" xfId="0" applyFont="1" applyFill="1" applyBorder="1" applyAlignment="1">
      <alignment horizontal="center" vertical="center" wrapText="1"/>
    </xf>
    <xf numFmtId="164" fontId="15" fillId="7" borderId="3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left"/>
    </xf>
    <xf numFmtId="167" fontId="13" fillId="0" borderId="3" xfId="0" applyNumberFormat="1" applyFont="1" applyBorder="1" applyAlignment="1">
      <alignment vertical="center"/>
    </xf>
    <xf numFmtId="164" fontId="13" fillId="0" borderId="3" xfId="0" applyFont="1" applyBorder="1" applyAlignment="1">
      <alignment horizontal="justify" vertical="center" wrapText="1"/>
    </xf>
    <xf numFmtId="168" fontId="13" fillId="0" borderId="3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justify" vertical="center" wrapText="1"/>
    </xf>
    <xf numFmtId="168" fontId="13" fillId="0" borderId="3" xfId="0" applyNumberFormat="1" applyFont="1" applyBorder="1" applyAlignment="1">
      <alignment vertical="center"/>
    </xf>
    <xf numFmtId="164" fontId="13" fillId="7" borderId="3" xfId="0" applyFont="1" applyFill="1" applyBorder="1" applyAlignment="1">
      <alignment horizontal="right" vertical="center" wrapText="1"/>
    </xf>
    <xf numFmtId="167" fontId="15" fillId="7" borderId="3" xfId="0" applyNumberFormat="1" applyFont="1" applyFill="1" applyBorder="1" applyAlignment="1">
      <alignment vertical="center"/>
    </xf>
    <xf numFmtId="164" fontId="13" fillId="10" borderId="3" xfId="0" applyFont="1" applyFill="1" applyBorder="1" applyAlignment="1">
      <alignment horizontal="right" vertical="center" wrapText="1"/>
    </xf>
    <xf numFmtId="164" fontId="0" fillId="9" borderId="3" xfId="0" applyFont="1" applyFill="1" applyBorder="1" applyAlignment="1">
      <alignment horizontal="justify" vertical="center" wrapText="1"/>
    </xf>
    <xf numFmtId="164" fontId="24" fillId="10" borderId="3" xfId="0" applyFont="1" applyFill="1" applyBorder="1" applyAlignment="1">
      <alignment horizontal="left" vertical="center" wrapText="1"/>
    </xf>
    <xf numFmtId="164" fontId="18" fillId="0" borderId="3" xfId="0" applyFont="1" applyBorder="1" applyAlignment="1">
      <alignment horizontal="left" vertical="center"/>
    </xf>
    <xf numFmtId="164" fontId="15" fillId="7" borderId="3" xfId="0" applyFont="1" applyFill="1" applyBorder="1" applyAlignment="1">
      <alignment horizontal="left" vertical="center"/>
    </xf>
    <xf numFmtId="164" fontId="15" fillId="0" borderId="3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8" fontId="29" fillId="0" borderId="3" xfId="0" applyNumberFormat="1" applyFont="1" applyBorder="1" applyAlignment="1">
      <alignment horizontal="justify" vertical="center" wrapText="1"/>
    </xf>
    <xf numFmtId="173" fontId="13" fillId="0" borderId="3" xfId="0" applyNumberFormat="1" applyFont="1" applyBorder="1" applyAlignment="1">
      <alignment horizontal="center" vertical="center"/>
    </xf>
    <xf numFmtId="164" fontId="13" fillId="7" borderId="3" xfId="0" applyFont="1" applyFill="1" applyBorder="1" applyAlignment="1">
      <alignment horizontal="right" vertical="center"/>
    </xf>
    <xf numFmtId="166" fontId="13" fillId="7" borderId="3" xfId="0" applyNumberFormat="1" applyFont="1" applyFill="1" applyBorder="1" applyAlignment="1">
      <alignment horizontal="right" vertical="center"/>
    </xf>
    <xf numFmtId="164" fontId="32" fillId="10" borderId="3" xfId="0" applyFont="1" applyFill="1" applyBorder="1" applyAlignment="1">
      <alignment horizontal="right" vertical="center"/>
    </xf>
    <xf numFmtId="164" fontId="38" fillId="10" borderId="3" xfId="0" applyFont="1" applyFill="1" applyBorder="1" applyAlignment="1">
      <alignment horizontal="left" vertical="center" wrapText="1"/>
    </xf>
    <xf numFmtId="164" fontId="15" fillId="0" borderId="3" xfId="0" applyFont="1" applyBorder="1" applyAlignment="1">
      <alignment horizontal="justify" vertical="center" wrapText="1"/>
    </xf>
    <xf numFmtId="164" fontId="15" fillId="7" borderId="4" xfId="0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right" vertical="center"/>
    </xf>
    <xf numFmtId="167" fontId="13" fillId="0" borderId="3" xfId="0" applyNumberFormat="1" applyFont="1" applyBorder="1" applyAlignment="1">
      <alignment horizontal="right" vertical="center"/>
    </xf>
    <xf numFmtId="164" fontId="13" fillId="0" borderId="3" xfId="0" applyFont="1" applyBorder="1" applyAlignment="1">
      <alignment horizontal="right" vertical="center" wrapText="1"/>
    </xf>
    <xf numFmtId="174" fontId="13" fillId="0" borderId="3" xfId="0" applyNumberFormat="1" applyFont="1" applyBorder="1" applyAlignment="1">
      <alignment horizontal="left" vertical="center" wrapText="1"/>
    </xf>
    <xf numFmtId="175" fontId="13" fillId="0" borderId="3" xfId="0" applyNumberFormat="1" applyFont="1" applyBorder="1" applyAlignment="1">
      <alignment horizontal="left" vertical="center" wrapText="1"/>
    </xf>
    <xf numFmtId="176" fontId="13" fillId="0" borderId="3" xfId="0" applyNumberFormat="1" applyFont="1" applyBorder="1" applyAlignment="1">
      <alignment horizontal="right" vertical="center"/>
    </xf>
    <xf numFmtId="176" fontId="13" fillId="7" borderId="3" xfId="0" applyNumberFormat="1" applyFont="1" applyFill="1" applyBorder="1" applyAlignment="1">
      <alignment horizontal="right" vertical="center"/>
    </xf>
    <xf numFmtId="167" fontId="13" fillId="7" borderId="3" xfId="0" applyNumberFormat="1" applyFont="1" applyFill="1" applyBorder="1" applyAlignment="1">
      <alignment horizontal="right" vertical="center"/>
    </xf>
    <xf numFmtId="164" fontId="13" fillId="10" borderId="4" xfId="0" applyFont="1" applyFill="1" applyBorder="1" applyAlignment="1">
      <alignment horizontal="right" vertical="center"/>
    </xf>
    <xf numFmtId="164" fontId="0" fillId="10" borderId="7" xfId="0" applyFill="1" applyBorder="1" applyAlignment="1">
      <alignment horizontal="right" vertical="center"/>
    </xf>
    <xf numFmtId="168" fontId="13" fillId="10" borderId="7" xfId="0" applyNumberFormat="1" applyFont="1" applyFill="1" applyBorder="1" applyAlignment="1">
      <alignment horizontal="right" vertical="center"/>
    </xf>
    <xf numFmtId="167" fontId="13" fillId="10" borderId="6" xfId="0" applyNumberFormat="1" applyFont="1" applyFill="1" applyBorder="1" applyAlignment="1">
      <alignment horizontal="right" vertical="center"/>
    </xf>
    <xf numFmtId="164" fontId="15" fillId="0" borderId="3" xfId="0" applyFont="1" applyBorder="1" applyAlignment="1">
      <alignment horizontal="left" vertical="center"/>
    </xf>
    <xf numFmtId="164" fontId="15" fillId="7" borderId="3" xfId="0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left" vertical="center" wrapText="1"/>
    </xf>
    <xf numFmtId="164" fontId="16" fillId="0" borderId="4" xfId="0" applyFont="1" applyBorder="1" applyAlignment="1">
      <alignment horizontal="left" vertical="center" wrapText="1"/>
    </xf>
    <xf numFmtId="171" fontId="41" fillId="0" borderId="3" xfId="0" applyNumberFormat="1" applyFont="1" applyBorder="1" applyAlignment="1">
      <alignment vertical="center"/>
    </xf>
    <xf numFmtId="167" fontId="13" fillId="0" borderId="3" xfId="0" applyNumberFormat="1" applyFont="1" applyBorder="1" applyAlignment="1">
      <alignment horizontal="center" vertical="center"/>
    </xf>
    <xf numFmtId="164" fontId="16" fillId="0" borderId="3" xfId="0" applyFont="1" applyBorder="1" applyAlignment="1">
      <alignment horizontal="left" vertical="center" wrapText="1"/>
    </xf>
    <xf numFmtId="167" fontId="41" fillId="0" borderId="3" xfId="0" applyNumberFormat="1" applyFont="1" applyBorder="1" applyAlignment="1">
      <alignment vertical="center"/>
    </xf>
    <xf numFmtId="177" fontId="41" fillId="0" borderId="3" xfId="0" applyNumberFormat="1" applyFont="1" applyBorder="1" applyAlignment="1">
      <alignment vertical="center"/>
    </xf>
    <xf numFmtId="164" fontId="0" fillId="0" borderId="0" xfId="0" applyFont="1" applyBorder="1" applyAlignment="1">
      <alignment wrapText="1"/>
    </xf>
    <xf numFmtId="168" fontId="41" fillId="0" borderId="3" xfId="0" applyNumberFormat="1" applyFont="1" applyBorder="1" applyAlignment="1">
      <alignment horizontal="right" vertical="center" wrapText="1"/>
    </xf>
    <xf numFmtId="164" fontId="42" fillId="0" borderId="3" xfId="0" applyFont="1" applyBorder="1" applyAlignment="1">
      <alignment horizontal="center" vertical="center"/>
    </xf>
    <xf numFmtId="164" fontId="41" fillId="0" borderId="4" xfId="0" applyFont="1" applyBorder="1" applyAlignment="1">
      <alignment horizontal="left" vertical="center" wrapText="1"/>
    </xf>
    <xf numFmtId="168" fontId="41" fillId="0" borderId="3" xfId="0" applyNumberFormat="1" applyFont="1" applyBorder="1" applyAlignment="1">
      <alignment vertical="center"/>
    </xf>
    <xf numFmtId="164" fontId="13" fillId="0" borderId="4" xfId="0" applyFont="1" applyBorder="1" applyAlignment="1">
      <alignment horizontal="left" vertical="center"/>
    </xf>
    <xf numFmtId="167" fontId="13" fillId="0" borderId="3" xfId="0" applyNumberFormat="1" applyFont="1" applyBorder="1" applyAlignment="1">
      <alignment horizontal="center" vertical="center" wrapText="1"/>
    </xf>
    <xf numFmtId="164" fontId="0" fillId="7" borderId="3" xfId="0" applyFill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left" vertical="center" wrapText="1"/>
    </xf>
    <xf numFmtId="166" fontId="13" fillId="0" borderId="3" xfId="0" applyNumberFormat="1" applyFont="1" applyBorder="1" applyAlignment="1">
      <alignment horizontal="right" vertical="center" wrapText="1"/>
    </xf>
    <xf numFmtId="164" fontId="13" fillId="7" borderId="3" xfId="0" applyFont="1" applyFill="1" applyBorder="1" applyAlignment="1">
      <alignment horizontal="right" vertical="center" wrapText="1"/>
    </xf>
    <xf numFmtId="167" fontId="13" fillId="7" borderId="3" xfId="0" applyNumberFormat="1" applyFont="1" applyFill="1" applyBorder="1" applyAlignment="1">
      <alignment horizontal="right" vertical="center" wrapText="1"/>
    </xf>
    <xf numFmtId="164" fontId="30" fillId="10" borderId="3" xfId="0" applyFont="1" applyFill="1" applyBorder="1" applyAlignment="1">
      <alignment horizontal="center" vertical="center" wrapText="1"/>
    </xf>
    <xf numFmtId="164" fontId="44" fillId="0" borderId="3" xfId="0" applyFont="1" applyBorder="1" applyAlignment="1">
      <alignment horizontal="left" vertical="center" wrapText="1"/>
    </xf>
    <xf numFmtId="167" fontId="44" fillId="0" borderId="3" xfId="0" applyNumberFormat="1" applyFont="1" applyBorder="1" applyAlignment="1">
      <alignment horizontal="right" vertical="center"/>
    </xf>
    <xf numFmtId="164" fontId="13" fillId="0" borderId="3" xfId="0" applyFont="1" applyBorder="1" applyAlignment="1">
      <alignment horizontal="left" vertical="center"/>
    </xf>
    <xf numFmtId="168" fontId="21" fillId="0" borderId="3" xfId="0" applyNumberFormat="1" applyFont="1" applyBorder="1" applyAlignment="1">
      <alignment horizontal="right" vertical="center"/>
    </xf>
    <xf numFmtId="164" fontId="47" fillId="0" borderId="3" xfId="0" applyFont="1" applyBorder="1" applyAlignment="1">
      <alignment horizontal="left" vertical="center" wrapText="1"/>
    </xf>
    <xf numFmtId="164" fontId="13" fillId="7" borderId="3" xfId="0" applyFont="1" applyFill="1" applyBorder="1" applyAlignment="1">
      <alignment horizontal="center" vertical="center"/>
    </xf>
    <xf numFmtId="164" fontId="39" fillId="0" borderId="3" xfId="0" applyFont="1" applyBorder="1" applyAlignment="1">
      <alignment horizontal="justify" vertical="center" wrapText="1"/>
    </xf>
    <xf numFmtId="164" fontId="15" fillId="10" borderId="3" xfId="0" applyFont="1" applyFill="1" applyBorder="1" applyAlignment="1">
      <alignment horizontal="justify" vertical="center" wrapText="1"/>
    </xf>
    <xf numFmtId="164" fontId="39" fillId="0" borderId="8" xfId="0" applyFont="1" applyBorder="1" applyAlignment="1">
      <alignment horizontal="right" vertical="center" wrapText="1"/>
    </xf>
    <xf numFmtId="167" fontId="39" fillId="0" borderId="8" xfId="0" applyNumberFormat="1" applyFont="1" applyBorder="1" applyAlignment="1">
      <alignment horizontal="left" vertical="center" wrapText="1"/>
    </xf>
    <xf numFmtId="164" fontId="39" fillId="10" borderId="8" xfId="0" applyFont="1" applyFill="1" applyBorder="1" applyAlignment="1">
      <alignment horizontal="right" vertical="center" wrapText="1"/>
    </xf>
    <xf numFmtId="164" fontId="39" fillId="10" borderId="8" xfId="0" applyFont="1" applyFill="1" applyBorder="1" applyAlignment="1">
      <alignment horizontal="justify" vertical="center" wrapText="1"/>
    </xf>
    <xf numFmtId="167" fontId="48" fillId="0" borderId="8" xfId="0" applyNumberFormat="1" applyFont="1" applyBorder="1" applyAlignment="1">
      <alignment horizontal="right" vertical="center" wrapText="1"/>
    </xf>
    <xf numFmtId="164" fontId="39" fillId="10" borderId="3" xfId="0" applyFont="1" applyFill="1" applyBorder="1" applyAlignment="1">
      <alignment horizontal="right" vertical="center" wrapText="1"/>
    </xf>
    <xf numFmtId="164" fontId="15" fillId="0" borderId="3" xfId="0" applyFont="1" applyBorder="1" applyAlignment="1">
      <alignment horizontal="left" vertical="center" wrapText="1"/>
    </xf>
    <xf numFmtId="164" fontId="15" fillId="7" borderId="3" xfId="0" applyFont="1" applyFill="1" applyBorder="1" applyAlignment="1">
      <alignment horizontal="center"/>
    </xf>
    <xf numFmtId="164" fontId="13" fillId="0" borderId="4" xfId="0" applyFont="1" applyBorder="1" applyAlignment="1">
      <alignment horizontal="justify" vertical="center" wrapText="1"/>
    </xf>
    <xf numFmtId="173" fontId="18" fillId="0" borderId="3" xfId="0" applyNumberFormat="1" applyFont="1" applyBorder="1" applyAlignment="1">
      <alignment horizontal="center" vertical="center" wrapText="1"/>
    </xf>
    <xf numFmtId="168" fontId="18" fillId="0" borderId="3" xfId="0" applyNumberFormat="1" applyFont="1" applyBorder="1" applyAlignment="1">
      <alignment horizontal="center" vertical="center" wrapText="1"/>
    </xf>
    <xf numFmtId="164" fontId="44" fillId="0" borderId="3" xfId="0" applyFont="1" applyBorder="1" applyAlignment="1">
      <alignment horizontal="center" vertical="center"/>
    </xf>
    <xf numFmtId="167" fontId="13" fillId="7" borderId="3" xfId="0" applyNumberFormat="1" applyFont="1" applyFill="1" applyBorder="1" applyAlignment="1">
      <alignment horizontal="right"/>
    </xf>
    <xf numFmtId="167" fontId="15" fillId="7" borderId="3" xfId="0" applyNumberFormat="1" applyFont="1" applyFill="1" applyBorder="1" applyAlignment="1">
      <alignment horizontal="center" vertical="center"/>
    </xf>
    <xf numFmtId="164" fontId="13" fillId="0" borderId="3" xfId="0" applyFont="1" applyBorder="1" applyAlignment="1">
      <alignment horizontal="right" vertical="center"/>
    </xf>
    <xf numFmtId="164" fontId="8" fillId="7" borderId="3" xfId="0" applyFont="1" applyFill="1" applyBorder="1" applyAlignment="1">
      <alignment horizontal="left" vertical="center" wrapText="1"/>
    </xf>
    <xf numFmtId="164" fontId="13" fillId="10" borderId="3" xfId="0" applyFont="1" applyFill="1" applyBorder="1" applyAlignment="1">
      <alignment horizontal="right" vertical="center"/>
    </xf>
    <xf numFmtId="167" fontId="13" fillId="0" borderId="3" xfId="0" applyNumberFormat="1" applyFont="1" applyFill="1" applyBorder="1" applyAlignment="1">
      <alignment horizontal="right" vertical="center"/>
    </xf>
    <xf numFmtId="167" fontId="13" fillId="0" borderId="3" xfId="0" applyNumberFormat="1" applyFont="1" applyFill="1" applyBorder="1" applyAlignment="1">
      <alignment horizontal="right" vertical="center" wrapText="1"/>
    </xf>
    <xf numFmtId="167" fontId="13" fillId="7" borderId="3" xfId="0" applyNumberFormat="1" applyFont="1" applyFill="1" applyBorder="1" applyAlignment="1">
      <alignment horizontal="right" vertical="center" wrapText="1"/>
    </xf>
    <xf numFmtId="164" fontId="48" fillId="10" borderId="3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48" fillId="10" borderId="4" xfId="0" applyFont="1" applyFill="1" applyBorder="1" applyAlignment="1">
      <alignment horizontal="center" vertical="center"/>
    </xf>
    <xf numFmtId="164" fontId="0" fillId="10" borderId="7" xfId="0" applyFill="1" applyBorder="1" applyAlignment="1">
      <alignment horizontal="center" vertical="center"/>
    </xf>
    <xf numFmtId="164" fontId="0" fillId="10" borderId="6" xfId="0" applyFill="1" applyBorder="1" applyAlignment="1">
      <alignment horizontal="center" vertical="center"/>
    </xf>
    <xf numFmtId="167" fontId="15" fillId="7" borderId="3" xfId="0" applyNumberFormat="1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justify" vertical="center" wrapText="1"/>
    </xf>
    <xf numFmtId="164" fontId="14" fillId="0" borderId="3" xfId="0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right" vertical="center"/>
    </xf>
    <xf numFmtId="164" fontId="18" fillId="0" borderId="3" xfId="0" applyFont="1" applyBorder="1" applyAlignment="1">
      <alignment horizontal="center" vertical="center"/>
    </xf>
    <xf numFmtId="168" fontId="14" fillId="0" borderId="3" xfId="0" applyNumberFormat="1" applyFont="1" applyBorder="1" applyAlignment="1">
      <alignment horizontal="center" vertical="center"/>
    </xf>
    <xf numFmtId="164" fontId="50" fillId="0" borderId="3" xfId="0" applyFont="1" applyBorder="1" applyAlignment="1">
      <alignment horizontal="left" vertical="center" wrapText="1"/>
    </xf>
    <xf numFmtId="168" fontId="13" fillId="0" borderId="3" xfId="0" applyNumberFormat="1" applyFont="1" applyBorder="1" applyAlignment="1">
      <alignment horizontal="right" vertical="center" wrapText="1"/>
    </xf>
    <xf numFmtId="164" fontId="18" fillId="0" borderId="3" xfId="0" applyFont="1" applyBorder="1" applyAlignment="1">
      <alignment horizontal="justify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4" fontId="18" fillId="0" borderId="4" xfId="0" applyFont="1" applyBorder="1" applyAlignment="1">
      <alignment horizontal="left" vertical="center" wrapText="1"/>
    </xf>
    <xf numFmtId="168" fontId="14" fillId="0" borderId="3" xfId="0" applyNumberFormat="1" applyFont="1" applyBorder="1" applyAlignment="1">
      <alignment horizontal="right" vertical="center"/>
    </xf>
    <xf numFmtId="164" fontId="14" fillId="0" borderId="9" xfId="0" applyFont="1" applyBorder="1" applyAlignment="1">
      <alignment horizontal="center" vertical="center"/>
    </xf>
    <xf numFmtId="164" fontId="41" fillId="0" borderId="0" xfId="0" applyFont="1" applyBorder="1" applyAlignment="1">
      <alignment horizontal="left" vertical="center"/>
    </xf>
    <xf numFmtId="164" fontId="41" fillId="0" borderId="10" xfId="0" applyFont="1" applyBorder="1" applyAlignment="1">
      <alignment horizontal="left" vertical="center"/>
    </xf>
    <xf numFmtId="164" fontId="55" fillId="10" borderId="4" xfId="0" applyFont="1" applyFill="1" applyBorder="1" applyAlignment="1">
      <alignment vertical="center"/>
    </xf>
    <xf numFmtId="178" fontId="18" fillId="0" borderId="3" xfId="0" applyNumberFormat="1" applyFont="1" applyBorder="1" applyAlignment="1">
      <alignment horizontal="left" vertical="center" wrapText="1"/>
    </xf>
    <xf numFmtId="178" fontId="13" fillId="0" borderId="3" xfId="0" applyNumberFormat="1" applyFont="1" applyBorder="1" applyAlignment="1">
      <alignment horizontal="center" vertical="center" wrapText="1"/>
    </xf>
    <xf numFmtId="164" fontId="13" fillId="0" borderId="7" xfId="0" applyFont="1" applyBorder="1" applyAlignment="1">
      <alignment horizontal="left" vertical="center" wrapText="1"/>
    </xf>
    <xf numFmtId="178" fontId="13" fillId="7" borderId="4" xfId="0" applyNumberFormat="1" applyFont="1" applyFill="1" applyBorder="1" applyAlignment="1">
      <alignment horizontal="right" vertical="center" wrapText="1"/>
    </xf>
    <xf numFmtId="178" fontId="13" fillId="0" borderId="4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9" fontId="14" fillId="0" borderId="0" xfId="0" applyNumberFormat="1" applyFont="1" applyAlignment="1">
      <alignment horizontal="left"/>
    </xf>
    <xf numFmtId="169" fontId="14" fillId="9" borderId="0" xfId="0" applyNumberFormat="1" applyFont="1" applyFill="1" applyAlignment="1">
      <alignment horizontal="left"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18" fillId="7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3" fillId="9" borderId="0" xfId="0" applyFont="1" applyFill="1" applyAlignment="1">
      <alignment/>
    </xf>
    <xf numFmtId="164" fontId="13" fillId="0" borderId="0" xfId="0" applyFont="1" applyBorder="1" applyAlignment="1">
      <alignment horizontal="left" vertical="center" wrapText="1"/>
    </xf>
    <xf numFmtId="164" fontId="16" fillId="7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left" wrapText="1"/>
    </xf>
    <xf numFmtId="167" fontId="14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4" fontId="13" fillId="0" borderId="8" xfId="0" applyFont="1" applyBorder="1" applyAlignment="1">
      <alignment horizontal="right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4" fontId="16" fillId="10" borderId="3" xfId="0" applyFont="1" applyFill="1" applyBorder="1" applyAlignment="1">
      <alignment horizontal="left" wrapText="1"/>
    </xf>
    <xf numFmtId="167" fontId="14" fillId="0" borderId="3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 horizontal="justify" vertical="top"/>
    </xf>
    <xf numFmtId="164" fontId="16" fillId="0" borderId="10" xfId="0" applyFont="1" applyBorder="1" applyAlignment="1">
      <alignment horizontal="justify" vertical="top"/>
    </xf>
    <xf numFmtId="164" fontId="13" fillId="7" borderId="8" xfId="0" applyFont="1" applyFill="1" applyBorder="1" applyAlignment="1">
      <alignment horizontal="right" vertical="center" wrapText="1"/>
    </xf>
    <xf numFmtId="166" fontId="14" fillId="7" borderId="3" xfId="0" applyNumberFormat="1" applyFont="1" applyFill="1" applyBorder="1" applyAlignment="1">
      <alignment horizontal="center" vertical="center" wrapText="1"/>
    </xf>
    <xf numFmtId="164" fontId="13" fillId="10" borderId="8" xfId="0" applyFont="1" applyFill="1" applyBorder="1" applyAlignment="1">
      <alignment horizontal="right" vertical="center" wrapText="1"/>
    </xf>
    <xf numFmtId="164" fontId="8" fillId="0" borderId="8" xfId="0" applyFont="1" applyBorder="1" applyAlignment="1">
      <alignment horizontal="left" vertical="center" wrapText="1"/>
    </xf>
    <xf numFmtId="164" fontId="13" fillId="10" borderId="3" xfId="0" applyFont="1" applyFill="1" applyBorder="1" applyAlignment="1">
      <alignment horizontal="center"/>
    </xf>
    <xf numFmtId="164" fontId="13" fillId="0" borderId="3" xfId="0" applyFont="1" applyBorder="1" applyAlignment="1">
      <alignment horizontal="justify"/>
    </xf>
    <xf numFmtId="178" fontId="14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justify" vertical="top"/>
    </xf>
    <xf numFmtId="164" fontId="16" fillId="10" borderId="3" xfId="0" applyFont="1" applyFill="1" applyBorder="1" applyAlignment="1">
      <alignment horizontal="left" vertical="center" wrapText="1"/>
    </xf>
    <xf numFmtId="164" fontId="13" fillId="7" borderId="3" xfId="0" applyFont="1" applyFill="1" applyBorder="1" applyAlignment="1">
      <alignment horizontal="center" vertical="top" wrapText="1"/>
    </xf>
    <xf numFmtId="178" fontId="14" fillId="0" borderId="3" xfId="0" applyNumberFormat="1" applyFont="1" applyBorder="1" applyAlignment="1">
      <alignment horizontal="center" vertical="center" wrapText="1"/>
    </xf>
    <xf numFmtId="179" fontId="14" fillId="0" borderId="3" xfId="0" applyNumberFormat="1" applyFont="1" applyBorder="1" applyAlignment="1">
      <alignment horizontal="center" vertical="center"/>
    </xf>
    <xf numFmtId="164" fontId="13" fillId="10" borderId="3" xfId="0" applyFont="1" applyFill="1" applyBorder="1" applyAlignment="1">
      <alignment wrapText="1"/>
    </xf>
    <xf numFmtId="178" fontId="14" fillId="0" borderId="3" xfId="0" applyNumberFormat="1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7" fontId="14" fillId="7" borderId="3" xfId="0" applyNumberFormat="1" applyFont="1" applyFill="1" applyBorder="1" applyAlignment="1">
      <alignment horizontal="center" vertical="center"/>
    </xf>
    <xf numFmtId="164" fontId="13" fillId="0" borderId="3" xfId="0" applyFont="1" applyBorder="1" applyAlignment="1">
      <alignment horizontal="justify" wrapText="1"/>
    </xf>
    <xf numFmtId="164" fontId="13" fillId="7" borderId="5" xfId="0" applyFont="1" applyFill="1" applyBorder="1" applyAlignment="1">
      <alignment horizontal="center" vertical="center"/>
    </xf>
    <xf numFmtId="164" fontId="13" fillId="7" borderId="5" xfId="0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horizontal="left"/>
    </xf>
    <xf numFmtId="167" fontId="13" fillId="0" borderId="3" xfId="0" applyNumberFormat="1" applyFont="1" applyBorder="1" applyAlignment="1">
      <alignment horizontal="center"/>
    </xf>
    <xf numFmtId="180" fontId="13" fillId="0" borderId="3" xfId="0" applyNumberFormat="1" applyFont="1" applyBorder="1" applyAlignment="1">
      <alignment horizontal="right"/>
    </xf>
    <xf numFmtId="164" fontId="13" fillId="0" borderId="3" xfId="0" applyFont="1" applyBorder="1" applyAlignment="1">
      <alignment horizontal="left" wrapText="1"/>
    </xf>
    <xf numFmtId="164" fontId="14" fillId="7" borderId="3" xfId="0" applyFont="1" applyFill="1" applyBorder="1" applyAlignment="1">
      <alignment horizontal="right" wrapText="1"/>
    </xf>
    <xf numFmtId="180" fontId="14" fillId="7" borderId="3" xfId="0" applyNumberFormat="1" applyFont="1" applyFill="1" applyBorder="1" applyAlignment="1">
      <alignment horizontal="right"/>
    </xf>
    <xf numFmtId="164" fontId="13" fillId="10" borderId="3" xfId="0" applyFont="1" applyFill="1" applyBorder="1" applyAlignment="1">
      <alignment horizontal="right" wrapText="1"/>
    </xf>
    <xf numFmtId="164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horizontal="center"/>
    </xf>
    <xf numFmtId="167" fontId="13" fillId="0" borderId="5" xfId="0" applyNumberFormat="1" applyFont="1" applyBorder="1" applyAlignment="1">
      <alignment horizontal="right" wrapText="1"/>
    </xf>
    <xf numFmtId="167" fontId="13" fillId="0" borderId="3" xfId="0" applyNumberFormat="1" applyFont="1" applyBorder="1" applyAlignment="1">
      <alignment horizontal="right" wrapText="1"/>
    </xf>
    <xf numFmtId="164" fontId="16" fillId="0" borderId="3" xfId="0" applyFont="1" applyBorder="1" applyAlignment="1">
      <alignment horizontal="left" wrapText="1"/>
    </xf>
    <xf numFmtId="180" fontId="14" fillId="7" borderId="3" xfId="0" applyNumberFormat="1" applyFont="1" applyFill="1" applyBorder="1" applyAlignment="1">
      <alignment horizontal="right" vertical="center"/>
    </xf>
    <xf numFmtId="164" fontId="14" fillId="10" borderId="3" xfId="0" applyFont="1" applyFill="1" applyBorder="1" applyAlignment="1">
      <alignment horizontal="right" wrapText="1"/>
    </xf>
    <xf numFmtId="164" fontId="13" fillId="0" borderId="5" xfId="0" applyFont="1" applyBorder="1" applyAlignment="1">
      <alignment horizontal="justify" wrapText="1"/>
    </xf>
    <xf numFmtId="180" fontId="13" fillId="0" borderId="5" xfId="0" applyNumberFormat="1" applyFont="1" applyBorder="1" applyAlignment="1">
      <alignment horizontal="right"/>
    </xf>
    <xf numFmtId="164" fontId="14" fillId="0" borderId="11" xfId="0" applyFont="1" applyBorder="1" applyAlignment="1">
      <alignment horizontal="right" wrapText="1"/>
    </xf>
    <xf numFmtId="180" fontId="14" fillId="0" borderId="5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 horizontal="right" vertical="center" wrapText="1"/>
    </xf>
    <xf numFmtId="164" fontId="13" fillId="10" borderId="3" xfId="0" applyFont="1" applyFill="1" applyBorder="1" applyAlignment="1">
      <alignment horizontal="left"/>
    </xf>
    <xf numFmtId="164" fontId="48" fillId="0" borderId="3" xfId="0" applyFont="1" applyBorder="1" applyAlignment="1">
      <alignment horizontal="left" vertical="center" wrapText="1"/>
    </xf>
    <xf numFmtId="171" fontId="56" fillId="0" borderId="3" xfId="0" applyNumberFormat="1" applyFont="1" applyBorder="1" applyAlignment="1">
      <alignment horizontal="center" vertical="center" wrapText="1"/>
    </xf>
    <xf numFmtId="164" fontId="48" fillId="10" borderId="12" xfId="0" applyFont="1" applyFill="1" applyBorder="1" applyAlignment="1">
      <alignment horizontal="center"/>
    </xf>
    <xf numFmtId="164" fontId="56" fillId="0" borderId="3" xfId="0" applyNumberFormat="1" applyFont="1" applyBorder="1" applyAlignment="1">
      <alignment horizontal="center" vertical="center" wrapText="1"/>
    </xf>
    <xf numFmtId="164" fontId="48" fillId="10" borderId="7" xfId="0" applyFont="1" applyFill="1" applyBorder="1" applyAlignment="1">
      <alignment horizontal="left" vertical="center" wrapText="1"/>
    </xf>
    <xf numFmtId="164" fontId="48" fillId="0" borderId="3" xfId="0" applyFont="1" applyBorder="1" applyAlignment="1">
      <alignment horizontal="justify" vertical="center" wrapText="1"/>
    </xf>
    <xf numFmtId="171" fontId="56" fillId="0" borderId="3" xfId="0" applyNumberFormat="1" applyFont="1" applyBorder="1" applyAlignment="1">
      <alignment horizontal="center" vertical="center"/>
    </xf>
    <xf numFmtId="164" fontId="13" fillId="10" borderId="3" xfId="0" applyFont="1" applyFill="1" applyBorder="1" applyAlignment="1">
      <alignment horizontal="justify" vertical="center" wrapText="1"/>
    </xf>
    <xf numFmtId="164" fontId="44" fillId="10" borderId="3" xfId="0" applyFont="1" applyFill="1" applyBorder="1" applyAlignment="1">
      <alignment horizontal="justify" vertical="top"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3" fillId="10" borderId="3" xfId="0" applyFont="1" applyFill="1" applyBorder="1" applyAlignment="1">
      <alignment horizontal="justify" vertical="top"/>
    </xf>
    <xf numFmtId="164" fontId="19" fillId="0" borderId="3" xfId="0" applyFont="1" applyBorder="1" applyAlignment="1">
      <alignment horizontal="center"/>
    </xf>
    <xf numFmtId="166" fontId="13" fillId="0" borderId="3" xfId="0" applyNumberFormat="1" applyFont="1" applyFill="1" applyBorder="1" applyAlignment="1">
      <alignment horizontal="right" vertical="center" wrapText="1"/>
    </xf>
    <xf numFmtId="164" fontId="58" fillId="0" borderId="3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164" fontId="14" fillId="0" borderId="8" xfId="0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right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4 2" xfId="20"/>
    <cellStyle name="40% - Ênfase3 2" xfId="21"/>
    <cellStyle name="40% - Ênfase4 2" xfId="22"/>
    <cellStyle name="60% - Ênfase1 2" xfId="23"/>
    <cellStyle name="60% - Ênfase3 2" xfId="24"/>
    <cellStyle name="Cálculo 2" xfId="25"/>
    <cellStyle name="Incorreto" xfId="26"/>
    <cellStyle name="Neutra" xfId="27"/>
    <cellStyle name="Saída 2" xfId="28"/>
    <cellStyle name="Título 5" xfId="29"/>
    <cellStyle name="Ênfase6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6B6B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0"/>
  <sheetViews>
    <sheetView tabSelected="1" zoomScale="110" zoomScaleNormal="110" workbookViewId="0" topLeftCell="A251">
      <selection activeCell="A268" sqref="A26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13.140625" style="1" customWidth="1"/>
    <col min="4" max="4" width="10.140625" style="1" customWidth="1"/>
    <col min="5" max="5" width="12.28125" style="1" customWidth="1"/>
    <col min="6" max="6" width="11.140625" style="1" customWidth="1"/>
    <col min="7" max="7" width="9.7109375" style="1" customWidth="1"/>
    <col min="8" max="8" width="12.421875" style="1" customWidth="1"/>
    <col min="9" max="9" width="15.57421875" style="2" customWidth="1"/>
    <col min="10" max="10" width="10.57421875" style="1" customWidth="1"/>
    <col min="11" max="11" width="11.140625" style="1" customWidth="1"/>
    <col min="12" max="12" width="7.28125" style="1" customWidth="1"/>
    <col min="13" max="13" width="6.421875" style="1" customWidth="1"/>
    <col min="14" max="15" width="9.140625" style="1" customWidth="1"/>
    <col min="16" max="16384" width="9.140625" style="1" customWidth="1"/>
  </cols>
  <sheetData>
    <row r="2" spans="1:9" ht="23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0" ht="4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5.75" customHeight="1">
      <c r="A4" s="6" t="s">
        <v>2</v>
      </c>
      <c r="B4" s="6"/>
      <c r="C4" s="6"/>
      <c r="D4" s="6"/>
      <c r="E4" s="6"/>
      <c r="F4" s="7" t="s">
        <v>3</v>
      </c>
      <c r="G4" s="7"/>
      <c r="H4" s="7"/>
      <c r="I4" s="7"/>
    </row>
    <row r="5" spans="1:9" ht="15.75" customHeight="1">
      <c r="A5" s="6" t="s">
        <v>4</v>
      </c>
      <c r="B5" s="6"/>
      <c r="C5" s="6"/>
      <c r="D5" s="6"/>
      <c r="E5" s="6"/>
      <c r="F5" s="7" t="s">
        <v>5</v>
      </c>
      <c r="G5" s="7"/>
      <c r="H5" s="7"/>
      <c r="I5" s="7"/>
    </row>
    <row r="6" spans="1:9" ht="15.75" customHeight="1">
      <c r="A6" s="6" t="s">
        <v>6</v>
      </c>
      <c r="B6" s="6"/>
      <c r="C6" s="6"/>
      <c r="D6" s="6"/>
      <c r="E6" s="6"/>
      <c r="F6" s="6"/>
      <c r="G6" s="6"/>
      <c r="H6" s="6"/>
      <c r="I6" s="6"/>
    </row>
    <row r="7" spans="1:9" ht="20.25" customHeight="1">
      <c r="A7" s="8" t="s">
        <v>7</v>
      </c>
      <c r="B7" s="8"/>
      <c r="C7" s="8"/>
      <c r="D7" s="8"/>
      <c r="E7" s="8"/>
      <c r="F7" s="8"/>
      <c r="G7" s="8"/>
      <c r="H7" s="8"/>
      <c r="I7" s="8"/>
    </row>
    <row r="8" spans="1:9" ht="15.75" customHeight="1">
      <c r="A8" s="9" t="s">
        <v>8</v>
      </c>
      <c r="B8" s="6" t="s">
        <v>9</v>
      </c>
      <c r="C8" s="6"/>
      <c r="D8" s="6"/>
      <c r="E8" s="6"/>
      <c r="F8" s="6"/>
      <c r="G8" s="6"/>
      <c r="H8" s="10" t="s">
        <v>10</v>
      </c>
      <c r="I8" s="10"/>
    </row>
    <row r="9" spans="1:9" ht="15.75" customHeight="1">
      <c r="A9" s="9" t="s">
        <v>11</v>
      </c>
      <c r="B9" s="6" t="s">
        <v>12</v>
      </c>
      <c r="C9" s="6"/>
      <c r="D9" s="6"/>
      <c r="E9" s="6"/>
      <c r="F9" s="6"/>
      <c r="G9" s="6"/>
      <c r="H9" s="11" t="s">
        <v>13</v>
      </c>
      <c r="I9" s="11"/>
    </row>
    <row r="10" spans="1:9" ht="48.75" customHeight="1">
      <c r="A10" s="9" t="s">
        <v>14</v>
      </c>
      <c r="B10" s="6" t="s">
        <v>15</v>
      </c>
      <c r="C10" s="6"/>
      <c r="D10" s="6"/>
      <c r="E10" s="6"/>
      <c r="F10" s="6"/>
      <c r="G10" s="6"/>
      <c r="H10" s="11" t="s">
        <v>16</v>
      </c>
      <c r="I10" s="11"/>
    </row>
    <row r="11" spans="1:9" ht="15.75" customHeight="1">
      <c r="A11" s="9" t="s">
        <v>17</v>
      </c>
      <c r="B11" s="6" t="s">
        <v>18</v>
      </c>
      <c r="C11" s="6"/>
      <c r="D11" s="6"/>
      <c r="E11" s="6"/>
      <c r="F11" s="6"/>
      <c r="G11" s="6"/>
      <c r="H11" s="11">
        <v>12</v>
      </c>
      <c r="I11" s="11"/>
    </row>
    <row r="12" spans="1:9" ht="25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</row>
    <row r="13" spans="1:9" ht="59.25" customHeight="1">
      <c r="A13" s="13" t="s">
        <v>20</v>
      </c>
      <c r="B13" s="13"/>
      <c r="C13" s="13"/>
      <c r="D13" s="13"/>
      <c r="E13" s="13"/>
      <c r="F13" s="14" t="s">
        <v>21</v>
      </c>
      <c r="G13" s="14"/>
      <c r="H13" s="14" t="s">
        <v>22</v>
      </c>
      <c r="I13" s="14"/>
    </row>
    <row r="14" spans="1:9" ht="12.75" customHeight="1">
      <c r="A14" s="15" t="s">
        <v>23</v>
      </c>
      <c r="B14" s="15"/>
      <c r="C14" s="15"/>
      <c r="D14" s="15"/>
      <c r="E14" s="15"/>
      <c r="F14" s="16" t="s">
        <v>24</v>
      </c>
      <c r="G14" s="16"/>
      <c r="H14" s="17">
        <f>4235.88-580</f>
        <v>3655.88</v>
      </c>
      <c r="I14" s="17"/>
    </row>
    <row r="15" spans="1:9" ht="12.75" customHeight="1">
      <c r="A15" s="15" t="s">
        <v>25</v>
      </c>
      <c r="B15" s="15"/>
      <c r="C15" s="15"/>
      <c r="D15" s="15"/>
      <c r="E15" s="15"/>
      <c r="F15" s="16" t="s">
        <v>24</v>
      </c>
      <c r="G15" s="16"/>
      <c r="H15" s="17">
        <v>1039.39</v>
      </c>
      <c r="I15" s="17"/>
    </row>
    <row r="16" spans="1:12" ht="25.5" customHeight="1">
      <c r="A16" s="15" t="s">
        <v>26</v>
      </c>
      <c r="B16" s="15" t="s">
        <v>27</v>
      </c>
      <c r="C16" s="15" t="s">
        <v>28</v>
      </c>
      <c r="D16" s="15" t="s">
        <v>29</v>
      </c>
      <c r="E16" s="15" t="s">
        <v>30</v>
      </c>
      <c r="F16" s="16" t="s">
        <v>24</v>
      </c>
      <c r="G16" s="16"/>
      <c r="H16" s="17">
        <v>1264.14</v>
      </c>
      <c r="I16" s="17"/>
      <c r="L16" s="18"/>
    </row>
    <row r="17" spans="1:9" ht="12.75" customHeight="1">
      <c r="A17" s="19" t="s">
        <v>31</v>
      </c>
      <c r="B17" s="19"/>
      <c r="C17" s="19"/>
      <c r="D17" s="19"/>
      <c r="E17" s="19"/>
      <c r="F17" s="19"/>
      <c r="G17" s="19"/>
      <c r="H17" s="20">
        <f>ROUND(H14+H15+H16,2)</f>
        <v>5959.41</v>
      </c>
      <c r="I17" s="20"/>
    </row>
    <row r="18" spans="1:9" ht="8.2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3.25" customHeight="1">
      <c r="A19" s="15" t="s">
        <v>32</v>
      </c>
      <c r="B19" s="15"/>
      <c r="C19" s="15"/>
      <c r="D19" s="15"/>
      <c r="E19" s="15"/>
      <c r="F19" s="16" t="s">
        <v>24</v>
      </c>
      <c r="G19" s="16"/>
      <c r="H19" s="22">
        <v>1013.5</v>
      </c>
      <c r="I19" s="22"/>
    </row>
    <row r="20" spans="1:9" ht="12.75" customHeight="1">
      <c r="A20" s="15" t="s">
        <v>33</v>
      </c>
      <c r="B20" s="15"/>
      <c r="C20" s="15"/>
      <c r="D20" s="15"/>
      <c r="E20" s="15"/>
      <c r="F20" s="23" t="s">
        <v>24</v>
      </c>
      <c r="G20" s="23"/>
      <c r="H20" s="22">
        <v>534</v>
      </c>
      <c r="I20" s="22"/>
    </row>
    <row r="21" spans="1:13" ht="14.25" customHeight="1">
      <c r="A21" s="15" t="s">
        <v>34</v>
      </c>
      <c r="B21" s="15"/>
      <c r="C21" s="15"/>
      <c r="D21" s="15"/>
      <c r="E21" s="15"/>
      <c r="F21" s="23" t="s">
        <v>24</v>
      </c>
      <c r="G21" s="23"/>
      <c r="H21" s="22">
        <v>2018.08</v>
      </c>
      <c r="I21" s="22"/>
      <c r="J21" s="24"/>
      <c r="K21" s="24"/>
      <c r="L21" s="24"/>
      <c r="M21" s="24"/>
    </row>
    <row r="22" spans="1:15" ht="26.25" customHeight="1">
      <c r="A22" s="15" t="s">
        <v>35</v>
      </c>
      <c r="B22" s="15"/>
      <c r="C22" s="15"/>
      <c r="D22" s="15"/>
      <c r="E22" s="15"/>
      <c r="F22" s="16" t="s">
        <v>24</v>
      </c>
      <c r="G22" s="16"/>
      <c r="H22" s="22">
        <v>2520.5</v>
      </c>
      <c r="I22" s="22"/>
      <c r="J22" s="25"/>
      <c r="N22" s="25"/>
      <c r="O22" s="26"/>
    </row>
    <row r="23" spans="1:15" ht="15" customHeight="1">
      <c r="A23" s="19" t="s">
        <v>36</v>
      </c>
      <c r="B23" s="19"/>
      <c r="C23" s="19"/>
      <c r="D23" s="19"/>
      <c r="E23" s="19"/>
      <c r="F23" s="19"/>
      <c r="G23" s="19"/>
      <c r="H23" s="20">
        <f>ROUND(H19+H20+H21+H22,2)</f>
        <v>6086.08</v>
      </c>
      <c r="I23" s="20"/>
      <c r="J23" s="25"/>
      <c r="N23" s="25"/>
      <c r="O23" s="26"/>
    </row>
    <row r="24" spans="1:15" ht="7.5" customHeight="1">
      <c r="A24" s="21"/>
      <c r="B24" s="21"/>
      <c r="C24" s="21"/>
      <c r="D24" s="21"/>
      <c r="E24" s="21"/>
      <c r="F24" s="21"/>
      <c r="G24" s="21"/>
      <c r="H24" s="21"/>
      <c r="I24" s="21"/>
      <c r="N24" s="25"/>
      <c r="O24" s="26"/>
    </row>
    <row r="25" spans="1:11" ht="27" customHeight="1">
      <c r="A25" s="15" t="s">
        <v>37</v>
      </c>
      <c r="B25" s="15"/>
      <c r="C25" s="15"/>
      <c r="D25" s="15"/>
      <c r="E25" s="15"/>
      <c r="F25" s="16" t="s">
        <v>24</v>
      </c>
      <c r="G25" s="16"/>
      <c r="H25" s="22">
        <v>97</v>
      </c>
      <c r="I25" s="22"/>
      <c r="J25" s="26"/>
      <c r="K25" s="26"/>
    </row>
    <row r="26" spans="1:11" ht="25.5" customHeight="1">
      <c r="A26" s="15" t="s">
        <v>38</v>
      </c>
      <c r="B26" s="15"/>
      <c r="C26" s="15"/>
      <c r="D26" s="15"/>
      <c r="E26" s="15"/>
      <c r="F26" s="16" t="s">
        <v>24</v>
      </c>
      <c r="G26" s="16"/>
      <c r="H26" s="22">
        <v>667.44</v>
      </c>
      <c r="I26" s="22"/>
      <c r="J26" s="26"/>
      <c r="K26" s="26"/>
    </row>
    <row r="27" spans="1:9" ht="12.75" customHeight="1">
      <c r="A27" s="15" t="s">
        <v>39</v>
      </c>
      <c r="B27" s="15"/>
      <c r="C27" s="15"/>
      <c r="D27" s="15"/>
      <c r="E27" s="15"/>
      <c r="F27" s="16" t="s">
        <v>24</v>
      </c>
      <c r="G27" s="16"/>
      <c r="H27" s="22">
        <v>667.44</v>
      </c>
      <c r="I27" s="22"/>
    </row>
    <row r="28" spans="1:9" ht="12.75" customHeight="1">
      <c r="A28" s="27" t="s">
        <v>40</v>
      </c>
      <c r="B28" s="27"/>
      <c r="C28" s="27"/>
      <c r="D28" s="27"/>
      <c r="E28" s="27"/>
      <c r="F28" s="27"/>
      <c r="G28" s="27"/>
      <c r="H28" s="20">
        <f>ROUND(H25+H26+H27,2)</f>
        <v>1431.88</v>
      </c>
      <c r="I28" s="20"/>
    </row>
    <row r="29" spans="1:9" ht="7.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7.5" customHeight="1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2.75" customHeight="1">
      <c r="A31" s="29" t="s">
        <v>41</v>
      </c>
      <c r="B31" s="29"/>
      <c r="C31" s="29"/>
      <c r="D31" s="29"/>
      <c r="E31" s="29"/>
      <c r="F31" s="29"/>
      <c r="G31" s="29"/>
      <c r="H31" s="30">
        <f>ROUND(H17+H23+H28,2)</f>
        <v>13477.37</v>
      </c>
      <c r="I31" s="30"/>
    </row>
    <row r="32" spans="1:12" ht="7.5" customHeight="1">
      <c r="A32" s="31"/>
      <c r="B32" s="31"/>
      <c r="C32" s="31"/>
      <c r="D32" s="31"/>
      <c r="E32" s="31"/>
      <c r="F32" s="31"/>
      <c r="G32" s="31"/>
      <c r="H32" s="31"/>
      <c r="I32" s="31"/>
      <c r="J32" s="32"/>
      <c r="K32" s="33"/>
      <c r="L32" s="34"/>
    </row>
    <row r="33" spans="1:12" ht="48" customHeight="1">
      <c r="A33" s="35" t="s">
        <v>42</v>
      </c>
      <c r="B33" s="35"/>
      <c r="C33" s="35"/>
      <c r="D33" s="35"/>
      <c r="E33" s="35"/>
      <c r="F33" s="35"/>
      <c r="G33" s="35"/>
      <c r="H33" s="35"/>
      <c r="I33" s="35"/>
      <c r="J33" s="32"/>
      <c r="K33" s="33"/>
      <c r="L33" s="34"/>
    </row>
    <row r="34" spans="1:12" ht="7.5" customHeight="1">
      <c r="A34" s="31"/>
      <c r="B34" s="31"/>
      <c r="C34" s="31"/>
      <c r="D34" s="31"/>
      <c r="E34" s="31"/>
      <c r="F34" s="31"/>
      <c r="G34" s="31"/>
      <c r="H34" s="31"/>
      <c r="I34" s="31"/>
      <c r="J34" s="32"/>
      <c r="K34" s="33"/>
      <c r="L34" s="34"/>
    </row>
    <row r="35" spans="1:12" ht="54" customHeight="1">
      <c r="A35" s="36" t="s">
        <v>43</v>
      </c>
      <c r="B35" s="36"/>
      <c r="C35" s="36"/>
      <c r="D35" s="36"/>
      <c r="E35" s="36"/>
      <c r="F35" s="36"/>
      <c r="G35" s="36"/>
      <c r="H35" s="36"/>
      <c r="I35" s="36"/>
      <c r="J35" s="32"/>
      <c r="K35" s="33"/>
      <c r="L35" s="34"/>
    </row>
    <row r="36" spans="1:12" ht="9.75" customHeight="1">
      <c r="A36" s="37"/>
      <c r="B36" s="37"/>
      <c r="C36" s="37"/>
      <c r="D36" s="37"/>
      <c r="E36" s="37"/>
      <c r="F36" s="37"/>
      <c r="G36" s="37"/>
      <c r="H36" s="37"/>
      <c r="I36" s="37"/>
      <c r="J36" s="32"/>
      <c r="K36" s="33"/>
      <c r="L36" s="34"/>
    </row>
    <row r="37" spans="1:9" s="38" customFormat="1" ht="21.75" customHeight="1">
      <c r="A37" s="8" t="s">
        <v>44</v>
      </c>
      <c r="B37" s="8"/>
      <c r="C37" s="8"/>
      <c r="D37" s="8"/>
      <c r="E37" s="8"/>
      <c r="F37" s="8"/>
      <c r="G37" s="8"/>
      <c r="H37" s="8"/>
      <c r="I37" s="8"/>
    </row>
    <row r="38" spans="1:9" ht="15.75" customHeight="1">
      <c r="A38" s="9">
        <v>1</v>
      </c>
      <c r="B38" s="6" t="s">
        <v>45</v>
      </c>
      <c r="C38" s="6"/>
      <c r="D38" s="6"/>
      <c r="E38" s="6"/>
      <c r="F38" s="6"/>
      <c r="G38" s="6"/>
      <c r="H38" s="39" t="s">
        <v>46</v>
      </c>
      <c r="I38" s="39"/>
    </row>
    <row r="39" spans="1:9" ht="15.75" customHeight="1">
      <c r="A39" s="9">
        <v>2</v>
      </c>
      <c r="B39" s="6" t="s">
        <v>47</v>
      </c>
      <c r="C39" s="6"/>
      <c r="D39" s="6"/>
      <c r="E39" s="6"/>
      <c r="F39" s="6"/>
      <c r="G39" s="6"/>
      <c r="H39" s="40">
        <v>5143</v>
      </c>
      <c r="I39" s="40"/>
    </row>
    <row r="40" spans="1:9" ht="15.75" customHeight="1">
      <c r="A40" s="9">
        <v>3</v>
      </c>
      <c r="B40" s="6" t="s">
        <v>48</v>
      </c>
      <c r="C40" s="6"/>
      <c r="D40" s="6"/>
      <c r="E40" s="6"/>
      <c r="F40" s="6"/>
      <c r="G40" s="6"/>
      <c r="H40" s="39">
        <v>1314.09</v>
      </c>
      <c r="I40" s="39"/>
    </row>
    <row r="41" spans="1:9" ht="15.75" customHeight="1">
      <c r="A41" s="9">
        <v>4</v>
      </c>
      <c r="B41" s="6" t="s">
        <v>49</v>
      </c>
      <c r="C41" s="6"/>
      <c r="D41" s="6"/>
      <c r="E41" s="6"/>
      <c r="F41" s="6"/>
      <c r="G41" s="6"/>
      <c r="H41" s="41" t="s">
        <v>50</v>
      </c>
      <c r="I41" s="41"/>
    </row>
    <row r="42" spans="1:9" ht="15.75" customHeight="1">
      <c r="A42" s="9">
        <v>5</v>
      </c>
      <c r="B42" s="6" t="s">
        <v>51</v>
      </c>
      <c r="C42" s="6"/>
      <c r="D42" s="6"/>
      <c r="E42" s="6"/>
      <c r="F42" s="6"/>
      <c r="G42" s="6"/>
      <c r="H42" s="41" t="s">
        <v>52</v>
      </c>
      <c r="I42" s="41"/>
    </row>
    <row r="43" spans="1:9" ht="9" customHeight="1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22.5" customHeight="1">
      <c r="A44" s="43" t="s">
        <v>53</v>
      </c>
      <c r="B44" s="43"/>
      <c r="C44" s="43"/>
      <c r="D44" s="43"/>
      <c r="E44" s="43"/>
      <c r="F44" s="43"/>
      <c r="G44" s="43"/>
      <c r="H44" s="43"/>
      <c r="I44" s="43"/>
    </row>
    <row r="45" spans="1:9" ht="9" customHeight="1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22.5" customHeight="1">
      <c r="A46" s="45" t="s">
        <v>54</v>
      </c>
      <c r="B46" s="45"/>
      <c r="C46" s="45"/>
      <c r="D46" s="45"/>
      <c r="E46" s="45"/>
      <c r="F46" s="45"/>
      <c r="G46" s="45"/>
      <c r="H46" s="45"/>
      <c r="I46" s="45"/>
    </row>
    <row r="47" spans="1:9" s="48" customFormat="1" ht="30" customHeight="1">
      <c r="A47" s="46">
        <v>1</v>
      </c>
      <c r="B47" s="47" t="s">
        <v>55</v>
      </c>
      <c r="C47" s="47"/>
      <c r="D47" s="47"/>
      <c r="E47" s="47"/>
      <c r="F47" s="47"/>
      <c r="G47" s="47"/>
      <c r="H47" s="46" t="s">
        <v>56</v>
      </c>
      <c r="I47" s="46" t="s">
        <v>57</v>
      </c>
    </row>
    <row r="48" spans="1:9" ht="27.75" customHeight="1">
      <c r="A48" s="9" t="s">
        <v>8</v>
      </c>
      <c r="B48" s="6" t="s">
        <v>58</v>
      </c>
      <c r="C48" s="6"/>
      <c r="D48" s="6"/>
      <c r="E48" s="6"/>
      <c r="F48" s="6"/>
      <c r="G48" s="6"/>
      <c r="H48" s="6"/>
      <c r="I48" s="49">
        <f>H40</f>
        <v>1314.09</v>
      </c>
    </row>
    <row r="49" spans="1:9" ht="15.75" customHeight="1">
      <c r="A49" s="9" t="s">
        <v>11</v>
      </c>
      <c r="B49" s="50" t="s">
        <v>59</v>
      </c>
      <c r="C49" s="50"/>
      <c r="D49" s="50"/>
      <c r="E49" s="50"/>
      <c r="F49" s="50"/>
      <c r="G49" s="50"/>
      <c r="H49" s="51"/>
      <c r="I49" s="49"/>
    </row>
    <row r="50" spans="1:9" ht="14.25" customHeight="1">
      <c r="A50" s="9" t="s">
        <v>14</v>
      </c>
      <c r="B50" s="52" t="s">
        <v>60</v>
      </c>
      <c r="C50" s="52"/>
      <c r="D50" s="52"/>
      <c r="E50" s="52"/>
      <c r="F50" s="52"/>
      <c r="G50" s="52"/>
      <c r="H50" s="53">
        <v>0.2</v>
      </c>
      <c r="I50" s="49">
        <f>ROUND(H50*I48,2)</f>
        <v>262.82</v>
      </c>
    </row>
    <row r="51" spans="1:9" ht="15.75" customHeight="1">
      <c r="A51" s="54" t="s">
        <v>61</v>
      </c>
      <c r="B51" s="54"/>
      <c r="C51" s="54"/>
      <c r="D51" s="54"/>
      <c r="E51" s="54"/>
      <c r="F51" s="54"/>
      <c r="G51" s="54"/>
      <c r="H51" s="54"/>
      <c r="I51" s="55">
        <f>SUM(I48:I50)</f>
        <v>1576.9099999999999</v>
      </c>
    </row>
    <row r="52" spans="1:9" ht="9.75" customHeight="1">
      <c r="A52" s="56"/>
      <c r="B52" s="56"/>
      <c r="C52" s="56"/>
      <c r="D52" s="56"/>
      <c r="E52" s="56"/>
      <c r="F52" s="56"/>
      <c r="G52" s="56"/>
      <c r="H52" s="56"/>
      <c r="I52" s="56"/>
    </row>
    <row r="53" spans="1:9" ht="20.25" customHeight="1">
      <c r="A53" s="57" t="s">
        <v>62</v>
      </c>
      <c r="B53" s="57"/>
      <c r="C53" s="57"/>
      <c r="D53" s="57"/>
      <c r="E53" s="57"/>
      <c r="F53" s="57"/>
      <c r="G53" s="57"/>
      <c r="H53" s="57"/>
      <c r="I53" s="57"/>
    </row>
    <row r="54" spans="1:9" ht="10.5" customHeight="1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21.75" customHeight="1">
      <c r="A55" s="59" t="s">
        <v>63</v>
      </c>
      <c r="B55" s="59"/>
      <c r="C55" s="59"/>
      <c r="D55" s="59"/>
      <c r="E55" s="59"/>
      <c r="F55" s="59"/>
      <c r="G55" s="59"/>
      <c r="H55" s="59"/>
      <c r="I55" s="59"/>
    </row>
    <row r="56" spans="1:9" ht="25.5" customHeight="1">
      <c r="A56" s="60" t="s">
        <v>64</v>
      </c>
      <c r="B56" s="60"/>
      <c r="C56" s="60"/>
      <c r="D56" s="60"/>
      <c r="E56" s="60"/>
      <c r="F56" s="60"/>
      <c r="G56" s="60"/>
      <c r="H56" s="60"/>
      <c r="I56" s="60"/>
    </row>
    <row r="57" spans="1:9" ht="25.5" customHeight="1">
      <c r="A57" s="61" t="s">
        <v>65</v>
      </c>
      <c r="B57" s="61" t="s">
        <v>66</v>
      </c>
      <c r="C57" s="61"/>
      <c r="D57" s="61"/>
      <c r="E57" s="61"/>
      <c r="F57" s="61"/>
      <c r="G57" s="61"/>
      <c r="H57" s="61"/>
      <c r="I57" s="12" t="s">
        <v>67</v>
      </c>
    </row>
    <row r="58" spans="1:9" ht="25.5" customHeight="1">
      <c r="A58" s="62" t="s">
        <v>8</v>
      </c>
      <c r="B58" s="50" t="s">
        <v>68</v>
      </c>
      <c r="C58" s="50"/>
      <c r="D58" s="50"/>
      <c r="E58" s="50"/>
      <c r="F58" s="50"/>
      <c r="G58" s="50"/>
      <c r="H58" s="51">
        <v>0.0833</v>
      </c>
      <c r="I58" s="17">
        <f aca="true" t="shared" si="0" ref="I58:I59">ROUND($I$51*H58,2)</f>
        <v>131.36</v>
      </c>
    </row>
    <row r="59" spans="1:9" ht="103.5" customHeight="1">
      <c r="A59" s="62" t="s">
        <v>11</v>
      </c>
      <c r="B59" s="63" t="s">
        <v>69</v>
      </c>
      <c r="C59" s="63"/>
      <c r="D59" s="63"/>
      <c r="E59" s="63"/>
      <c r="F59" s="63"/>
      <c r="G59" s="63"/>
      <c r="H59" s="64">
        <v>0.03025</v>
      </c>
      <c r="I59" s="17">
        <f t="shared" si="0"/>
        <v>47.7</v>
      </c>
    </row>
    <row r="60" spans="1:9" ht="19.5" customHeight="1">
      <c r="A60" s="65" t="s">
        <v>70</v>
      </c>
      <c r="B60" s="65"/>
      <c r="C60" s="65"/>
      <c r="D60" s="65"/>
      <c r="E60" s="65"/>
      <c r="F60" s="65"/>
      <c r="G60" s="65"/>
      <c r="H60" s="65"/>
      <c r="I60" s="66">
        <f>SUM(I58+I59)</f>
        <v>179.06</v>
      </c>
    </row>
    <row r="61" spans="1:9" s="5" customFormat="1" ht="10.5" customHeight="1">
      <c r="A61" s="67"/>
      <c r="B61" s="67"/>
      <c r="C61" s="67"/>
      <c r="D61" s="67"/>
      <c r="E61" s="67"/>
      <c r="F61" s="67"/>
      <c r="G61" s="67"/>
      <c r="H61" s="67"/>
      <c r="I61" s="67"/>
    </row>
    <row r="62" spans="1:9" ht="85.5" customHeight="1">
      <c r="A62" s="35" t="s">
        <v>71</v>
      </c>
      <c r="B62" s="35"/>
      <c r="C62" s="35"/>
      <c r="D62" s="35"/>
      <c r="E62" s="35"/>
      <c r="F62" s="35"/>
      <c r="G62" s="35"/>
      <c r="H62" s="35"/>
      <c r="I62" s="35"/>
    </row>
    <row r="63" spans="1:9" ht="11.25" customHeight="1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32.25" customHeight="1">
      <c r="A64" s="69" t="s">
        <v>72</v>
      </c>
      <c r="B64" s="69"/>
      <c r="C64" s="69"/>
      <c r="D64" s="69"/>
      <c r="E64" s="69"/>
      <c r="F64" s="69"/>
      <c r="G64" s="69"/>
      <c r="H64" s="69"/>
      <c r="I64" s="69"/>
    </row>
    <row r="65" spans="1:9" ht="30" customHeight="1">
      <c r="A65" s="70" t="s">
        <v>73</v>
      </c>
      <c r="B65" s="47" t="s">
        <v>74</v>
      </c>
      <c r="C65" s="47"/>
      <c r="D65" s="47"/>
      <c r="E65" s="47"/>
      <c r="F65" s="47"/>
      <c r="G65" s="47"/>
      <c r="H65" s="47" t="s">
        <v>75</v>
      </c>
      <c r="I65" s="47" t="s">
        <v>76</v>
      </c>
    </row>
    <row r="66" spans="1:9" ht="15.75" customHeight="1">
      <c r="A66" s="71" t="s">
        <v>8</v>
      </c>
      <c r="B66" s="6" t="s">
        <v>77</v>
      </c>
      <c r="C66" s="6"/>
      <c r="D66" s="6"/>
      <c r="E66" s="6"/>
      <c r="F66" s="6"/>
      <c r="G66" s="6"/>
      <c r="H66" s="72">
        <v>0.2</v>
      </c>
      <c r="I66" s="73">
        <f aca="true" t="shared" si="1" ref="I66:I73">ROUND(($I$51+$I$60)*H66,2)</f>
        <v>351.19</v>
      </c>
    </row>
    <row r="67" spans="1:9" ht="15.75" customHeight="1">
      <c r="A67" s="71" t="s">
        <v>11</v>
      </c>
      <c r="B67" s="6" t="s">
        <v>78</v>
      </c>
      <c r="C67" s="6"/>
      <c r="D67" s="6"/>
      <c r="E67" s="6"/>
      <c r="F67" s="6"/>
      <c r="G67" s="6"/>
      <c r="H67" s="72">
        <v>0.025</v>
      </c>
      <c r="I67" s="73">
        <f t="shared" si="1"/>
        <v>43.9</v>
      </c>
    </row>
    <row r="68" spans="1:9" ht="48.75" customHeight="1">
      <c r="A68" s="71" t="s">
        <v>14</v>
      </c>
      <c r="B68" s="6" t="s">
        <v>79</v>
      </c>
      <c r="C68" s="6"/>
      <c r="D68" s="74" t="s">
        <v>80</v>
      </c>
      <c r="E68" s="75">
        <v>0.03</v>
      </c>
      <c r="F68" s="74" t="s">
        <v>81</v>
      </c>
      <c r="G68" s="76">
        <v>1</v>
      </c>
      <c r="H68" s="77">
        <f>ROUND((E68*G68),6)</f>
        <v>0.03</v>
      </c>
      <c r="I68" s="73">
        <f t="shared" si="1"/>
        <v>52.68</v>
      </c>
    </row>
    <row r="69" spans="1:9" ht="15.75" customHeight="1">
      <c r="A69" s="71" t="s">
        <v>17</v>
      </c>
      <c r="B69" s="6" t="s">
        <v>82</v>
      </c>
      <c r="C69" s="6"/>
      <c r="D69" s="6"/>
      <c r="E69" s="6"/>
      <c r="F69" s="6"/>
      <c r="G69" s="6"/>
      <c r="H69" s="72">
        <v>0.015</v>
      </c>
      <c r="I69" s="73">
        <f t="shared" si="1"/>
        <v>26.34</v>
      </c>
    </row>
    <row r="70" spans="1:9" ht="15.75" customHeight="1">
      <c r="A70" s="71" t="s">
        <v>83</v>
      </c>
      <c r="B70" s="6" t="s">
        <v>84</v>
      </c>
      <c r="C70" s="6"/>
      <c r="D70" s="6"/>
      <c r="E70" s="6"/>
      <c r="F70" s="6"/>
      <c r="G70" s="6"/>
      <c r="H70" s="72">
        <v>0.01</v>
      </c>
      <c r="I70" s="73">
        <f t="shared" si="1"/>
        <v>17.56</v>
      </c>
    </row>
    <row r="71" spans="1:9" ht="15.75" customHeight="1">
      <c r="A71" s="71" t="s">
        <v>85</v>
      </c>
      <c r="B71" s="6" t="s">
        <v>86</v>
      </c>
      <c r="C71" s="6"/>
      <c r="D71" s="6"/>
      <c r="E71" s="6"/>
      <c r="F71" s="6"/>
      <c r="G71" s="6"/>
      <c r="H71" s="72">
        <v>0.006</v>
      </c>
      <c r="I71" s="73">
        <f t="shared" si="1"/>
        <v>10.54</v>
      </c>
    </row>
    <row r="72" spans="1:9" ht="20.25" customHeight="1">
      <c r="A72" s="71" t="s">
        <v>87</v>
      </c>
      <c r="B72" s="6" t="s">
        <v>88</v>
      </c>
      <c r="C72" s="6"/>
      <c r="D72" s="6"/>
      <c r="E72" s="6"/>
      <c r="F72" s="6"/>
      <c r="G72" s="6"/>
      <c r="H72" s="72">
        <v>0.002</v>
      </c>
      <c r="I72" s="73">
        <f t="shared" si="1"/>
        <v>3.51</v>
      </c>
    </row>
    <row r="73" spans="1:9" ht="15.75" customHeight="1">
      <c r="A73" s="71" t="s">
        <v>89</v>
      </c>
      <c r="B73" s="6" t="s">
        <v>90</v>
      </c>
      <c r="C73" s="6"/>
      <c r="D73" s="6"/>
      <c r="E73" s="6"/>
      <c r="F73" s="6"/>
      <c r="G73" s="6"/>
      <c r="H73" s="72">
        <v>0.08</v>
      </c>
      <c r="I73" s="73">
        <f t="shared" si="1"/>
        <v>140.48</v>
      </c>
    </row>
    <row r="74" spans="1:9" ht="15.75" customHeight="1">
      <c r="A74" s="65" t="s">
        <v>70</v>
      </c>
      <c r="B74" s="65"/>
      <c r="C74" s="65"/>
      <c r="D74" s="65"/>
      <c r="E74" s="65"/>
      <c r="F74" s="65"/>
      <c r="G74" s="65"/>
      <c r="H74" s="78">
        <f>SUM(H66:H73)</f>
        <v>0.368</v>
      </c>
      <c r="I74" s="79">
        <f>SUM(I66:I73)</f>
        <v>646.1999999999999</v>
      </c>
    </row>
    <row r="75" spans="1:9" ht="8.25" customHeight="1">
      <c r="A75" s="80"/>
      <c r="B75" s="81"/>
      <c r="C75" s="81"/>
      <c r="D75" s="81"/>
      <c r="E75" s="81"/>
      <c r="F75" s="81"/>
      <c r="G75" s="81"/>
      <c r="H75" s="82"/>
      <c r="I75" s="83"/>
    </row>
    <row r="76" spans="1:9" ht="35.25" customHeight="1">
      <c r="A76" s="35" t="s">
        <v>91</v>
      </c>
      <c r="B76" s="35"/>
      <c r="C76" s="35"/>
      <c r="D76" s="35"/>
      <c r="E76" s="35"/>
      <c r="F76" s="35"/>
      <c r="G76" s="35"/>
      <c r="H76" s="35"/>
      <c r="I76" s="35"/>
    </row>
    <row r="77" spans="1:9" ht="7.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8" customHeight="1">
      <c r="A78" s="84" t="s">
        <v>92</v>
      </c>
      <c r="B78" s="84"/>
      <c r="C78" s="84"/>
      <c r="D78" s="84"/>
      <c r="E78" s="84"/>
      <c r="F78" s="84"/>
      <c r="G78" s="84"/>
      <c r="H78" s="84"/>
      <c r="I78" s="84"/>
    </row>
    <row r="79" spans="1:9" ht="18.75" customHeight="1">
      <c r="A79" s="85" t="s">
        <v>93</v>
      </c>
      <c r="B79" s="47" t="s">
        <v>94</v>
      </c>
      <c r="C79" s="47"/>
      <c r="D79" s="47"/>
      <c r="E79" s="47"/>
      <c r="F79" s="47"/>
      <c r="G79" s="47"/>
      <c r="H79" s="47"/>
      <c r="I79" s="47" t="s">
        <v>67</v>
      </c>
    </row>
    <row r="80" spans="1:9" ht="15.75" customHeight="1">
      <c r="A80" s="62" t="s">
        <v>8</v>
      </c>
      <c r="B80" s="86" t="s">
        <v>95</v>
      </c>
      <c r="C80" s="86"/>
      <c r="D80" s="86"/>
      <c r="E80" s="86"/>
      <c r="F80" s="86"/>
      <c r="G80" s="86"/>
      <c r="H80" s="86"/>
      <c r="I80" s="73">
        <f>IF(ROUND((H83*H81*H82)-(I48*H84),2)&lt;0,0,ROUND((H83*H81*H82)-(I48*H84),2))</f>
        <v>167.55</v>
      </c>
    </row>
    <row r="81" spans="1:9" ht="22.5" customHeight="1">
      <c r="A81" s="62"/>
      <c r="B81" s="87" t="s">
        <v>96</v>
      </c>
      <c r="C81" s="87"/>
      <c r="D81" s="87"/>
      <c r="E81" s="87"/>
      <c r="F81" s="87"/>
      <c r="G81" s="87"/>
      <c r="H81" s="88">
        <v>5.6</v>
      </c>
      <c r="I81" s="89" t="s">
        <v>97</v>
      </c>
    </row>
    <row r="82" spans="1:9" ht="17.25" customHeight="1">
      <c r="A82" s="62"/>
      <c r="B82" s="90" t="s">
        <v>98</v>
      </c>
      <c r="C82" s="90"/>
      <c r="D82" s="90"/>
      <c r="E82" s="90"/>
      <c r="F82" s="90"/>
      <c r="G82" s="90"/>
      <c r="H82" s="91">
        <v>2</v>
      </c>
      <c r="I82" s="89"/>
    </row>
    <row r="83" spans="1:9" ht="15" customHeight="1">
      <c r="A83" s="62"/>
      <c r="B83" s="90" t="s">
        <v>99</v>
      </c>
      <c r="C83" s="90"/>
      <c r="D83" s="90"/>
      <c r="E83" s="90"/>
      <c r="F83" s="90"/>
      <c r="G83" s="90"/>
      <c r="H83" s="92">
        <v>22</v>
      </c>
      <c r="I83" s="89"/>
    </row>
    <row r="84" spans="1:9" ht="25.5" customHeight="1">
      <c r="A84" s="62"/>
      <c r="B84" s="93" t="s">
        <v>100</v>
      </c>
      <c r="C84" s="93"/>
      <c r="D84" s="93"/>
      <c r="E84" s="93"/>
      <c r="F84" s="93"/>
      <c r="G84" s="93"/>
      <c r="H84" s="94">
        <v>0.06</v>
      </c>
      <c r="I84" s="90"/>
    </row>
    <row r="85" spans="1:9" ht="15.75" customHeight="1">
      <c r="A85" s="62" t="s">
        <v>11</v>
      </c>
      <c r="B85" s="86" t="s">
        <v>101</v>
      </c>
      <c r="C85" s="86"/>
      <c r="D85" s="86"/>
      <c r="E85" s="86"/>
      <c r="F85" s="86"/>
      <c r="G85" s="86"/>
      <c r="H85" s="86"/>
      <c r="I85" s="73">
        <f>ROUND(H87*H86*(1-H88),2)</f>
        <v>359.61</v>
      </c>
    </row>
    <row r="86" spans="1:9" ht="15.75" customHeight="1">
      <c r="A86" s="62"/>
      <c r="B86" s="87" t="s">
        <v>102</v>
      </c>
      <c r="C86" s="87"/>
      <c r="D86" s="87"/>
      <c r="E86" s="87"/>
      <c r="F86" s="87"/>
      <c r="G86" s="87"/>
      <c r="H86" s="88">
        <v>20.18</v>
      </c>
      <c r="I86" s="89" t="s">
        <v>97</v>
      </c>
    </row>
    <row r="87" spans="1:9" ht="15.75" customHeight="1">
      <c r="A87" s="95"/>
      <c r="B87" s="87" t="s">
        <v>103</v>
      </c>
      <c r="C87" s="87"/>
      <c r="D87" s="87"/>
      <c r="E87" s="87"/>
      <c r="F87" s="87"/>
      <c r="G87" s="87"/>
      <c r="H87" s="92">
        <v>22</v>
      </c>
      <c r="I87" s="89"/>
    </row>
    <row r="88" spans="1:9" ht="15.75" customHeight="1">
      <c r="A88" s="95"/>
      <c r="B88" s="96" t="s">
        <v>104</v>
      </c>
      <c r="C88" s="96"/>
      <c r="D88" s="96"/>
      <c r="E88" s="96"/>
      <c r="F88" s="96"/>
      <c r="G88" s="96"/>
      <c r="H88" s="97">
        <v>0.19</v>
      </c>
      <c r="I88" s="89"/>
    </row>
    <row r="89" spans="1:9" ht="15.75" customHeight="1">
      <c r="A89" s="62" t="s">
        <v>14</v>
      </c>
      <c r="B89" s="86" t="s">
        <v>105</v>
      </c>
      <c r="C89" s="86"/>
      <c r="D89" s="86"/>
      <c r="E89" s="86"/>
      <c r="F89" s="86"/>
      <c r="G89" s="86"/>
      <c r="H89" s="86"/>
      <c r="I89" s="73">
        <v>0</v>
      </c>
    </row>
    <row r="90" spans="1:9" ht="30.75" customHeight="1">
      <c r="A90" s="62" t="s">
        <v>17</v>
      </c>
      <c r="B90" s="6" t="s">
        <v>106</v>
      </c>
      <c r="C90" s="6"/>
      <c r="D90" s="6"/>
      <c r="E90" s="6"/>
      <c r="F90" s="6"/>
      <c r="G90" s="6"/>
      <c r="H90" s="6"/>
      <c r="I90" s="22">
        <v>17.32</v>
      </c>
    </row>
    <row r="91" spans="1:9" ht="15.75" customHeight="1">
      <c r="A91" s="62" t="s">
        <v>83</v>
      </c>
      <c r="B91" s="98" t="s">
        <v>107</v>
      </c>
      <c r="C91" s="98"/>
      <c r="D91" s="98"/>
      <c r="E91" s="98"/>
      <c r="F91" s="98"/>
      <c r="G91" s="98"/>
      <c r="H91" s="98"/>
      <c r="I91" s="99" t="s">
        <v>97</v>
      </c>
    </row>
    <row r="92" spans="1:9" ht="15.75" customHeight="1">
      <c r="A92" s="100"/>
      <c r="B92" s="65" t="s">
        <v>61</v>
      </c>
      <c r="C92" s="65"/>
      <c r="D92" s="65"/>
      <c r="E92" s="65"/>
      <c r="F92" s="65"/>
      <c r="G92" s="65"/>
      <c r="H92" s="65"/>
      <c r="I92" s="79">
        <f>SUM(I80:I90)</f>
        <v>544.48</v>
      </c>
    </row>
    <row r="93" spans="1:9" ht="7.5" customHeight="1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36" customHeight="1">
      <c r="A94" s="43" t="s">
        <v>108</v>
      </c>
      <c r="B94" s="43"/>
      <c r="C94" s="43"/>
      <c r="D94" s="43"/>
      <c r="E94" s="43"/>
      <c r="F94" s="43"/>
      <c r="G94" s="43"/>
      <c r="H94" s="43"/>
      <c r="I94" s="43"/>
    </row>
    <row r="95" spans="1:9" ht="7.5" customHeight="1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21.75" customHeight="1">
      <c r="A96" s="45" t="s">
        <v>109</v>
      </c>
      <c r="B96" s="45"/>
      <c r="C96" s="45"/>
      <c r="D96" s="45"/>
      <c r="E96" s="45"/>
      <c r="F96" s="45"/>
      <c r="G96" s="45"/>
      <c r="H96" s="45"/>
      <c r="I96" s="45"/>
    </row>
    <row r="97" spans="1:9" ht="23.25" customHeight="1">
      <c r="A97" s="47">
        <v>2</v>
      </c>
      <c r="B97" s="47" t="s">
        <v>110</v>
      </c>
      <c r="C97" s="47"/>
      <c r="D97" s="47"/>
      <c r="E97" s="47"/>
      <c r="F97" s="47"/>
      <c r="G97" s="47"/>
      <c r="H97" s="47"/>
      <c r="I97" s="47" t="s">
        <v>67</v>
      </c>
    </row>
    <row r="98" spans="1:9" ht="21.75" customHeight="1">
      <c r="A98" s="101" t="s">
        <v>65</v>
      </c>
      <c r="B98" s="102" t="s">
        <v>111</v>
      </c>
      <c r="C98" s="102"/>
      <c r="D98" s="102"/>
      <c r="E98" s="102"/>
      <c r="F98" s="102"/>
      <c r="G98" s="102"/>
      <c r="H98" s="102"/>
      <c r="I98" s="103">
        <f>I60</f>
        <v>179.06</v>
      </c>
    </row>
    <row r="99" spans="1:9" ht="18.75" customHeight="1">
      <c r="A99" s="101" t="s">
        <v>73</v>
      </c>
      <c r="B99" s="102" t="s">
        <v>74</v>
      </c>
      <c r="C99" s="102"/>
      <c r="D99" s="102"/>
      <c r="E99" s="102"/>
      <c r="F99" s="102"/>
      <c r="G99" s="102"/>
      <c r="H99" s="102"/>
      <c r="I99" s="103">
        <f>I74</f>
        <v>646.1999999999999</v>
      </c>
    </row>
    <row r="100" spans="1:9" ht="21.75" customHeight="1">
      <c r="A100" s="101" t="s">
        <v>93</v>
      </c>
      <c r="B100" s="102" t="s">
        <v>94</v>
      </c>
      <c r="C100" s="102"/>
      <c r="D100" s="102"/>
      <c r="E100" s="102"/>
      <c r="F100" s="102"/>
      <c r="G100" s="102"/>
      <c r="H100" s="102"/>
      <c r="I100" s="103">
        <f>I92</f>
        <v>544.48</v>
      </c>
    </row>
    <row r="101" spans="1:9" ht="21.75" customHeight="1">
      <c r="A101" s="104" t="s">
        <v>70</v>
      </c>
      <c r="B101" s="104"/>
      <c r="C101" s="104"/>
      <c r="D101" s="104"/>
      <c r="E101" s="104"/>
      <c r="F101" s="104"/>
      <c r="G101" s="104"/>
      <c r="H101" s="104"/>
      <c r="I101" s="105">
        <f>SUM(I98+I99+I100)</f>
        <v>1369.74</v>
      </c>
    </row>
    <row r="102" spans="1:9" ht="12" customHeight="1">
      <c r="A102" s="106"/>
      <c r="B102" s="106"/>
      <c r="C102" s="106"/>
      <c r="D102" s="106"/>
      <c r="E102" s="106"/>
      <c r="F102" s="106"/>
      <c r="G102" s="106"/>
      <c r="H102" s="106"/>
      <c r="I102" s="106"/>
    </row>
    <row r="103" spans="1:9" ht="26.25" customHeight="1">
      <c r="A103" s="59" t="s">
        <v>112</v>
      </c>
      <c r="B103" s="59"/>
      <c r="C103" s="59"/>
      <c r="D103" s="59"/>
      <c r="E103" s="59"/>
      <c r="F103" s="59"/>
      <c r="G103" s="59"/>
      <c r="H103" s="59"/>
      <c r="I103" s="59"/>
    </row>
    <row r="104" spans="1:9" ht="28.5" customHeight="1">
      <c r="A104" s="85">
        <v>3</v>
      </c>
      <c r="B104" s="85" t="s">
        <v>113</v>
      </c>
      <c r="C104" s="85"/>
      <c r="D104" s="85"/>
      <c r="E104" s="85"/>
      <c r="F104" s="85"/>
      <c r="G104" s="85"/>
      <c r="H104" s="85"/>
      <c r="I104" s="85" t="s">
        <v>114</v>
      </c>
    </row>
    <row r="105" spans="1:9" ht="45" customHeight="1">
      <c r="A105" s="62" t="s">
        <v>8</v>
      </c>
      <c r="B105" s="107" t="s">
        <v>115</v>
      </c>
      <c r="C105" s="107"/>
      <c r="D105" s="107"/>
      <c r="E105" s="107"/>
      <c r="F105" s="107"/>
      <c r="G105" s="107"/>
      <c r="H105" s="107"/>
      <c r="I105" s="108">
        <f>ROUND((($I$51/12)+($I$58/12)+($I$51/12/12)+($I$59/12))*(30/30)*0.05,2)</f>
        <v>7.86</v>
      </c>
    </row>
    <row r="106" spans="1:9" ht="15.75" customHeight="1">
      <c r="A106" s="62" t="s">
        <v>11</v>
      </c>
      <c r="B106" s="109" t="s">
        <v>116</v>
      </c>
      <c r="C106" s="109"/>
      <c r="D106" s="109"/>
      <c r="E106" s="109"/>
      <c r="F106" s="109"/>
      <c r="G106" s="109"/>
      <c r="H106" s="109"/>
      <c r="I106" s="73">
        <f>ROUND($I$105*H73,2)</f>
        <v>0.63</v>
      </c>
    </row>
    <row r="107" spans="1:9" ht="37.5" customHeight="1">
      <c r="A107" s="62" t="s">
        <v>14</v>
      </c>
      <c r="B107" s="6" t="s">
        <v>117</v>
      </c>
      <c r="C107" s="6"/>
      <c r="D107" s="6"/>
      <c r="E107" s="6"/>
      <c r="F107" s="6"/>
      <c r="G107" s="6"/>
      <c r="H107" s="6"/>
      <c r="I107" s="73">
        <f>ROUND(((($I$51/30)*7)/$H$11)*1,2)</f>
        <v>30.66</v>
      </c>
    </row>
    <row r="108" spans="1:9" ht="15.75" customHeight="1">
      <c r="A108" s="62" t="s">
        <v>17</v>
      </c>
      <c r="B108" s="109" t="s">
        <v>118</v>
      </c>
      <c r="C108" s="109"/>
      <c r="D108" s="109"/>
      <c r="E108" s="109"/>
      <c r="F108" s="109"/>
      <c r="G108" s="109"/>
      <c r="H108" s="109"/>
      <c r="I108" s="73">
        <f>ROUND($H$74*I107,2)</f>
        <v>11.28</v>
      </c>
    </row>
    <row r="109" spans="1:9" ht="35.25" customHeight="1">
      <c r="A109" s="62" t="s">
        <v>83</v>
      </c>
      <c r="B109" s="6" t="s">
        <v>119</v>
      </c>
      <c r="C109" s="6"/>
      <c r="D109" s="6"/>
      <c r="E109" s="6"/>
      <c r="F109" s="6"/>
      <c r="G109" s="6"/>
      <c r="H109" s="110">
        <v>0.04</v>
      </c>
      <c r="I109" s="73">
        <f>ROUND($I$51*H109,2)</f>
        <v>63.08</v>
      </c>
    </row>
    <row r="110" spans="1:9" ht="15.75" customHeight="1">
      <c r="A110" s="65" t="s">
        <v>70</v>
      </c>
      <c r="B110" s="65"/>
      <c r="C110" s="65"/>
      <c r="D110" s="65"/>
      <c r="E110" s="65"/>
      <c r="F110" s="65"/>
      <c r="G110" s="65"/>
      <c r="H110" s="65"/>
      <c r="I110" s="79">
        <f>SUM(I105:I109)</f>
        <v>113.51</v>
      </c>
    </row>
    <row r="111" spans="1:9" ht="33.75" customHeight="1">
      <c r="A111" s="111" t="s">
        <v>120</v>
      </c>
      <c r="B111" s="111"/>
      <c r="C111" s="111"/>
      <c r="D111" s="111"/>
      <c r="E111" s="111"/>
      <c r="F111" s="111"/>
      <c r="G111" s="111"/>
      <c r="H111" s="111"/>
      <c r="I111" s="111"/>
    </row>
    <row r="112" spans="1:9" ht="10.5" customHeight="1">
      <c r="A112" s="112"/>
      <c r="B112" s="112"/>
      <c r="C112" s="112"/>
      <c r="D112" s="112"/>
      <c r="E112" s="112"/>
      <c r="F112" s="112"/>
      <c r="G112" s="112"/>
      <c r="H112" s="112"/>
      <c r="I112" s="112"/>
    </row>
    <row r="113" spans="1:9" ht="24" customHeight="1">
      <c r="A113" s="45" t="s">
        <v>121</v>
      </c>
      <c r="B113" s="45"/>
      <c r="C113" s="45"/>
      <c r="D113" s="45"/>
      <c r="E113" s="45"/>
      <c r="F113" s="45"/>
      <c r="G113" s="45"/>
      <c r="H113" s="45"/>
      <c r="I113" s="45"/>
    </row>
    <row r="114" spans="1:9" ht="27" customHeight="1">
      <c r="A114" s="35" t="s">
        <v>122</v>
      </c>
      <c r="B114" s="35"/>
      <c r="C114" s="35"/>
      <c r="D114" s="35"/>
      <c r="E114" s="35"/>
      <c r="F114" s="35"/>
      <c r="G114" s="35"/>
      <c r="H114" s="35"/>
      <c r="I114" s="35"/>
    </row>
    <row r="115" spans="1:9" ht="57.75" customHeight="1">
      <c r="A115" s="113" t="s">
        <v>123</v>
      </c>
      <c r="B115" s="113"/>
      <c r="C115" s="113"/>
      <c r="D115" s="113"/>
      <c r="E115" s="113"/>
      <c r="F115" s="113"/>
      <c r="G115" s="113"/>
      <c r="H115" s="113"/>
      <c r="I115" s="113"/>
    </row>
    <row r="116" spans="1:9" ht="8.25" customHeight="1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57" customHeight="1">
      <c r="A117" s="115" t="s">
        <v>124</v>
      </c>
      <c r="B117" s="116">
        <f>I51</f>
        <v>1576.9099999999999</v>
      </c>
      <c r="C117" s="117"/>
      <c r="D117" s="115" t="s">
        <v>125</v>
      </c>
      <c r="E117" s="116">
        <f>I101-I80-I85+I121</f>
        <v>1038.3500000000001</v>
      </c>
      <c r="F117" s="118"/>
      <c r="G117" s="115" t="s">
        <v>126</v>
      </c>
      <c r="H117" s="116">
        <f>I110</f>
        <v>113.51</v>
      </c>
      <c r="I117" s="119">
        <f>B117+E117+H117</f>
        <v>2728.7700000000004</v>
      </c>
    </row>
    <row r="118" spans="1:9" ht="7.5" customHeight="1">
      <c r="A118" s="120"/>
      <c r="B118" s="120"/>
      <c r="C118" s="120"/>
      <c r="D118" s="120"/>
      <c r="E118" s="120"/>
      <c r="F118" s="120"/>
      <c r="G118" s="120"/>
      <c r="H118" s="120"/>
      <c r="I118" s="120"/>
    </row>
    <row r="119" spans="1:9" ht="22.5" customHeight="1">
      <c r="A119" s="121" t="s">
        <v>127</v>
      </c>
      <c r="B119" s="121"/>
      <c r="C119" s="121"/>
      <c r="D119" s="121"/>
      <c r="E119" s="121"/>
      <c r="F119" s="121"/>
      <c r="G119" s="121"/>
      <c r="H119" s="121"/>
      <c r="I119" s="121"/>
    </row>
    <row r="120" spans="1:11" ht="15.75" customHeight="1">
      <c r="A120" s="122" t="s">
        <v>128</v>
      </c>
      <c r="B120" s="85" t="s">
        <v>129</v>
      </c>
      <c r="C120" s="85"/>
      <c r="D120" s="85"/>
      <c r="E120" s="85"/>
      <c r="F120" s="85"/>
      <c r="G120" s="85"/>
      <c r="H120" s="85"/>
      <c r="I120" s="122" t="s">
        <v>67</v>
      </c>
      <c r="K120" s="1">
        <f>H121*I117</f>
        <v>1004.1873600000001</v>
      </c>
    </row>
    <row r="121" spans="1:12" ht="69" customHeight="1">
      <c r="A121" s="61" t="s">
        <v>8</v>
      </c>
      <c r="B121" s="123" t="s">
        <v>130</v>
      </c>
      <c r="C121" s="123"/>
      <c r="D121" s="123"/>
      <c r="E121" s="123"/>
      <c r="F121" s="123"/>
      <c r="G121" s="124">
        <v>0.09075</v>
      </c>
      <c r="H121" s="125">
        <f>H74</f>
        <v>0.368</v>
      </c>
      <c r="I121" s="73">
        <f>ROUND($B$117*G121+$B$117*G121*H121,2)</f>
        <v>195.77</v>
      </c>
      <c r="K121" s="1">
        <v>1390.6</v>
      </c>
      <c r="L121" s="25">
        <f>39.13+I121</f>
        <v>234.9</v>
      </c>
    </row>
    <row r="122" spans="1:11" ht="15.75" customHeight="1">
      <c r="A122" s="62" t="s">
        <v>11</v>
      </c>
      <c r="B122" s="6" t="s">
        <v>131</v>
      </c>
      <c r="C122" s="6"/>
      <c r="D122" s="6"/>
      <c r="E122" s="6"/>
      <c r="F122" s="6"/>
      <c r="G122" s="6"/>
      <c r="H122" s="6"/>
      <c r="I122" s="73">
        <f>ROUND((($I$117/30)*1)/12,2)</f>
        <v>7.58</v>
      </c>
      <c r="K122" s="1">
        <f>0.36*B117</f>
        <v>567.6876</v>
      </c>
    </row>
    <row r="123" spans="1:11" ht="24" customHeight="1">
      <c r="A123" s="62" t="s">
        <v>14</v>
      </c>
      <c r="B123" s="6" t="s">
        <v>132</v>
      </c>
      <c r="C123" s="6"/>
      <c r="D123" s="6"/>
      <c r="E123" s="6"/>
      <c r="F123" s="6"/>
      <c r="G123" s="6"/>
      <c r="H123" s="6"/>
      <c r="I123" s="73">
        <f>ROUND((($I$117/30)*5)/12*0.015,2)</f>
        <v>0.57</v>
      </c>
      <c r="K123" s="1">
        <f>SUM(K121:K122)</f>
        <v>1958.2875999999999</v>
      </c>
    </row>
    <row r="124" spans="1:11" ht="27.75" customHeight="1">
      <c r="A124" s="62" t="s">
        <v>17</v>
      </c>
      <c r="B124" s="6" t="s">
        <v>133</v>
      </c>
      <c r="C124" s="6"/>
      <c r="D124" s="6"/>
      <c r="E124" s="6"/>
      <c r="F124" s="6"/>
      <c r="G124" s="6"/>
      <c r="H124" s="6"/>
      <c r="I124" s="73">
        <f>ROUND(((($I$117/30)*15)/12)*0.0078,2)</f>
        <v>0.89</v>
      </c>
      <c r="K124" s="1">
        <f>K123*H121</f>
        <v>720.6498367999999</v>
      </c>
    </row>
    <row r="125" spans="1:9" ht="39" customHeight="1">
      <c r="A125" s="62" t="s">
        <v>83</v>
      </c>
      <c r="B125" s="6" t="s">
        <v>134</v>
      </c>
      <c r="C125" s="6"/>
      <c r="D125" s="6"/>
      <c r="E125" s="6"/>
      <c r="F125" s="6"/>
      <c r="G125" s="6"/>
      <c r="H125" s="6"/>
      <c r="I125" s="73">
        <f>ROUND(((((B117*0.121)+(H74)*(B117*0.121))*(4/12)))*0.02,2)+((I73+I92-I80-I85+I110)*4/12)*0.02</f>
        <v>3.5487333333333337</v>
      </c>
    </row>
    <row r="126" spans="1:9" ht="27.75" customHeight="1">
      <c r="A126" s="126" t="s">
        <v>85</v>
      </c>
      <c r="B126" s="6" t="s">
        <v>135</v>
      </c>
      <c r="C126" s="6"/>
      <c r="D126" s="6"/>
      <c r="E126" s="6"/>
      <c r="F126" s="6"/>
      <c r="G126" s="6"/>
      <c r="H126" s="6"/>
      <c r="I126" s="73">
        <f>ROUND(((($I$117/30)*3)/12),2)</f>
        <v>22.74</v>
      </c>
    </row>
    <row r="127" spans="1:9" ht="15.75" customHeight="1">
      <c r="A127" s="65" t="s">
        <v>70</v>
      </c>
      <c r="B127" s="65"/>
      <c r="C127" s="65"/>
      <c r="D127" s="65"/>
      <c r="E127" s="65"/>
      <c r="F127" s="65"/>
      <c r="G127" s="65"/>
      <c r="H127" s="65"/>
      <c r="I127" s="127">
        <f>SUM(I121:I126)</f>
        <v>231.09873333333334</v>
      </c>
    </row>
    <row r="128" spans="1:9" ht="9.75" customHeight="1">
      <c r="A128" s="65"/>
      <c r="B128" s="65"/>
      <c r="C128" s="65"/>
      <c r="D128" s="65"/>
      <c r="E128" s="65"/>
      <c r="F128" s="65"/>
      <c r="G128" s="65"/>
      <c r="H128" s="65"/>
      <c r="I128" s="65"/>
    </row>
    <row r="129" spans="1:9" ht="20.25" customHeight="1">
      <c r="A129" s="84" t="s">
        <v>136</v>
      </c>
      <c r="B129" s="84"/>
      <c r="C129" s="84"/>
      <c r="D129" s="84"/>
      <c r="E129" s="84"/>
      <c r="F129" s="84"/>
      <c r="G129" s="84"/>
      <c r="H129" s="84"/>
      <c r="I129" s="84"/>
    </row>
    <row r="130" spans="1:9" ht="25.5" customHeight="1">
      <c r="A130" s="85" t="s">
        <v>137</v>
      </c>
      <c r="B130" s="85" t="s">
        <v>138</v>
      </c>
      <c r="C130" s="85"/>
      <c r="D130" s="85"/>
      <c r="E130" s="85"/>
      <c r="F130" s="85"/>
      <c r="G130" s="85"/>
      <c r="H130" s="85"/>
      <c r="I130" s="128" t="s">
        <v>67</v>
      </c>
    </row>
    <row r="131" spans="1:9" ht="13.5" customHeight="1">
      <c r="A131" s="62" t="s">
        <v>8</v>
      </c>
      <c r="B131" s="109" t="s">
        <v>139</v>
      </c>
      <c r="C131" s="109"/>
      <c r="D131" s="109"/>
      <c r="E131" s="109"/>
      <c r="F131" s="109"/>
      <c r="G131" s="109"/>
      <c r="H131" s="109"/>
      <c r="I131" s="73">
        <v>0</v>
      </c>
    </row>
    <row r="132" spans="1:9" ht="15.75" customHeight="1">
      <c r="A132" s="129" t="s">
        <v>70</v>
      </c>
      <c r="B132" s="129"/>
      <c r="C132" s="129"/>
      <c r="D132" s="129"/>
      <c r="E132" s="129"/>
      <c r="F132" s="129"/>
      <c r="G132" s="129"/>
      <c r="H132" s="129"/>
      <c r="I132" s="73">
        <v>0</v>
      </c>
    </row>
    <row r="133" spans="1:9" ht="7.5" customHeight="1">
      <c r="A133" s="130"/>
      <c r="B133" s="130"/>
      <c r="C133" s="130"/>
      <c r="D133" s="130"/>
      <c r="E133" s="130"/>
      <c r="F133" s="130"/>
      <c r="G133" s="130"/>
      <c r="H133" s="130"/>
      <c r="I133" s="130"/>
    </row>
    <row r="134" spans="1:9" ht="23.25" customHeight="1">
      <c r="A134" s="45" t="s">
        <v>140</v>
      </c>
      <c r="B134" s="45"/>
      <c r="C134" s="45"/>
      <c r="D134" s="45"/>
      <c r="E134" s="45"/>
      <c r="F134" s="45"/>
      <c r="G134" s="45"/>
      <c r="H134" s="45"/>
      <c r="I134" s="45"/>
    </row>
    <row r="135" spans="1:9" ht="27.75" customHeight="1">
      <c r="A135" s="47">
        <v>4</v>
      </c>
      <c r="B135" s="85" t="s">
        <v>141</v>
      </c>
      <c r="C135" s="85"/>
      <c r="D135" s="85"/>
      <c r="E135" s="85"/>
      <c r="F135" s="85"/>
      <c r="G135" s="85"/>
      <c r="H135" s="85"/>
      <c r="I135" s="128" t="s">
        <v>67</v>
      </c>
    </row>
    <row r="136" spans="1:9" ht="19.5" customHeight="1">
      <c r="A136" s="9" t="s">
        <v>128</v>
      </c>
      <c r="B136" s="109" t="s">
        <v>129</v>
      </c>
      <c r="C136" s="109"/>
      <c r="D136" s="109"/>
      <c r="E136" s="109"/>
      <c r="F136" s="109"/>
      <c r="G136" s="109"/>
      <c r="H136" s="109"/>
      <c r="I136" s="73">
        <f>I127</f>
        <v>231.09873333333334</v>
      </c>
    </row>
    <row r="137" spans="1:9" ht="19.5" customHeight="1">
      <c r="A137" s="9" t="s">
        <v>142</v>
      </c>
      <c r="B137" s="109" t="s">
        <v>138</v>
      </c>
      <c r="C137" s="109"/>
      <c r="D137" s="109"/>
      <c r="E137" s="109"/>
      <c r="F137" s="109"/>
      <c r="G137" s="109"/>
      <c r="H137" s="109"/>
      <c r="I137" s="73">
        <f>I132</f>
        <v>0</v>
      </c>
    </row>
    <row r="138" spans="1:9" ht="19.5" customHeight="1">
      <c r="A138" s="54" t="s">
        <v>70</v>
      </c>
      <c r="B138" s="54"/>
      <c r="C138" s="54"/>
      <c r="D138" s="54"/>
      <c r="E138" s="54"/>
      <c r="F138" s="54"/>
      <c r="G138" s="54"/>
      <c r="H138" s="54"/>
      <c r="I138" s="79">
        <f>SUM(I136+I137)</f>
        <v>231.09873333333334</v>
      </c>
    </row>
    <row r="139" spans="1:9" ht="9" customHeight="1">
      <c r="A139" s="131"/>
      <c r="B139" s="131"/>
      <c r="C139" s="131"/>
      <c r="D139" s="131"/>
      <c r="E139" s="131"/>
      <c r="F139" s="131"/>
      <c r="G139" s="131"/>
      <c r="H139" s="131"/>
      <c r="I139" s="131"/>
    </row>
    <row r="140" spans="1:9" ht="30" customHeight="1">
      <c r="A140" s="45" t="s">
        <v>143</v>
      </c>
      <c r="B140" s="45"/>
      <c r="C140" s="45"/>
      <c r="D140" s="45"/>
      <c r="E140" s="45"/>
      <c r="F140" s="45"/>
      <c r="G140" s="45"/>
      <c r="H140" s="45"/>
      <c r="I140" s="45"/>
    </row>
    <row r="141" spans="1:9" ht="25.5" customHeight="1">
      <c r="A141" s="85">
        <v>5</v>
      </c>
      <c r="B141" s="47" t="s">
        <v>144</v>
      </c>
      <c r="C141" s="47"/>
      <c r="D141" s="47"/>
      <c r="E141" s="47"/>
      <c r="F141" s="47"/>
      <c r="G141" s="47"/>
      <c r="H141" s="47"/>
      <c r="I141" s="85" t="s">
        <v>67</v>
      </c>
    </row>
    <row r="142" spans="1:9" ht="17.25" customHeight="1">
      <c r="A142" s="62" t="s">
        <v>8</v>
      </c>
      <c r="B142" s="6" t="s">
        <v>145</v>
      </c>
      <c r="C142" s="6"/>
      <c r="D142" s="6"/>
      <c r="E142" s="6"/>
      <c r="F142" s="6"/>
      <c r="G142" s="6"/>
      <c r="H142" s="6"/>
      <c r="I142" s="132">
        <v>72.98</v>
      </c>
    </row>
    <row r="143" spans="1:9" ht="15.75" customHeight="1">
      <c r="A143" s="62" t="s">
        <v>11</v>
      </c>
      <c r="B143" s="6" t="s">
        <v>146</v>
      </c>
      <c r="C143" s="6"/>
      <c r="D143" s="6"/>
      <c r="E143" s="6"/>
      <c r="F143" s="6"/>
      <c r="G143" s="6"/>
      <c r="H143" s="6"/>
      <c r="I143" s="133">
        <v>559.67</v>
      </c>
    </row>
    <row r="144" spans="1:9" ht="15.75" customHeight="1">
      <c r="A144" s="62" t="s">
        <v>14</v>
      </c>
      <c r="B144" s="109" t="s">
        <v>147</v>
      </c>
      <c r="C144" s="109"/>
      <c r="D144" s="109"/>
      <c r="E144" s="109"/>
      <c r="F144" s="109"/>
      <c r="G144" s="109"/>
      <c r="H144" s="109"/>
      <c r="I144" s="133">
        <v>294.45</v>
      </c>
    </row>
    <row r="145" spans="1:9" ht="15.75" customHeight="1">
      <c r="A145" s="65" t="s">
        <v>61</v>
      </c>
      <c r="B145" s="65"/>
      <c r="C145" s="65"/>
      <c r="D145" s="65"/>
      <c r="E145" s="65"/>
      <c r="F145" s="65"/>
      <c r="G145" s="65"/>
      <c r="H145" s="65"/>
      <c r="I145" s="134">
        <f>SUM(I142:I144)</f>
        <v>927.0999999999999</v>
      </c>
    </row>
    <row r="146" spans="1:9" ht="8.25" customHeight="1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ht="14.25" customHeight="1">
      <c r="A147" s="136" t="s">
        <v>148</v>
      </c>
      <c r="B147" s="136"/>
      <c r="C147" s="136"/>
      <c r="D147" s="136"/>
      <c r="E147" s="136"/>
      <c r="F147" s="136"/>
      <c r="G147" s="136"/>
      <c r="H147" s="136"/>
      <c r="I147" s="136"/>
    </row>
    <row r="148" spans="1:9" ht="8.25" customHeight="1">
      <c r="A148" s="137"/>
      <c r="B148" s="138"/>
      <c r="C148" s="138"/>
      <c r="D148" s="138"/>
      <c r="E148" s="138"/>
      <c r="F148" s="138"/>
      <c r="G148" s="138"/>
      <c r="H148" s="138"/>
      <c r="I148" s="139"/>
    </row>
    <row r="149" spans="1:9" ht="29.25" customHeight="1">
      <c r="A149" s="59" t="s">
        <v>149</v>
      </c>
      <c r="B149" s="59"/>
      <c r="C149" s="59"/>
      <c r="D149" s="59"/>
      <c r="E149" s="59"/>
      <c r="F149" s="59"/>
      <c r="G149" s="59"/>
      <c r="H149" s="59"/>
      <c r="I149" s="59"/>
    </row>
    <row r="150" spans="1:9" ht="32.25" customHeight="1">
      <c r="A150" s="85">
        <v>6</v>
      </c>
      <c r="B150" s="85" t="s">
        <v>150</v>
      </c>
      <c r="C150" s="85"/>
      <c r="D150" s="85"/>
      <c r="E150" s="85"/>
      <c r="F150" s="85"/>
      <c r="G150" s="85"/>
      <c r="H150" s="47" t="s">
        <v>75</v>
      </c>
      <c r="I150" s="140" t="s">
        <v>151</v>
      </c>
    </row>
    <row r="151" spans="1:9" ht="47.25" customHeight="1">
      <c r="A151" s="141" t="s">
        <v>152</v>
      </c>
      <c r="B151" s="141"/>
      <c r="C151" s="141"/>
      <c r="D151" s="141"/>
      <c r="E151" s="141"/>
      <c r="F151" s="141"/>
      <c r="G151" s="141"/>
      <c r="H151" s="142" t="s">
        <v>97</v>
      </c>
      <c r="I151" s="143">
        <f>SUM(I51+I101+I110+I138+I145)</f>
        <v>4218.358733333333</v>
      </c>
    </row>
    <row r="152" spans="1:9" ht="15.75" customHeight="1">
      <c r="A152" s="144" t="s">
        <v>8</v>
      </c>
      <c r="B152" s="59" t="s">
        <v>153</v>
      </c>
      <c r="C152" s="59"/>
      <c r="D152" s="59"/>
      <c r="E152" s="59"/>
      <c r="F152" s="59"/>
      <c r="G152" s="59"/>
      <c r="H152" s="72">
        <v>0.03</v>
      </c>
      <c r="I152" s="73">
        <f>ROUND(H152*I151,2)</f>
        <v>126.55</v>
      </c>
    </row>
    <row r="153" spans="1:9" ht="48" customHeight="1">
      <c r="A153" s="141" t="s">
        <v>154</v>
      </c>
      <c r="B153" s="141"/>
      <c r="C153" s="141"/>
      <c r="D153" s="141"/>
      <c r="E153" s="141"/>
      <c r="F153" s="141"/>
      <c r="G153" s="141"/>
      <c r="H153" s="145" t="s">
        <v>97</v>
      </c>
      <c r="I153" s="143">
        <f>SUM(I51+I101+I110+I138+I145+I152)</f>
        <v>4344.908733333333</v>
      </c>
    </row>
    <row r="154" spans="1:9" ht="15.75" customHeight="1">
      <c r="A154" s="144" t="s">
        <v>11</v>
      </c>
      <c r="B154" s="59" t="s">
        <v>155</v>
      </c>
      <c r="C154" s="59"/>
      <c r="D154" s="59"/>
      <c r="E154" s="59"/>
      <c r="F154" s="59"/>
      <c r="G154" s="59"/>
      <c r="H154" s="72">
        <v>0.0679</v>
      </c>
      <c r="I154" s="73">
        <f>ROUND(H154*I153,2)</f>
        <v>295.02</v>
      </c>
    </row>
    <row r="155" spans="1:9" ht="49.5" customHeight="1">
      <c r="A155" s="141" t="s">
        <v>156</v>
      </c>
      <c r="B155" s="141"/>
      <c r="C155" s="141"/>
      <c r="D155" s="141"/>
      <c r="E155" s="141"/>
      <c r="F155" s="141"/>
      <c r="G155" s="141"/>
      <c r="H155" s="145" t="s">
        <v>97</v>
      </c>
      <c r="I155" s="143">
        <f>SUM(I151+I152+I154)</f>
        <v>4639.928733333332</v>
      </c>
    </row>
    <row r="156" spans="1:9" ht="15.75" customHeight="1">
      <c r="A156" s="144" t="s">
        <v>14</v>
      </c>
      <c r="B156" s="59" t="s">
        <v>157</v>
      </c>
      <c r="C156" s="59"/>
      <c r="D156" s="59"/>
      <c r="E156" s="59"/>
      <c r="F156" s="59"/>
      <c r="G156" s="59"/>
      <c r="H156" s="51" t="s">
        <v>97</v>
      </c>
      <c r="I156" s="89" t="s">
        <v>97</v>
      </c>
    </row>
    <row r="157" spans="1:9" ht="15.75" customHeight="1">
      <c r="A157" s="62"/>
      <c r="B157" s="59" t="s">
        <v>158</v>
      </c>
      <c r="C157" s="59"/>
      <c r="D157" s="59"/>
      <c r="E157" s="59"/>
      <c r="F157" s="59"/>
      <c r="G157" s="59"/>
      <c r="H157" s="51" t="s">
        <v>97</v>
      </c>
      <c r="I157" s="89" t="s">
        <v>97</v>
      </c>
    </row>
    <row r="158" spans="1:9" ht="27" customHeight="1">
      <c r="A158" s="62"/>
      <c r="B158" s="146" t="s">
        <v>159</v>
      </c>
      <c r="C158" s="146"/>
      <c r="D158" s="146"/>
      <c r="E158" s="146"/>
      <c r="F158" s="146"/>
      <c r="G158" s="146"/>
      <c r="H158" s="147">
        <v>0.076</v>
      </c>
      <c r="I158" s="73">
        <f aca="true" t="shared" si="2" ref="I158:I159">ROUND(($I$155/(1-$H$167))*H158,2)</f>
        <v>406.5</v>
      </c>
    </row>
    <row r="159" spans="1:9" ht="29.25" customHeight="1">
      <c r="A159" s="62"/>
      <c r="B159" s="146" t="s">
        <v>160</v>
      </c>
      <c r="C159" s="146"/>
      <c r="D159" s="146"/>
      <c r="E159" s="146"/>
      <c r="F159" s="146"/>
      <c r="G159" s="146"/>
      <c r="H159" s="147">
        <v>0.0165</v>
      </c>
      <c r="I159" s="73">
        <f t="shared" si="2"/>
        <v>88.25</v>
      </c>
    </row>
    <row r="160" spans="1:9" ht="27" customHeight="1">
      <c r="A160" s="62"/>
      <c r="B160" s="148" t="s">
        <v>161</v>
      </c>
      <c r="C160" s="148"/>
      <c r="D160" s="148"/>
      <c r="E160" s="148"/>
      <c r="F160" s="148"/>
      <c r="G160" s="148"/>
      <c r="H160" s="149" t="s">
        <v>97</v>
      </c>
      <c r="I160" s="89" t="s">
        <v>97</v>
      </c>
    </row>
    <row r="161" spans="1:9" ht="27" customHeight="1">
      <c r="A161" s="62"/>
      <c r="B161" s="148" t="s">
        <v>162</v>
      </c>
      <c r="C161" s="148"/>
      <c r="D161" s="148"/>
      <c r="E161" s="148"/>
      <c r="F161" s="148"/>
      <c r="G161" s="148"/>
      <c r="H161" s="149" t="s">
        <v>97</v>
      </c>
      <c r="I161" s="89" t="s">
        <v>97</v>
      </c>
    </row>
    <row r="162" spans="1:9" ht="18" customHeight="1">
      <c r="A162" s="62"/>
      <c r="B162" s="150" t="s">
        <v>163</v>
      </c>
      <c r="C162" s="150"/>
      <c r="D162" s="150"/>
      <c r="E162" s="150"/>
      <c r="F162" s="150"/>
      <c r="G162" s="150"/>
      <c r="H162" s="149" t="s">
        <v>97</v>
      </c>
      <c r="I162" s="89" t="s">
        <v>97</v>
      </c>
    </row>
    <row r="163" spans="1:9" ht="18" customHeight="1">
      <c r="A163" s="62"/>
      <c r="B163" s="151" t="s">
        <v>164</v>
      </c>
      <c r="C163" s="151"/>
      <c r="D163" s="151"/>
      <c r="E163" s="151"/>
      <c r="F163" s="151"/>
      <c r="G163" s="151"/>
      <c r="H163" s="149" t="s">
        <v>97</v>
      </c>
      <c r="I163" s="89" t="s">
        <v>97</v>
      </c>
    </row>
    <row r="164" spans="1:9" ht="27" customHeight="1">
      <c r="A164" s="62"/>
      <c r="B164" s="146" t="s">
        <v>165</v>
      </c>
      <c r="C164" s="146"/>
      <c r="D164" s="146"/>
      <c r="E164" s="146"/>
      <c r="F164" s="146"/>
      <c r="G164" s="146"/>
      <c r="H164" s="147">
        <v>0.04</v>
      </c>
      <c r="I164" s="73">
        <f>ROUND(($I$155/(1-$H$167))*H164,2)</f>
        <v>213.94</v>
      </c>
    </row>
    <row r="165" spans="1:9" ht="15.75" customHeight="1">
      <c r="A165" s="65" t="s">
        <v>70</v>
      </c>
      <c r="B165" s="65"/>
      <c r="C165" s="65"/>
      <c r="D165" s="65"/>
      <c r="E165" s="65"/>
      <c r="F165" s="65"/>
      <c r="G165" s="65"/>
      <c r="H165" s="65"/>
      <c r="I165" s="79">
        <f>SUM(I152+I154+I158+I159+I164)</f>
        <v>1130.26</v>
      </c>
    </row>
    <row r="166" spans="1:9" ht="6.75" customHeight="1">
      <c r="A166" s="131"/>
      <c r="B166" s="131"/>
      <c r="C166" s="131"/>
      <c r="D166" s="131"/>
      <c r="E166" s="131"/>
      <c r="F166" s="131"/>
      <c r="G166" s="131"/>
      <c r="H166" s="131"/>
      <c r="I166" s="131"/>
    </row>
    <row r="167" spans="1:9" ht="15.75" customHeight="1">
      <c r="A167" s="29" t="s">
        <v>166</v>
      </c>
      <c r="B167" s="29"/>
      <c r="C167" s="29"/>
      <c r="D167" s="29"/>
      <c r="E167" s="29"/>
      <c r="F167" s="29"/>
      <c r="G167" s="29"/>
      <c r="H167" s="152">
        <f>SUM(H158:H164)</f>
        <v>0.1325</v>
      </c>
      <c r="I167" s="143">
        <f>SUM(I158:I164)</f>
        <v>708.69</v>
      </c>
    </row>
    <row r="168" spans="1:9" ht="12.75" customHeight="1">
      <c r="A168" s="153" t="s">
        <v>167</v>
      </c>
      <c r="B168" s="153"/>
      <c r="C168" s="154" t="s">
        <v>168</v>
      </c>
      <c r="D168" s="154"/>
      <c r="E168" s="154"/>
      <c r="F168" s="154"/>
      <c r="G168" s="154"/>
      <c r="H168" s="154"/>
      <c r="I168" s="154"/>
    </row>
    <row r="169" spans="1:9" ht="12" customHeight="1">
      <c r="A169" s="153"/>
      <c r="B169" s="153"/>
      <c r="C169" s="154" t="s">
        <v>169</v>
      </c>
      <c r="D169" s="154"/>
      <c r="E169" s="154"/>
      <c r="F169" s="154"/>
      <c r="G169" s="154"/>
      <c r="H169" s="154"/>
      <c r="I169" s="154"/>
    </row>
    <row r="170" spans="1:9" ht="13.5" customHeight="1">
      <c r="A170" s="153"/>
      <c r="B170" s="153"/>
      <c r="C170" s="155" t="s">
        <v>170</v>
      </c>
      <c r="D170" s="155"/>
      <c r="E170" s="155"/>
      <c r="F170" s="155"/>
      <c r="G170" s="155"/>
      <c r="H170" s="155"/>
      <c r="I170" s="155"/>
    </row>
    <row r="171" spans="1:9" ht="6.75" customHeight="1">
      <c r="A171" s="156"/>
      <c r="B171" s="156"/>
      <c r="C171" s="156"/>
      <c r="D171" s="156"/>
      <c r="E171" s="156"/>
      <c r="F171" s="156"/>
      <c r="G171" s="156"/>
      <c r="H171" s="156"/>
      <c r="I171" s="156"/>
    </row>
    <row r="172" spans="1:9" ht="25.5" customHeight="1">
      <c r="A172" s="43" t="s">
        <v>171</v>
      </c>
      <c r="B172" s="43"/>
      <c r="C172" s="43"/>
      <c r="D172" s="43"/>
      <c r="E172" s="43"/>
      <c r="F172" s="43"/>
      <c r="G172" s="43"/>
      <c r="H172" s="43"/>
      <c r="I172" s="43"/>
    </row>
    <row r="173" spans="1:9" ht="5.25" customHeight="1">
      <c r="A173" s="131"/>
      <c r="B173" s="131"/>
      <c r="C173" s="131"/>
      <c r="D173" s="131"/>
      <c r="E173" s="131"/>
      <c r="F173" s="131"/>
      <c r="G173" s="131"/>
      <c r="H173" s="131"/>
      <c r="I173" s="131"/>
    </row>
    <row r="174" spans="1:9" ht="30" customHeight="1">
      <c r="A174" s="157" t="s">
        <v>172</v>
      </c>
      <c r="B174" s="157"/>
      <c r="C174" s="157"/>
      <c r="D174" s="157"/>
      <c r="E174" s="157"/>
      <c r="F174" s="157"/>
      <c r="G174" s="157"/>
      <c r="H174" s="157"/>
      <c r="I174" s="157"/>
    </row>
    <row r="175" spans="1:9" ht="15" customHeight="1">
      <c r="A175" s="8" t="s">
        <v>173</v>
      </c>
      <c r="B175" s="8"/>
      <c r="C175" s="8"/>
      <c r="D175" s="8"/>
      <c r="E175" s="8"/>
      <c r="F175" s="8"/>
      <c r="G175" s="8"/>
      <c r="H175" s="8"/>
      <c r="I175" s="14" t="s">
        <v>67</v>
      </c>
    </row>
    <row r="176" spans="1:11" ht="15" customHeight="1">
      <c r="A176" s="158" t="s">
        <v>8</v>
      </c>
      <c r="B176" s="159" t="s">
        <v>174</v>
      </c>
      <c r="C176" s="159"/>
      <c r="D176" s="159"/>
      <c r="E176" s="159"/>
      <c r="F176" s="159"/>
      <c r="G176" s="159"/>
      <c r="H176" s="159"/>
      <c r="I176" s="22">
        <f>I51</f>
        <v>1576.9099999999999</v>
      </c>
      <c r="K176" s="5"/>
    </row>
    <row r="177" spans="1:9" ht="15" customHeight="1">
      <c r="A177" s="158" t="s">
        <v>11</v>
      </c>
      <c r="B177" s="159" t="s">
        <v>63</v>
      </c>
      <c r="C177" s="159"/>
      <c r="D177" s="159"/>
      <c r="E177" s="159"/>
      <c r="F177" s="159"/>
      <c r="G177" s="159"/>
      <c r="H177" s="159"/>
      <c r="I177" s="22">
        <f>I101</f>
        <v>1369.74</v>
      </c>
    </row>
    <row r="178" spans="1:9" ht="15" customHeight="1">
      <c r="A178" s="158" t="s">
        <v>14</v>
      </c>
      <c r="B178" s="159" t="s">
        <v>175</v>
      </c>
      <c r="C178" s="159"/>
      <c r="D178" s="159"/>
      <c r="E178" s="159"/>
      <c r="F178" s="159"/>
      <c r="G178" s="159"/>
      <c r="H178" s="159"/>
      <c r="I178" s="22">
        <f>I110</f>
        <v>113.51</v>
      </c>
    </row>
    <row r="179" spans="1:9" ht="15" customHeight="1">
      <c r="A179" s="158" t="s">
        <v>17</v>
      </c>
      <c r="B179" s="159" t="s">
        <v>176</v>
      </c>
      <c r="C179" s="159"/>
      <c r="D179" s="159"/>
      <c r="E179" s="159"/>
      <c r="F179" s="159"/>
      <c r="G179" s="159"/>
      <c r="H179" s="159"/>
      <c r="I179" s="22">
        <f>I138</f>
        <v>231.09873333333334</v>
      </c>
    </row>
    <row r="180" spans="1:9" ht="15" customHeight="1">
      <c r="A180" s="158" t="s">
        <v>83</v>
      </c>
      <c r="B180" s="159" t="s">
        <v>177</v>
      </c>
      <c r="C180" s="159"/>
      <c r="D180" s="159"/>
      <c r="E180" s="159"/>
      <c r="F180" s="159"/>
      <c r="G180" s="159"/>
      <c r="H180" s="159"/>
      <c r="I180" s="22">
        <f>I145</f>
        <v>927.0999999999999</v>
      </c>
    </row>
    <row r="181" spans="1:9" ht="15" customHeight="1">
      <c r="A181" s="160" t="s">
        <v>178</v>
      </c>
      <c r="B181" s="160"/>
      <c r="C181" s="160"/>
      <c r="D181" s="160"/>
      <c r="E181" s="160"/>
      <c r="F181" s="160"/>
      <c r="G181" s="160"/>
      <c r="H181" s="160"/>
      <c r="I181" s="134">
        <f>SUM(I176:I180)</f>
        <v>4218.3587333333335</v>
      </c>
    </row>
    <row r="182" spans="1:9" ht="15" customHeight="1">
      <c r="A182" s="161" t="s">
        <v>85</v>
      </c>
      <c r="B182" s="159" t="s">
        <v>179</v>
      </c>
      <c r="C182" s="159"/>
      <c r="D182" s="159"/>
      <c r="E182" s="159"/>
      <c r="F182" s="159"/>
      <c r="G182" s="159"/>
      <c r="H182" s="159"/>
      <c r="I182" s="22">
        <f>I165</f>
        <v>1130.26</v>
      </c>
    </row>
    <row r="183" spans="1:9" ht="15" customHeight="1">
      <c r="A183" s="160" t="s">
        <v>180</v>
      </c>
      <c r="B183" s="160"/>
      <c r="C183" s="160"/>
      <c r="D183" s="160"/>
      <c r="E183" s="160"/>
      <c r="F183" s="160"/>
      <c r="G183" s="160"/>
      <c r="H183" s="160"/>
      <c r="I183" s="134">
        <f>SUM(I181:I182)</f>
        <v>5348.618733333334</v>
      </c>
    </row>
    <row r="184" spans="1:13" ht="15" customHeight="1" hidden="1">
      <c r="A184" s="162"/>
      <c r="B184" s="162"/>
      <c r="C184" s="162"/>
      <c r="D184" s="162"/>
      <c r="E184" s="162"/>
      <c r="F184" s="162"/>
      <c r="G184" s="162"/>
      <c r="H184" s="163"/>
      <c r="I184" s="164"/>
      <c r="J184" s="32"/>
      <c r="K184" s="165"/>
      <c r="L184" s="32"/>
      <c r="M184" s="166"/>
    </row>
    <row r="185" spans="1:9" ht="12.75" customHeight="1">
      <c r="A185" s="167"/>
      <c r="B185" s="167"/>
      <c r="C185" s="167"/>
      <c r="D185" s="167"/>
      <c r="E185" s="167"/>
      <c r="F185" s="167"/>
      <c r="G185" s="167"/>
      <c r="H185" s="167"/>
      <c r="I185" s="167"/>
    </row>
    <row r="186" spans="1:9" ht="16.5" customHeight="1">
      <c r="A186" s="168" t="s">
        <v>181</v>
      </c>
      <c r="B186" s="168"/>
      <c r="C186" s="168"/>
      <c r="D186" s="168"/>
      <c r="E186" s="168"/>
      <c r="F186" s="168"/>
      <c r="G186" s="168"/>
      <c r="H186" s="168"/>
      <c r="I186" s="168"/>
    </row>
    <row r="187" spans="1:9" ht="11.25" customHeight="1">
      <c r="A187" s="169"/>
      <c r="B187" s="169"/>
      <c r="C187" s="169"/>
      <c r="D187" s="169"/>
      <c r="E187" s="169"/>
      <c r="F187" s="169"/>
      <c r="G187" s="169"/>
      <c r="H187" s="169"/>
      <c r="I187" s="170"/>
    </row>
    <row r="188" spans="1:9" ht="21" customHeight="1">
      <c r="A188" s="171" t="s">
        <v>182</v>
      </c>
      <c r="B188" s="171"/>
      <c r="C188" s="171"/>
      <c r="D188" s="171"/>
      <c r="E188" s="171"/>
      <c r="F188" s="171"/>
      <c r="G188" s="171"/>
      <c r="H188" s="171"/>
      <c r="I188" s="171"/>
    </row>
    <row r="189" spans="1:9" ht="51" customHeight="1">
      <c r="A189" s="172" t="s">
        <v>183</v>
      </c>
      <c r="B189" s="172"/>
      <c r="C189" s="14" t="s">
        <v>184</v>
      </c>
      <c r="D189" s="14"/>
      <c r="E189" s="14" t="s">
        <v>185</v>
      </c>
      <c r="F189" s="14"/>
      <c r="G189" s="14" t="s">
        <v>186</v>
      </c>
      <c r="H189" s="14"/>
      <c r="I189" s="14"/>
    </row>
    <row r="190" spans="1:9" ht="12.75" customHeight="1">
      <c r="A190" s="173" t="s">
        <v>187</v>
      </c>
      <c r="B190" s="173"/>
      <c r="C190" s="142" t="s">
        <v>188</v>
      </c>
      <c r="D190" s="142"/>
      <c r="E190" s="174">
        <f>I183</f>
        <v>5348.618733333334</v>
      </c>
      <c r="F190" s="174"/>
      <c r="G190" s="175">
        <f>ROUND((1/1200)*E190,2)</f>
        <v>4.46</v>
      </c>
      <c r="H190" s="175"/>
      <c r="I190" s="175"/>
    </row>
    <row r="191" spans="1:9" ht="12.75" customHeight="1">
      <c r="A191" s="176" t="s">
        <v>189</v>
      </c>
      <c r="B191" s="176"/>
      <c r="C191" s="176"/>
      <c r="D191" s="176"/>
      <c r="E191" s="176"/>
      <c r="F191" s="176"/>
      <c r="G191" s="177">
        <f>G190</f>
        <v>4.46</v>
      </c>
      <c r="H191" s="177"/>
      <c r="I191" s="177"/>
    </row>
    <row r="192" spans="1:11" ht="6.75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K192" s="48"/>
    </row>
    <row r="193" spans="1:9" ht="12.75" customHeight="1">
      <c r="A193" s="173" t="s">
        <v>190</v>
      </c>
      <c r="B193" s="173"/>
      <c r="C193" s="142" t="s">
        <v>191</v>
      </c>
      <c r="D193" s="142"/>
      <c r="E193" s="174">
        <f>I183</f>
        <v>5348.618733333334</v>
      </c>
      <c r="F193" s="174"/>
      <c r="G193" s="175">
        <f>ROUND((1/450)*E193,2)</f>
        <v>11.89</v>
      </c>
      <c r="H193" s="175"/>
      <c r="I193" s="175"/>
    </row>
    <row r="194" spans="1:9" ht="12.75" customHeight="1">
      <c r="A194" s="176" t="s">
        <v>189</v>
      </c>
      <c r="B194" s="176"/>
      <c r="C194" s="176"/>
      <c r="D194" s="176"/>
      <c r="E194" s="176"/>
      <c r="F194" s="176"/>
      <c r="G194" s="177">
        <f>G193</f>
        <v>11.89</v>
      </c>
      <c r="H194" s="177"/>
      <c r="I194" s="177"/>
    </row>
    <row r="195" spans="1:9" ht="6" customHeight="1">
      <c r="A195" s="178"/>
      <c r="B195" s="178"/>
      <c r="C195" s="178"/>
      <c r="D195" s="178"/>
      <c r="E195" s="178"/>
      <c r="F195" s="178"/>
      <c r="G195" s="178"/>
      <c r="H195" s="178"/>
      <c r="I195" s="178"/>
    </row>
    <row r="196" spans="1:16" s="181" customFormat="1" ht="25.5" customHeight="1">
      <c r="A196" s="173" t="s">
        <v>192</v>
      </c>
      <c r="B196" s="173"/>
      <c r="C196" s="142" t="s">
        <v>193</v>
      </c>
      <c r="D196" s="142"/>
      <c r="E196" s="179">
        <f>I183</f>
        <v>5348.618733333334</v>
      </c>
      <c r="F196" s="179"/>
      <c r="G196" s="175">
        <f>ROUND((1/1500)*E196,2)</f>
        <v>3.57</v>
      </c>
      <c r="H196" s="175"/>
      <c r="I196" s="175"/>
      <c r="J196" s="180"/>
      <c r="K196" s="180"/>
      <c r="L196" s="180"/>
      <c r="M196" s="180"/>
      <c r="N196" s="180"/>
      <c r="O196" s="180"/>
      <c r="P196" s="180"/>
    </row>
    <row r="197" spans="1:16" s="181" customFormat="1" ht="14.25" customHeight="1">
      <c r="A197" s="182" t="s">
        <v>189</v>
      </c>
      <c r="B197" s="182"/>
      <c r="C197" s="182"/>
      <c r="D197" s="182"/>
      <c r="E197" s="182"/>
      <c r="F197" s="182"/>
      <c r="G197" s="183">
        <f>G196</f>
        <v>3.57</v>
      </c>
      <c r="H197" s="183"/>
      <c r="I197" s="183"/>
      <c r="J197" s="180"/>
      <c r="K197" s="180"/>
      <c r="L197" s="180"/>
      <c r="M197" s="180"/>
      <c r="N197" s="180"/>
      <c r="O197" s="180"/>
      <c r="P197" s="180"/>
    </row>
    <row r="198" spans="1:16" s="181" customFormat="1" ht="9.75" customHeight="1">
      <c r="A198" s="184"/>
      <c r="B198" s="184"/>
      <c r="C198" s="184"/>
      <c r="D198" s="184"/>
      <c r="E198" s="184"/>
      <c r="F198" s="184"/>
      <c r="G198" s="184"/>
      <c r="H198" s="184"/>
      <c r="I198" s="184"/>
      <c r="J198" s="180"/>
      <c r="K198" s="180"/>
      <c r="L198" s="180"/>
      <c r="M198" s="180"/>
      <c r="N198" s="180"/>
      <c r="O198" s="180"/>
      <c r="P198" s="180"/>
    </row>
    <row r="199" spans="1:16" s="181" customFormat="1" ht="14.25" customHeight="1">
      <c r="A199" s="185" t="s">
        <v>194</v>
      </c>
      <c r="B199" s="185"/>
      <c r="C199" s="185"/>
      <c r="D199" s="185"/>
      <c r="E199" s="185"/>
      <c r="F199" s="185"/>
      <c r="G199" s="185"/>
      <c r="H199" s="185"/>
      <c r="I199" s="185"/>
      <c r="J199" s="180"/>
      <c r="K199" s="180"/>
      <c r="L199" s="180"/>
      <c r="M199" s="180"/>
      <c r="N199" s="180"/>
      <c r="O199" s="180"/>
      <c r="P199" s="180"/>
    </row>
    <row r="200" spans="1:16" s="181" customFormat="1" ht="9" customHeight="1">
      <c r="A200" s="186"/>
      <c r="B200" s="186"/>
      <c r="C200" s="186"/>
      <c r="D200" s="186"/>
      <c r="E200" s="186"/>
      <c r="F200" s="186"/>
      <c r="G200" s="186"/>
      <c r="H200" s="186"/>
      <c r="I200" s="186"/>
      <c r="J200" s="180"/>
      <c r="K200" s="180"/>
      <c r="L200" s="180"/>
      <c r="M200" s="180"/>
      <c r="N200" s="180"/>
      <c r="O200" s="180"/>
      <c r="P200" s="180"/>
    </row>
    <row r="201" spans="1:16" s="181" customFormat="1" ht="24" customHeight="1">
      <c r="A201" s="187" t="s">
        <v>195</v>
      </c>
      <c r="B201" s="187"/>
      <c r="C201" s="187"/>
      <c r="D201" s="187"/>
      <c r="E201" s="187"/>
      <c r="F201" s="187"/>
      <c r="G201" s="187"/>
      <c r="H201" s="187"/>
      <c r="I201" s="187"/>
      <c r="J201" s="180"/>
      <c r="K201" s="180"/>
      <c r="L201" s="180"/>
      <c r="M201" s="180"/>
      <c r="N201" s="180"/>
      <c r="O201" s="180"/>
      <c r="P201" s="180"/>
    </row>
    <row r="202" spans="1:16" s="181" customFormat="1" ht="9" customHeight="1">
      <c r="A202" s="186"/>
      <c r="B202" s="186"/>
      <c r="C202" s="186"/>
      <c r="D202" s="186"/>
      <c r="E202" s="186"/>
      <c r="F202" s="186"/>
      <c r="G202" s="186"/>
      <c r="H202" s="186"/>
      <c r="I202" s="186"/>
      <c r="J202" s="180"/>
      <c r="K202" s="180"/>
      <c r="L202" s="180"/>
      <c r="M202" s="180"/>
      <c r="N202" s="180"/>
      <c r="O202" s="180"/>
      <c r="P202" s="180"/>
    </row>
    <row r="203" spans="1:9" ht="44.25" customHeight="1">
      <c r="A203" s="172" t="s">
        <v>196</v>
      </c>
      <c r="B203" s="172"/>
      <c r="C203" s="14" t="s">
        <v>197</v>
      </c>
      <c r="D203" s="14"/>
      <c r="E203" s="14" t="s">
        <v>198</v>
      </c>
      <c r="F203" s="14"/>
      <c r="G203" s="14" t="s">
        <v>186</v>
      </c>
      <c r="H203" s="14"/>
      <c r="I203" s="14"/>
    </row>
    <row r="204" spans="1:10" ht="42" customHeight="1">
      <c r="A204" s="15" t="s">
        <v>199</v>
      </c>
      <c r="B204" s="15"/>
      <c r="C204" s="188" t="s">
        <v>200</v>
      </c>
      <c r="D204" s="188"/>
      <c r="E204" s="174">
        <f>I183</f>
        <v>5348.618733333334</v>
      </c>
      <c r="F204" s="174"/>
      <c r="G204" s="174">
        <f>ROUND((1/2700)*E204,2)</f>
        <v>1.98</v>
      </c>
      <c r="H204" s="174"/>
      <c r="I204" s="174"/>
      <c r="J204" s="189"/>
    </row>
    <row r="205" spans="1:10" ht="16.5" customHeight="1">
      <c r="A205" s="74" t="s">
        <v>189</v>
      </c>
      <c r="B205" s="74"/>
      <c r="C205" s="74"/>
      <c r="D205" s="74"/>
      <c r="E205" s="74"/>
      <c r="F205" s="74"/>
      <c r="G205" s="177">
        <f>G204</f>
        <v>1.98</v>
      </c>
      <c r="H205" s="177"/>
      <c r="I205" s="177"/>
      <c r="J205" s="189"/>
    </row>
    <row r="206" spans="1:9" ht="8.25" customHeight="1">
      <c r="A206" s="190"/>
      <c r="B206" s="190"/>
      <c r="C206" s="190"/>
      <c r="D206" s="190"/>
      <c r="E206" s="190"/>
      <c r="F206" s="190"/>
      <c r="G206" s="190"/>
      <c r="H206" s="190"/>
      <c r="I206" s="190"/>
    </row>
    <row r="207" spans="1:9" ht="27" customHeight="1">
      <c r="A207" s="15" t="s">
        <v>201</v>
      </c>
      <c r="B207" s="15"/>
      <c r="C207" s="188" t="s">
        <v>202</v>
      </c>
      <c r="D207" s="188"/>
      <c r="E207" s="174">
        <f>I183</f>
        <v>5348.618733333334</v>
      </c>
      <c r="F207" s="174"/>
      <c r="G207" s="174">
        <f>ROUND((1/9000)*E207,2)</f>
        <v>0.59</v>
      </c>
      <c r="H207" s="174"/>
      <c r="I207" s="174"/>
    </row>
    <row r="208" spans="1:9" ht="16.5" customHeight="1">
      <c r="A208" s="74" t="s">
        <v>189</v>
      </c>
      <c r="B208" s="74"/>
      <c r="C208" s="74"/>
      <c r="D208" s="74"/>
      <c r="E208" s="74"/>
      <c r="F208" s="74"/>
      <c r="G208" s="177">
        <f>G207</f>
        <v>0.59</v>
      </c>
      <c r="H208" s="177"/>
      <c r="I208" s="177"/>
    </row>
    <row r="209" spans="1:9" ht="7.5" customHeight="1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 ht="28.5" customHeight="1">
      <c r="A210" s="15" t="s">
        <v>203</v>
      </c>
      <c r="B210" s="15"/>
      <c r="C210" s="188" t="s">
        <v>200</v>
      </c>
      <c r="D210" s="188"/>
      <c r="E210" s="174">
        <f>I183</f>
        <v>5348.618733333334</v>
      </c>
      <c r="F210" s="174"/>
      <c r="G210" s="174">
        <f>ROUND((1/2700)*E210,2)</f>
        <v>1.98</v>
      </c>
      <c r="H210" s="174"/>
      <c r="I210" s="174"/>
    </row>
    <row r="211" spans="1:9" ht="18" customHeight="1">
      <c r="A211" s="54" t="s">
        <v>189</v>
      </c>
      <c r="B211" s="54"/>
      <c r="C211" s="54"/>
      <c r="D211" s="54"/>
      <c r="E211" s="54"/>
      <c r="F211" s="54"/>
      <c r="G211" s="183">
        <f>G210</f>
        <v>1.98</v>
      </c>
      <c r="H211" s="183"/>
      <c r="I211" s="183"/>
    </row>
    <row r="212" spans="1:9" ht="7.5" customHeight="1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 ht="36.75" customHeight="1">
      <c r="A213" s="15" t="s">
        <v>204</v>
      </c>
      <c r="B213" s="15"/>
      <c r="C213" s="188" t="s">
        <v>205</v>
      </c>
      <c r="D213" s="188"/>
      <c r="E213" s="174">
        <f>I183</f>
        <v>5348.618733333334</v>
      </c>
      <c r="F213" s="174"/>
      <c r="G213" s="174">
        <f>ROUND((1/100000)*E213,2)</f>
        <v>0.05</v>
      </c>
      <c r="H213" s="174"/>
      <c r="I213" s="174"/>
    </row>
    <row r="214" spans="1:9" ht="15.75" customHeight="1">
      <c r="A214" s="74" t="s">
        <v>189</v>
      </c>
      <c r="B214" s="74"/>
      <c r="C214" s="74"/>
      <c r="D214" s="74"/>
      <c r="E214" s="74"/>
      <c r="F214" s="74"/>
      <c r="G214" s="177">
        <f>G213</f>
        <v>0.05</v>
      </c>
      <c r="H214" s="177"/>
      <c r="I214" s="177"/>
    </row>
    <row r="215" spans="1:9" ht="8.25" customHeight="1">
      <c r="A215" s="56"/>
      <c r="B215" s="56"/>
      <c r="C215" s="56"/>
      <c r="D215" s="56"/>
      <c r="E215" s="56"/>
      <c r="F215" s="56"/>
      <c r="G215" s="56"/>
      <c r="H215" s="56"/>
      <c r="I215" s="56"/>
    </row>
    <row r="216" spans="1:9" ht="15.75" customHeight="1">
      <c r="A216" s="43" t="s">
        <v>206</v>
      </c>
      <c r="B216" s="43"/>
      <c r="C216" s="43"/>
      <c r="D216" s="43"/>
      <c r="E216" s="43"/>
      <c r="F216" s="43"/>
      <c r="G216" s="43"/>
      <c r="H216" s="43"/>
      <c r="I216" s="43"/>
    </row>
    <row r="217" spans="1:9" ht="10.5" customHeight="1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 ht="24.75" customHeight="1">
      <c r="A218" s="50" t="s">
        <v>195</v>
      </c>
      <c r="B218" s="50"/>
      <c r="C218" s="50"/>
      <c r="D218" s="50"/>
      <c r="E218" s="50"/>
      <c r="F218" s="50"/>
      <c r="G218" s="50"/>
      <c r="H218" s="50"/>
      <c r="I218" s="50"/>
    </row>
    <row r="219" spans="1:9" ht="10.5" customHeight="1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 ht="69" customHeight="1">
      <c r="A220" s="172" t="s">
        <v>207</v>
      </c>
      <c r="B220" s="191" t="s">
        <v>208</v>
      </c>
      <c r="C220" s="191" t="s">
        <v>209</v>
      </c>
      <c r="D220" s="191" t="s">
        <v>210</v>
      </c>
      <c r="E220" s="191"/>
      <c r="F220" s="191" t="s">
        <v>211</v>
      </c>
      <c r="G220" s="191" t="s">
        <v>212</v>
      </c>
      <c r="H220" s="191" t="s">
        <v>213</v>
      </c>
      <c r="I220" s="191"/>
    </row>
    <row r="221" spans="1:9" ht="51" customHeight="1">
      <c r="A221" s="173" t="s">
        <v>214</v>
      </c>
      <c r="B221" s="188" t="s">
        <v>215</v>
      </c>
      <c r="C221" s="142" t="s">
        <v>216</v>
      </c>
      <c r="D221" s="192" t="s">
        <v>217</v>
      </c>
      <c r="E221" s="192"/>
      <c r="F221" s="193">
        <f>ROUND((1/160)*16*(1/188.76),7)</f>
        <v>0.0005298</v>
      </c>
      <c r="G221" s="143">
        <f>I183</f>
        <v>5348.618733333334</v>
      </c>
      <c r="H221" s="174">
        <f>ROUND(F221*G221,2)</f>
        <v>2.83</v>
      </c>
      <c r="I221" s="174"/>
    </row>
    <row r="222" spans="1:9" ht="12.75" customHeight="1">
      <c r="A222" s="74" t="s">
        <v>189</v>
      </c>
      <c r="B222" s="74"/>
      <c r="C222" s="74"/>
      <c r="D222" s="74"/>
      <c r="E222" s="74"/>
      <c r="F222" s="74"/>
      <c r="G222" s="74"/>
      <c r="H222" s="174">
        <f>H221</f>
        <v>2.83</v>
      </c>
      <c r="I222" s="174"/>
    </row>
    <row r="223" spans="1:9" ht="7.5" customHeight="1">
      <c r="A223" s="194"/>
      <c r="B223" s="194"/>
      <c r="C223" s="194"/>
      <c r="D223" s="194"/>
      <c r="E223" s="194"/>
      <c r="F223" s="194"/>
      <c r="G223" s="194"/>
      <c r="H223" s="194"/>
      <c r="I223" s="194"/>
    </row>
    <row r="224" spans="1:9" ht="51" customHeight="1">
      <c r="A224" s="173" t="s">
        <v>218</v>
      </c>
      <c r="B224" s="188" t="s">
        <v>219</v>
      </c>
      <c r="C224" s="142" t="s">
        <v>216</v>
      </c>
      <c r="D224" s="192" t="s">
        <v>217</v>
      </c>
      <c r="E224" s="192"/>
      <c r="F224" s="193">
        <f>ROUND((1/380)*16*(1/188.76),7)</f>
        <v>0.0002231</v>
      </c>
      <c r="G224" s="143">
        <f>I183</f>
        <v>5348.618733333334</v>
      </c>
      <c r="H224" s="174">
        <f>ROUND(F224*G224,2)</f>
        <v>1.19</v>
      </c>
      <c r="I224" s="174"/>
    </row>
    <row r="225" spans="1:9" ht="12.75" customHeight="1">
      <c r="A225" s="74" t="s">
        <v>189</v>
      </c>
      <c r="B225" s="74"/>
      <c r="C225" s="74"/>
      <c r="D225" s="74"/>
      <c r="E225" s="74"/>
      <c r="F225" s="74"/>
      <c r="G225" s="74"/>
      <c r="H225" s="174">
        <f>H224</f>
        <v>1.19</v>
      </c>
      <c r="I225" s="174"/>
    </row>
    <row r="226" spans="1:9" ht="6.75" customHeight="1">
      <c r="A226" s="194"/>
      <c r="B226" s="194"/>
      <c r="C226" s="194"/>
      <c r="D226" s="194"/>
      <c r="E226" s="194"/>
      <c r="F226" s="194"/>
      <c r="G226" s="194"/>
      <c r="H226" s="194"/>
      <c r="I226" s="194"/>
    </row>
    <row r="227" spans="1:9" ht="25.5" customHeight="1">
      <c r="A227" s="173" t="s">
        <v>220</v>
      </c>
      <c r="B227" s="195" t="s">
        <v>219</v>
      </c>
      <c r="C227" s="196" t="s">
        <v>216</v>
      </c>
      <c r="D227" s="192" t="s">
        <v>217</v>
      </c>
      <c r="E227" s="192"/>
      <c r="F227" s="193">
        <f>ROUND((1/380)*16*(1/188.76),7)</f>
        <v>0.0002231</v>
      </c>
      <c r="G227" s="143">
        <f>I183</f>
        <v>5348.618733333334</v>
      </c>
      <c r="H227" s="174">
        <f>ROUND(F227*G227,2)</f>
        <v>1.19</v>
      </c>
      <c r="I227" s="174"/>
    </row>
    <row r="228" spans="1:9" ht="12.75" customHeight="1">
      <c r="A228" s="54" t="s">
        <v>189</v>
      </c>
      <c r="B228" s="54"/>
      <c r="C228" s="54"/>
      <c r="D228" s="54"/>
      <c r="E228" s="54"/>
      <c r="F228" s="54"/>
      <c r="G228" s="54"/>
      <c r="H228" s="197">
        <f>H227</f>
        <v>1.19</v>
      </c>
      <c r="I228" s="197"/>
    </row>
    <row r="229" spans="1:9" ht="9.75" customHeight="1">
      <c r="A229" s="56"/>
      <c r="B229" s="56"/>
      <c r="C229" s="56"/>
      <c r="D229" s="56"/>
      <c r="E229" s="56"/>
      <c r="F229" s="56"/>
      <c r="G229" s="56"/>
      <c r="H229" s="56"/>
      <c r="I229" s="56"/>
    </row>
    <row r="230" spans="1:9" ht="12.75" customHeight="1">
      <c r="A230" s="43" t="s">
        <v>221</v>
      </c>
      <c r="B230" s="43"/>
      <c r="C230" s="43"/>
      <c r="D230" s="43"/>
      <c r="E230" s="43"/>
      <c r="F230" s="43"/>
      <c r="G230" s="43"/>
      <c r="H230" s="43"/>
      <c r="I230" s="43"/>
    </row>
    <row r="231" spans="1:9" ht="7.5" customHeight="1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 ht="25.5" customHeight="1">
      <c r="A232" s="198" t="s">
        <v>222</v>
      </c>
      <c r="B232" s="198"/>
      <c r="C232" s="198"/>
      <c r="D232" s="198"/>
      <c r="E232" s="198"/>
      <c r="F232" s="198"/>
      <c r="G232" s="198"/>
      <c r="H232" s="198"/>
      <c r="I232" s="198"/>
    </row>
    <row r="233" spans="1:9" ht="7.5" customHeight="1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 ht="11.25">
      <c r="A234" s="59" t="s">
        <v>223</v>
      </c>
      <c r="B234" s="59"/>
      <c r="C234" s="59"/>
      <c r="D234" s="59"/>
      <c r="E234" s="59"/>
      <c r="F234" s="59"/>
      <c r="G234" s="59"/>
      <c r="H234" s="59"/>
      <c r="I234" s="59"/>
    </row>
    <row r="235" spans="1:9" ht="11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25.5" customHeight="1">
      <c r="A236" s="199" t="s">
        <v>224</v>
      </c>
      <c r="B236" s="199"/>
      <c r="C236" s="199"/>
      <c r="D236" s="200" t="s">
        <v>225</v>
      </c>
      <c r="E236" s="200"/>
      <c r="F236" s="200" t="s">
        <v>226</v>
      </c>
      <c r="G236" s="200" t="s">
        <v>227</v>
      </c>
      <c r="H236" s="200"/>
      <c r="I236" s="200"/>
    </row>
    <row r="237" spans="1:9" ht="13.5" customHeight="1">
      <c r="A237" s="201" t="s">
        <v>23</v>
      </c>
      <c r="B237" s="201"/>
      <c r="C237" s="201"/>
      <c r="D237" s="202">
        <f>G191</f>
        <v>4.46</v>
      </c>
      <c r="E237" s="202"/>
      <c r="F237" s="203">
        <f aca="true" t="shared" si="3" ref="F237:F240">H14</f>
        <v>3655.88</v>
      </c>
      <c r="G237" s="22">
        <f aca="true" t="shared" si="4" ref="G237:G239">ROUND(D237*F237,2)</f>
        <v>16305.22</v>
      </c>
      <c r="H237" s="22"/>
      <c r="I237" s="22"/>
    </row>
    <row r="238" spans="1:9" ht="13.5" customHeight="1">
      <c r="A238" s="201" t="s">
        <v>25</v>
      </c>
      <c r="B238" s="201"/>
      <c r="C238" s="201"/>
      <c r="D238" s="202">
        <f>G194</f>
        <v>11.89</v>
      </c>
      <c r="E238" s="202"/>
      <c r="F238" s="203">
        <f t="shared" si="3"/>
        <v>1039.39</v>
      </c>
      <c r="G238" s="22">
        <f t="shared" si="4"/>
        <v>12358.35</v>
      </c>
      <c r="H238" s="22"/>
      <c r="I238" s="22"/>
    </row>
    <row r="239" spans="1:9" ht="27" customHeight="1">
      <c r="A239" s="204" t="s">
        <v>228</v>
      </c>
      <c r="B239" s="204"/>
      <c r="C239" s="204"/>
      <c r="D239" s="202">
        <f>G197</f>
        <v>3.57</v>
      </c>
      <c r="E239" s="202"/>
      <c r="F239" s="203">
        <f t="shared" si="3"/>
        <v>1264.14</v>
      </c>
      <c r="G239" s="22">
        <f t="shared" si="4"/>
        <v>4512.98</v>
      </c>
      <c r="H239" s="22"/>
      <c r="I239" s="22"/>
    </row>
    <row r="240" spans="1:9" ht="16.5" customHeight="1">
      <c r="A240" s="205" t="s">
        <v>31</v>
      </c>
      <c r="B240" s="205"/>
      <c r="C240" s="205"/>
      <c r="D240" s="205"/>
      <c r="E240" s="205"/>
      <c r="F240" s="206">
        <f t="shared" si="3"/>
        <v>5959.41</v>
      </c>
      <c r="G240" s="20">
        <f>SUM(G237:G239)</f>
        <v>33176.55</v>
      </c>
      <c r="H240" s="20"/>
      <c r="I240" s="20"/>
    </row>
    <row r="241" spans="1:9" ht="6.75" customHeight="1">
      <c r="A241" s="207"/>
      <c r="B241" s="207"/>
      <c r="C241" s="207"/>
      <c r="D241" s="207"/>
      <c r="E241" s="207"/>
      <c r="F241" s="207"/>
      <c r="G241" s="207"/>
      <c r="H241" s="207"/>
      <c r="I241" s="207"/>
    </row>
    <row r="242" spans="1:9" ht="24" customHeight="1">
      <c r="A242" s="208" t="s">
        <v>32</v>
      </c>
      <c r="B242" s="208"/>
      <c r="C242" s="208"/>
      <c r="D242" s="209">
        <f>G204</f>
        <v>1.98</v>
      </c>
      <c r="E242" s="209"/>
      <c r="F242" s="210">
        <f aca="true" t="shared" si="5" ref="F242:F246">H19</f>
        <v>1013.5</v>
      </c>
      <c r="G242" s="22">
        <f aca="true" t="shared" si="6" ref="G242:G245">ROUND(D242*F242,2)</f>
        <v>2006.73</v>
      </c>
      <c r="H242" s="22"/>
      <c r="I242" s="22"/>
    </row>
    <row r="243" spans="1:9" ht="27.75" customHeight="1">
      <c r="A243" s="204" t="s">
        <v>229</v>
      </c>
      <c r="B243" s="204"/>
      <c r="C243" s="204"/>
      <c r="D243" s="202">
        <f>G207</f>
        <v>0.59</v>
      </c>
      <c r="E243" s="202"/>
      <c r="F243" s="211">
        <f t="shared" si="5"/>
        <v>534</v>
      </c>
      <c r="G243" s="22">
        <f t="shared" si="6"/>
        <v>315.06</v>
      </c>
      <c r="H243" s="22"/>
      <c r="I243" s="22"/>
    </row>
    <row r="244" spans="1:9" ht="27" customHeight="1">
      <c r="A244" s="204" t="s">
        <v>230</v>
      </c>
      <c r="B244" s="204"/>
      <c r="C244" s="204"/>
      <c r="D244" s="202">
        <f>G210</f>
        <v>1.98</v>
      </c>
      <c r="E244" s="202"/>
      <c r="F244" s="211">
        <f t="shared" si="5"/>
        <v>2018.08</v>
      </c>
      <c r="G244" s="22">
        <f t="shared" si="6"/>
        <v>3995.8</v>
      </c>
      <c r="H244" s="22"/>
      <c r="I244" s="22"/>
    </row>
    <row r="245" spans="1:11" ht="24.75" customHeight="1">
      <c r="A245" s="212" t="s">
        <v>231</v>
      </c>
      <c r="B245" s="212"/>
      <c r="C245" s="212"/>
      <c r="D245" s="202">
        <f>G213</f>
        <v>0.05</v>
      </c>
      <c r="E245" s="202"/>
      <c r="F245" s="211">
        <f t="shared" si="5"/>
        <v>2520.5</v>
      </c>
      <c r="G245" s="22">
        <f t="shared" si="6"/>
        <v>126.03</v>
      </c>
      <c r="H245" s="22"/>
      <c r="I245" s="22"/>
      <c r="K245" s="1">
        <f>K243</f>
        <v>0</v>
      </c>
    </row>
    <row r="246" spans="1:9" ht="12.75" customHeight="1">
      <c r="A246" s="205" t="s">
        <v>36</v>
      </c>
      <c r="B246" s="205"/>
      <c r="C246" s="205"/>
      <c r="D246" s="205"/>
      <c r="E246" s="205"/>
      <c r="F246" s="213">
        <f t="shared" si="5"/>
        <v>6086.08</v>
      </c>
      <c r="G246" s="20">
        <f>SUM(G242:G245)</f>
        <v>6443.62</v>
      </c>
      <c r="H246" s="20"/>
      <c r="I246" s="20"/>
    </row>
    <row r="247" spans="1:9" ht="9" customHeight="1">
      <c r="A247" s="214"/>
      <c r="B247" s="214"/>
      <c r="C247" s="214"/>
      <c r="D247" s="214"/>
      <c r="E247" s="214"/>
      <c r="F247" s="214"/>
      <c r="G247" s="214"/>
      <c r="H247" s="214"/>
      <c r="I247" s="214"/>
    </row>
    <row r="248" spans="1:9" ht="25.5" customHeight="1">
      <c r="A248" s="215" t="s">
        <v>37</v>
      </c>
      <c r="B248" s="215"/>
      <c r="C248" s="215"/>
      <c r="D248" s="209">
        <f>H221</f>
        <v>2.83</v>
      </c>
      <c r="E248" s="209"/>
      <c r="F248" s="216">
        <f aca="true" t="shared" si="7" ref="F248:F251">H25</f>
        <v>97</v>
      </c>
      <c r="G248" s="22">
        <f>ROUND(D248*F248,2)</f>
        <v>274.51</v>
      </c>
      <c r="H248" s="22"/>
      <c r="I248" s="22"/>
    </row>
    <row r="249" spans="1:9" ht="24" customHeight="1">
      <c r="A249" s="198" t="s">
        <v>232</v>
      </c>
      <c r="B249" s="198"/>
      <c r="C249" s="198"/>
      <c r="D249" s="202">
        <f>H224</f>
        <v>1.19</v>
      </c>
      <c r="E249" s="202"/>
      <c r="F249" s="203">
        <f t="shared" si="7"/>
        <v>667.44</v>
      </c>
      <c r="G249" s="22">
        <f aca="true" t="shared" si="8" ref="G249:G250">ROUND((D249*F249),2)</f>
        <v>794.25</v>
      </c>
      <c r="H249" s="22"/>
      <c r="I249" s="22"/>
    </row>
    <row r="250" spans="1:9" ht="13.5" customHeight="1">
      <c r="A250" s="198" t="s">
        <v>233</v>
      </c>
      <c r="B250" s="198"/>
      <c r="C250" s="198"/>
      <c r="D250" s="202">
        <f>H227</f>
        <v>1.19</v>
      </c>
      <c r="E250" s="202"/>
      <c r="F250" s="203">
        <f t="shared" si="7"/>
        <v>667.44</v>
      </c>
      <c r="G250" s="22">
        <f t="shared" si="8"/>
        <v>794.25</v>
      </c>
      <c r="H250" s="22"/>
      <c r="I250" s="22"/>
    </row>
    <row r="251" spans="1:9" ht="12.75" customHeight="1">
      <c r="A251" s="205" t="s">
        <v>234</v>
      </c>
      <c r="B251" s="205"/>
      <c r="C251" s="205"/>
      <c r="D251" s="205"/>
      <c r="E251" s="205"/>
      <c r="F251" s="206">
        <f t="shared" si="7"/>
        <v>1431.88</v>
      </c>
      <c r="G251" s="20">
        <f>SUM(G248:G250)</f>
        <v>1863.01</v>
      </c>
      <c r="H251" s="20"/>
      <c r="I251" s="20"/>
    </row>
    <row r="252" spans="1:9" ht="8.25" customHeight="1">
      <c r="A252" s="214"/>
      <c r="B252" s="214"/>
      <c r="C252" s="214"/>
      <c r="D252" s="214"/>
      <c r="E252" s="214"/>
      <c r="F252" s="214"/>
      <c r="G252" s="214"/>
      <c r="H252" s="214"/>
      <c r="I252" s="214"/>
    </row>
    <row r="253" spans="1:9" ht="12.75" customHeight="1">
      <c r="A253" s="217" t="s">
        <v>189</v>
      </c>
      <c r="B253" s="217"/>
      <c r="C253" s="217"/>
      <c r="D253" s="217"/>
      <c r="E253" s="217"/>
      <c r="F253" s="218">
        <f>ROUND(F240+F246+F251,2)</f>
        <v>13477.37</v>
      </c>
      <c r="G253" s="219">
        <f>SUM(G240+G246+G251)</f>
        <v>41483.18000000001</v>
      </c>
      <c r="H253" s="219"/>
      <c r="I253" s="219"/>
    </row>
    <row r="254" spans="1:9" ht="6.75" customHeight="1">
      <c r="A254" s="220"/>
      <c r="B254" s="220"/>
      <c r="C254" s="220"/>
      <c r="D254" s="220"/>
      <c r="E254" s="220"/>
      <c r="F254" s="220"/>
      <c r="G254" s="220"/>
      <c r="H254" s="220"/>
      <c r="I254" s="220"/>
    </row>
    <row r="255" spans="1:9" ht="18.75" customHeight="1">
      <c r="A255" s="221" t="s">
        <v>235</v>
      </c>
      <c r="B255" s="221"/>
      <c r="C255" s="221"/>
      <c r="D255" s="221"/>
      <c r="E255" s="221"/>
      <c r="F255" s="221"/>
      <c r="G255" s="222">
        <f>G253</f>
        <v>41483.18000000001</v>
      </c>
      <c r="H255" s="222"/>
      <c r="I255" s="222"/>
    </row>
    <row r="256" spans="1:9" ht="8.25" customHeight="1">
      <c r="A256" s="223"/>
      <c r="B256" s="223"/>
      <c r="C256" s="223"/>
      <c r="D256" s="223"/>
      <c r="E256" s="223"/>
      <c r="F256" s="223"/>
      <c r="G256" s="223"/>
      <c r="H256" s="223"/>
      <c r="I256" s="223"/>
    </row>
    <row r="257" spans="1:9" ht="19.5" customHeight="1">
      <c r="A257" s="221" t="s">
        <v>236</v>
      </c>
      <c r="B257" s="221"/>
      <c r="C257" s="221"/>
      <c r="D257" s="221"/>
      <c r="E257" s="221"/>
      <c r="F257" s="221"/>
      <c r="G257" s="224">
        <f>H11</f>
        <v>12</v>
      </c>
      <c r="H257" s="224"/>
      <c r="I257" s="224"/>
    </row>
    <row r="258" spans="1:9" ht="8.25" customHeight="1">
      <c r="A258" s="225"/>
      <c r="B258" s="225"/>
      <c r="C258" s="225"/>
      <c r="D258" s="225"/>
      <c r="E258" s="225"/>
      <c r="F258" s="225"/>
      <c r="G258" s="225"/>
      <c r="H258" s="225"/>
      <c r="I258" s="225"/>
    </row>
    <row r="259" spans="1:9" ht="31.5" customHeight="1">
      <c r="A259" s="226" t="s">
        <v>237</v>
      </c>
      <c r="B259" s="226"/>
      <c r="C259" s="226"/>
      <c r="D259" s="226"/>
      <c r="E259" s="226"/>
      <c r="F259" s="226"/>
      <c r="G259" s="227">
        <f>ROUND(G253*G257,2)</f>
        <v>497798.16</v>
      </c>
      <c r="H259" s="227"/>
      <c r="I259" s="227"/>
    </row>
    <row r="260" spans="1:9" ht="8.25" customHeight="1">
      <c r="A260" s="228"/>
      <c r="B260" s="228"/>
      <c r="C260" s="228"/>
      <c r="D260" s="228"/>
      <c r="E260" s="228"/>
      <c r="F260" s="228"/>
      <c r="G260" s="228"/>
      <c r="H260" s="228"/>
      <c r="I260" s="228"/>
    </row>
    <row r="261" spans="1:9" ht="29.25" customHeight="1">
      <c r="A261" s="229" t="s">
        <v>238</v>
      </c>
      <c r="B261" s="229"/>
      <c r="C261" s="229"/>
      <c r="D261" s="229"/>
      <c r="E261" s="229"/>
      <c r="F261" s="229"/>
      <c r="G261" s="229"/>
      <c r="H261" s="229"/>
      <c r="I261" s="229"/>
    </row>
    <row r="262" spans="1:9" ht="12" customHeight="1">
      <c r="A262" s="112" t="s">
        <v>239</v>
      </c>
      <c r="B262" s="112"/>
      <c r="C262" s="112"/>
      <c r="D262" s="112"/>
      <c r="E262" s="112"/>
      <c r="F262" s="112"/>
      <c r="G262" s="112"/>
      <c r="H262" s="14" t="s">
        <v>240</v>
      </c>
      <c r="I262" s="14"/>
    </row>
    <row r="263" spans="1:9" ht="11.25">
      <c r="A263" s="112"/>
      <c r="B263" s="112"/>
      <c r="C263" s="112"/>
      <c r="D263" s="112"/>
      <c r="E263" s="112"/>
      <c r="F263" s="112"/>
      <c r="G263" s="112"/>
      <c r="H263" s="14"/>
      <c r="I263" s="14"/>
    </row>
    <row r="264" spans="1:9" ht="14.25">
      <c r="A264" s="230" t="s">
        <v>241</v>
      </c>
      <c r="B264" s="230"/>
      <c r="C264" s="230"/>
      <c r="D264" s="230"/>
      <c r="E264" s="230"/>
      <c r="F264" s="230"/>
      <c r="G264" s="230"/>
      <c r="H264" s="231">
        <v>8</v>
      </c>
      <c r="I264" s="231"/>
    </row>
    <row r="265" spans="1:9" ht="12.75" customHeight="1">
      <c r="A265" s="198"/>
      <c r="B265" s="198"/>
      <c r="C265" s="198"/>
      <c r="D265" s="198"/>
      <c r="E265" s="198"/>
      <c r="F265" s="198"/>
      <c r="G265" s="198"/>
      <c r="H265" s="198"/>
      <c r="I265" s="198"/>
    </row>
    <row r="266" spans="1:9" ht="9" customHeight="1">
      <c r="A266" s="186"/>
      <c r="B266" s="186"/>
      <c r="C266" s="186"/>
      <c r="D266" s="186"/>
      <c r="E266" s="186"/>
      <c r="F266" s="186"/>
      <c r="G266" s="186"/>
      <c r="H266" s="186"/>
      <c r="I266" s="186"/>
    </row>
    <row r="267" spans="1:9" ht="11.25" hidden="1">
      <c r="A267" s="186"/>
      <c r="B267" s="186"/>
      <c r="C267" s="186"/>
      <c r="D267" s="186"/>
      <c r="E267" s="186"/>
      <c r="F267" s="186"/>
      <c r="G267" s="186"/>
      <c r="H267" s="186"/>
      <c r="I267" s="186"/>
    </row>
    <row r="268" spans="1:9" ht="27" customHeight="1">
      <c r="A268" s="232" t="s">
        <v>242</v>
      </c>
      <c r="B268" s="232"/>
      <c r="C268" s="232"/>
      <c r="D268" s="232"/>
      <c r="E268" s="232"/>
      <c r="F268" s="232"/>
      <c r="G268" s="232"/>
      <c r="H268" s="232"/>
      <c r="I268" s="232"/>
    </row>
    <row r="269" spans="1:9" ht="12.75" customHeight="1">
      <c r="A269" s="14" t="s">
        <v>243</v>
      </c>
      <c r="B269" s="14"/>
      <c r="C269" s="14"/>
      <c r="D269" s="14"/>
      <c r="E269" s="14"/>
      <c r="F269" s="14"/>
      <c r="G269" s="14"/>
      <c r="H269" s="14" t="s">
        <v>244</v>
      </c>
      <c r="I269" s="14"/>
    </row>
    <row r="270" spans="1:9" ht="15" customHeight="1">
      <c r="A270" s="233"/>
      <c r="B270" s="233"/>
      <c r="C270" s="233"/>
      <c r="D270" s="233"/>
      <c r="E270" s="233"/>
      <c r="F270" s="233"/>
      <c r="G270" s="233"/>
      <c r="H270" s="9"/>
      <c r="I270" s="9"/>
    </row>
  </sheetData>
  <sheetProtection selectLockedCells="1" selectUnlockedCells="1"/>
  <mergeCells count="404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G17"/>
    <mergeCell ref="H17:I17"/>
    <mergeCell ref="A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G23"/>
    <mergeCell ref="H23:I23"/>
    <mergeCell ref="A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I30"/>
    <mergeCell ref="A31:G31"/>
    <mergeCell ref="H31:I31"/>
    <mergeCell ref="A32:I32"/>
    <mergeCell ref="A33:I33"/>
    <mergeCell ref="A34:I34"/>
    <mergeCell ref="A35:I35"/>
    <mergeCell ref="A36:I36"/>
    <mergeCell ref="A37:I37"/>
    <mergeCell ref="J37:P37"/>
    <mergeCell ref="Q37:X37"/>
    <mergeCell ref="Y37:AF37"/>
    <mergeCell ref="AG37:AN37"/>
    <mergeCell ref="AO37:AV37"/>
    <mergeCell ref="AW37:BD37"/>
    <mergeCell ref="BE37:BL37"/>
    <mergeCell ref="BM37:BT37"/>
    <mergeCell ref="BU37:CB37"/>
    <mergeCell ref="CC37:CJ37"/>
    <mergeCell ref="CK37:CR37"/>
    <mergeCell ref="CS37:CZ37"/>
    <mergeCell ref="DA37:DH37"/>
    <mergeCell ref="DI37:DP37"/>
    <mergeCell ref="DQ37:DX37"/>
    <mergeCell ref="DY37:EF37"/>
    <mergeCell ref="EG37:EN37"/>
    <mergeCell ref="EO37:EV37"/>
    <mergeCell ref="EW37:FD37"/>
    <mergeCell ref="FE37:FL37"/>
    <mergeCell ref="FM37:FT37"/>
    <mergeCell ref="FU37:GB37"/>
    <mergeCell ref="GC37:GJ37"/>
    <mergeCell ref="GK37:GR37"/>
    <mergeCell ref="GS37:GZ37"/>
    <mergeCell ref="HA37:HH37"/>
    <mergeCell ref="HI37:HP37"/>
    <mergeCell ref="HQ37:HX37"/>
    <mergeCell ref="HY37:IF37"/>
    <mergeCell ref="IG37:IN37"/>
    <mergeCell ref="IO37:IV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A43:I43"/>
    <mergeCell ref="A44:I44"/>
    <mergeCell ref="A45:I45"/>
    <mergeCell ref="A46:I46"/>
    <mergeCell ref="B47:G47"/>
    <mergeCell ref="B48:H48"/>
    <mergeCell ref="B49:G49"/>
    <mergeCell ref="B50:G50"/>
    <mergeCell ref="A51:H51"/>
    <mergeCell ref="A52:I52"/>
    <mergeCell ref="A53:I53"/>
    <mergeCell ref="A54:I54"/>
    <mergeCell ref="A55:I55"/>
    <mergeCell ref="A56:I56"/>
    <mergeCell ref="B57:H57"/>
    <mergeCell ref="B58:G58"/>
    <mergeCell ref="B59:G59"/>
    <mergeCell ref="A60:H60"/>
    <mergeCell ref="A61:I61"/>
    <mergeCell ref="A62:I62"/>
    <mergeCell ref="A63:I63"/>
    <mergeCell ref="A64:I64"/>
    <mergeCell ref="B65:G65"/>
    <mergeCell ref="B66:G66"/>
    <mergeCell ref="B67:G67"/>
    <mergeCell ref="B68:C68"/>
    <mergeCell ref="B69:G69"/>
    <mergeCell ref="B70:G70"/>
    <mergeCell ref="B71:G71"/>
    <mergeCell ref="B72:G72"/>
    <mergeCell ref="B73:G73"/>
    <mergeCell ref="A74:G74"/>
    <mergeCell ref="A76:I76"/>
    <mergeCell ref="A77:I77"/>
    <mergeCell ref="A78:I78"/>
    <mergeCell ref="B79:H79"/>
    <mergeCell ref="B80:H80"/>
    <mergeCell ref="B81:G81"/>
    <mergeCell ref="B82:G82"/>
    <mergeCell ref="B83:G83"/>
    <mergeCell ref="B84:G84"/>
    <mergeCell ref="B85:H85"/>
    <mergeCell ref="B86:G86"/>
    <mergeCell ref="B87:G87"/>
    <mergeCell ref="B88:G88"/>
    <mergeCell ref="B89:H89"/>
    <mergeCell ref="B90:H90"/>
    <mergeCell ref="B91:H91"/>
    <mergeCell ref="B92:H92"/>
    <mergeCell ref="A93:I93"/>
    <mergeCell ref="A94:I94"/>
    <mergeCell ref="A95:I95"/>
    <mergeCell ref="A96:I96"/>
    <mergeCell ref="B97:H97"/>
    <mergeCell ref="B98:H98"/>
    <mergeCell ref="B99:H99"/>
    <mergeCell ref="B100:H100"/>
    <mergeCell ref="A101:H101"/>
    <mergeCell ref="A102:I102"/>
    <mergeCell ref="A103:I103"/>
    <mergeCell ref="B104:H104"/>
    <mergeCell ref="B105:H105"/>
    <mergeCell ref="B106:H106"/>
    <mergeCell ref="B107:H107"/>
    <mergeCell ref="B108:H108"/>
    <mergeCell ref="B109:G109"/>
    <mergeCell ref="A110:H110"/>
    <mergeCell ref="A111:I111"/>
    <mergeCell ref="A112:I112"/>
    <mergeCell ref="A113:I113"/>
    <mergeCell ref="A114:I114"/>
    <mergeCell ref="A115:I115"/>
    <mergeCell ref="A116:I116"/>
    <mergeCell ref="A118:I118"/>
    <mergeCell ref="A119:I119"/>
    <mergeCell ref="B120:H120"/>
    <mergeCell ref="B121:F121"/>
    <mergeCell ref="B122:H122"/>
    <mergeCell ref="B123:H123"/>
    <mergeCell ref="B124:H124"/>
    <mergeCell ref="B125:H125"/>
    <mergeCell ref="B126:H126"/>
    <mergeCell ref="A127:H127"/>
    <mergeCell ref="A128:I128"/>
    <mergeCell ref="A129:I129"/>
    <mergeCell ref="B130:H130"/>
    <mergeCell ref="B131:H131"/>
    <mergeCell ref="A132:H132"/>
    <mergeCell ref="A133:I133"/>
    <mergeCell ref="A134:I134"/>
    <mergeCell ref="B135:H135"/>
    <mergeCell ref="B136:H136"/>
    <mergeCell ref="B137:H137"/>
    <mergeCell ref="A138:H138"/>
    <mergeCell ref="A139:I139"/>
    <mergeCell ref="A140:I140"/>
    <mergeCell ref="B141:H141"/>
    <mergeCell ref="B142:H142"/>
    <mergeCell ref="B143:H143"/>
    <mergeCell ref="B144:H144"/>
    <mergeCell ref="A145:H145"/>
    <mergeCell ref="A146:I146"/>
    <mergeCell ref="A147:I147"/>
    <mergeCell ref="A149:I149"/>
    <mergeCell ref="B150:G150"/>
    <mergeCell ref="A151:G151"/>
    <mergeCell ref="B152:G152"/>
    <mergeCell ref="A153:G153"/>
    <mergeCell ref="B154:G154"/>
    <mergeCell ref="A155:G155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A165:H165"/>
    <mergeCell ref="A166:I166"/>
    <mergeCell ref="A167:G167"/>
    <mergeCell ref="A168:B170"/>
    <mergeCell ref="C168:I168"/>
    <mergeCell ref="C169:I169"/>
    <mergeCell ref="C170:I170"/>
    <mergeCell ref="A171:I171"/>
    <mergeCell ref="A172:I172"/>
    <mergeCell ref="A173:I173"/>
    <mergeCell ref="A174:I174"/>
    <mergeCell ref="A175:H175"/>
    <mergeCell ref="B176:H176"/>
    <mergeCell ref="B177:H177"/>
    <mergeCell ref="B178:H178"/>
    <mergeCell ref="B179:H179"/>
    <mergeCell ref="B180:H180"/>
    <mergeCell ref="A181:H181"/>
    <mergeCell ref="B182:H182"/>
    <mergeCell ref="A183:H183"/>
    <mergeCell ref="A185:I185"/>
    <mergeCell ref="A186:I186"/>
    <mergeCell ref="A188:I188"/>
    <mergeCell ref="A189:B189"/>
    <mergeCell ref="C189:D189"/>
    <mergeCell ref="E189:F189"/>
    <mergeCell ref="G189:I189"/>
    <mergeCell ref="A190:B190"/>
    <mergeCell ref="C190:D190"/>
    <mergeCell ref="E190:F190"/>
    <mergeCell ref="G190:I190"/>
    <mergeCell ref="A191:F191"/>
    <mergeCell ref="G191:I191"/>
    <mergeCell ref="A192:I192"/>
    <mergeCell ref="A193:B193"/>
    <mergeCell ref="C193:D193"/>
    <mergeCell ref="E193:F193"/>
    <mergeCell ref="G193:I193"/>
    <mergeCell ref="A194:F194"/>
    <mergeCell ref="G194:I194"/>
    <mergeCell ref="A195:I195"/>
    <mergeCell ref="A196:B196"/>
    <mergeCell ref="C196:D196"/>
    <mergeCell ref="E196:F196"/>
    <mergeCell ref="G196:I196"/>
    <mergeCell ref="A197:F197"/>
    <mergeCell ref="G197:I197"/>
    <mergeCell ref="A198:I198"/>
    <mergeCell ref="A199:I199"/>
    <mergeCell ref="A200:I200"/>
    <mergeCell ref="A201:I201"/>
    <mergeCell ref="A202:I202"/>
    <mergeCell ref="A203:B203"/>
    <mergeCell ref="C203:D203"/>
    <mergeCell ref="E203:F203"/>
    <mergeCell ref="G203:I203"/>
    <mergeCell ref="A204:B204"/>
    <mergeCell ref="C204:D204"/>
    <mergeCell ref="E204:F204"/>
    <mergeCell ref="G204:I204"/>
    <mergeCell ref="A205:F205"/>
    <mergeCell ref="G205:I205"/>
    <mergeCell ref="A206:I206"/>
    <mergeCell ref="A207:B207"/>
    <mergeCell ref="C207:D207"/>
    <mergeCell ref="E207:F207"/>
    <mergeCell ref="G207:I207"/>
    <mergeCell ref="A208:F208"/>
    <mergeCell ref="G208:I208"/>
    <mergeCell ref="A209:I209"/>
    <mergeCell ref="A210:B210"/>
    <mergeCell ref="C210:D210"/>
    <mergeCell ref="E210:F210"/>
    <mergeCell ref="G210:I210"/>
    <mergeCell ref="A211:F211"/>
    <mergeCell ref="G211:I211"/>
    <mergeCell ref="A212:I212"/>
    <mergeCell ref="A213:B213"/>
    <mergeCell ref="C213:D213"/>
    <mergeCell ref="E213:F213"/>
    <mergeCell ref="G213:I213"/>
    <mergeCell ref="A214:F214"/>
    <mergeCell ref="G214:I214"/>
    <mergeCell ref="A215:I215"/>
    <mergeCell ref="A216:I216"/>
    <mergeCell ref="A217:I217"/>
    <mergeCell ref="A218:I218"/>
    <mergeCell ref="A219:I219"/>
    <mergeCell ref="D220:E220"/>
    <mergeCell ref="H220:I220"/>
    <mergeCell ref="D221:E221"/>
    <mergeCell ref="H221:I221"/>
    <mergeCell ref="A222:G222"/>
    <mergeCell ref="H222:I222"/>
    <mergeCell ref="A223:I223"/>
    <mergeCell ref="D224:E224"/>
    <mergeCell ref="H224:I224"/>
    <mergeCell ref="A225:G225"/>
    <mergeCell ref="H225:I225"/>
    <mergeCell ref="A226:I226"/>
    <mergeCell ref="D227:E227"/>
    <mergeCell ref="H227:I227"/>
    <mergeCell ref="A228:G228"/>
    <mergeCell ref="H228:I228"/>
    <mergeCell ref="A229:I229"/>
    <mergeCell ref="A230:I230"/>
    <mergeCell ref="A231:I231"/>
    <mergeCell ref="A232:I232"/>
    <mergeCell ref="A233:I233"/>
    <mergeCell ref="A234:I235"/>
    <mergeCell ref="A236:C236"/>
    <mergeCell ref="D236:E236"/>
    <mergeCell ref="G236:I236"/>
    <mergeCell ref="A237:C237"/>
    <mergeCell ref="D237:E237"/>
    <mergeCell ref="G237:I237"/>
    <mergeCell ref="A238:C238"/>
    <mergeCell ref="D238:E238"/>
    <mergeCell ref="G238:I238"/>
    <mergeCell ref="A239:C239"/>
    <mergeCell ref="D239:E239"/>
    <mergeCell ref="G239:I239"/>
    <mergeCell ref="A240:E240"/>
    <mergeCell ref="G240:I240"/>
    <mergeCell ref="A241:I241"/>
    <mergeCell ref="A242:C242"/>
    <mergeCell ref="D242:E242"/>
    <mergeCell ref="G242:I242"/>
    <mergeCell ref="A243:C243"/>
    <mergeCell ref="D243:E243"/>
    <mergeCell ref="G243:I243"/>
    <mergeCell ref="A244:C244"/>
    <mergeCell ref="D244:E244"/>
    <mergeCell ref="G244:I244"/>
    <mergeCell ref="A245:C245"/>
    <mergeCell ref="D245:E245"/>
    <mergeCell ref="G245:I245"/>
    <mergeCell ref="A246:E246"/>
    <mergeCell ref="G246:I246"/>
    <mergeCell ref="A247:I247"/>
    <mergeCell ref="A248:C248"/>
    <mergeCell ref="D248:E248"/>
    <mergeCell ref="G248:I248"/>
    <mergeCell ref="A249:C249"/>
    <mergeCell ref="D249:E249"/>
    <mergeCell ref="G249:I249"/>
    <mergeCell ref="A250:C250"/>
    <mergeCell ref="D250:E250"/>
    <mergeCell ref="G250:I250"/>
    <mergeCell ref="A251:E251"/>
    <mergeCell ref="G251:I251"/>
    <mergeCell ref="A252:I252"/>
    <mergeCell ref="A253:E253"/>
    <mergeCell ref="G253:I253"/>
    <mergeCell ref="A254:I254"/>
    <mergeCell ref="A255:F255"/>
    <mergeCell ref="G255:I255"/>
    <mergeCell ref="A256:I256"/>
    <mergeCell ref="A257:F257"/>
    <mergeCell ref="G257:I257"/>
    <mergeCell ref="A258:I258"/>
    <mergeCell ref="A259:F259"/>
    <mergeCell ref="G259:I259"/>
    <mergeCell ref="A260:I260"/>
    <mergeCell ref="A261:I261"/>
    <mergeCell ref="A262:G263"/>
    <mergeCell ref="H262:I263"/>
    <mergeCell ref="A264:G264"/>
    <mergeCell ref="H264:I264"/>
    <mergeCell ref="A265:I265"/>
    <mergeCell ref="A266:I267"/>
    <mergeCell ref="A268:I268"/>
    <mergeCell ref="A269:G269"/>
    <mergeCell ref="H269:I269"/>
    <mergeCell ref="A270:G270"/>
    <mergeCell ref="H270:I27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2"/>
  <sheetViews>
    <sheetView zoomScale="110" zoomScaleNormal="110" workbookViewId="0" topLeftCell="A190">
      <selection activeCell="A3" sqref="A3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13.140625" style="1" customWidth="1"/>
    <col min="4" max="4" width="10.140625" style="1" customWidth="1"/>
    <col min="5" max="5" width="12.28125" style="1" customWidth="1"/>
    <col min="6" max="6" width="11.140625" style="1" customWidth="1"/>
    <col min="7" max="7" width="9.7109375" style="1" customWidth="1"/>
    <col min="8" max="8" width="12.421875" style="1" customWidth="1"/>
    <col min="9" max="9" width="15.28125" style="2" customWidth="1"/>
    <col min="10" max="10" width="10.57421875" style="1" customWidth="1"/>
    <col min="11" max="11" width="11.140625" style="1" customWidth="1"/>
    <col min="12" max="12" width="7.28125" style="1" customWidth="1"/>
    <col min="13" max="13" width="6.421875" style="1" customWidth="1"/>
    <col min="14" max="15" width="9.140625" style="1" customWidth="1"/>
    <col min="16" max="16384" width="9.140625" style="1" customWidth="1"/>
  </cols>
  <sheetData>
    <row r="2" spans="1:9" ht="23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0" ht="4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5.75" customHeight="1">
      <c r="A4" s="6" t="s">
        <v>2</v>
      </c>
      <c r="B4" s="6"/>
      <c r="C4" s="6"/>
      <c r="D4" s="6"/>
      <c r="E4" s="6"/>
      <c r="F4" s="7" t="s">
        <v>3</v>
      </c>
      <c r="G4" s="7"/>
      <c r="H4" s="7"/>
      <c r="I4" s="7"/>
    </row>
    <row r="5" spans="1:9" ht="15.75" customHeight="1">
      <c r="A5" s="6" t="s">
        <v>4</v>
      </c>
      <c r="B5" s="6"/>
      <c r="C5" s="6"/>
      <c r="D5" s="6"/>
      <c r="E5" s="6"/>
      <c r="F5" s="7" t="s">
        <v>5</v>
      </c>
      <c r="G5" s="7"/>
      <c r="H5" s="7"/>
      <c r="I5" s="7"/>
    </row>
    <row r="6" spans="1:9" ht="15.75" customHeight="1">
      <c r="A6" s="6" t="s">
        <v>6</v>
      </c>
      <c r="B6" s="6"/>
      <c r="C6" s="6"/>
      <c r="D6" s="6"/>
      <c r="E6" s="6"/>
      <c r="F6" s="6"/>
      <c r="G6" s="6"/>
      <c r="H6" s="6"/>
      <c r="I6" s="6"/>
    </row>
    <row r="7" spans="1:9" ht="20.25" customHeight="1">
      <c r="A7" s="8" t="s">
        <v>7</v>
      </c>
      <c r="B7" s="8"/>
      <c r="C7" s="8"/>
      <c r="D7" s="8"/>
      <c r="E7" s="8"/>
      <c r="F7" s="8"/>
      <c r="G7" s="8"/>
      <c r="H7" s="8"/>
      <c r="I7" s="8"/>
    </row>
    <row r="8" spans="1:9" ht="15.75" customHeight="1">
      <c r="A8" s="9" t="s">
        <v>8</v>
      </c>
      <c r="B8" s="6" t="s">
        <v>9</v>
      </c>
      <c r="C8" s="6"/>
      <c r="D8" s="6"/>
      <c r="E8" s="6"/>
      <c r="F8" s="6"/>
      <c r="G8" s="6"/>
      <c r="H8" s="10" t="s">
        <v>10</v>
      </c>
      <c r="I8" s="10"/>
    </row>
    <row r="9" spans="1:9" ht="15.75" customHeight="1">
      <c r="A9" s="9" t="s">
        <v>11</v>
      </c>
      <c r="B9" s="6" t="s">
        <v>12</v>
      </c>
      <c r="C9" s="6"/>
      <c r="D9" s="6"/>
      <c r="E9" s="6"/>
      <c r="F9" s="6"/>
      <c r="G9" s="6"/>
      <c r="H9" s="11" t="s">
        <v>13</v>
      </c>
      <c r="I9" s="11"/>
    </row>
    <row r="10" spans="1:9" ht="48.75" customHeight="1">
      <c r="A10" s="9" t="s">
        <v>14</v>
      </c>
      <c r="B10" s="6" t="s">
        <v>15</v>
      </c>
      <c r="C10" s="6"/>
      <c r="D10" s="6"/>
      <c r="E10" s="6"/>
      <c r="F10" s="6"/>
      <c r="G10" s="6"/>
      <c r="H10" s="11" t="s">
        <v>16</v>
      </c>
      <c r="I10" s="11"/>
    </row>
    <row r="11" spans="1:9" ht="15.75" customHeight="1">
      <c r="A11" s="9" t="s">
        <v>17</v>
      </c>
      <c r="B11" s="6" t="s">
        <v>18</v>
      </c>
      <c r="C11" s="6"/>
      <c r="D11" s="6"/>
      <c r="E11" s="6"/>
      <c r="F11" s="6"/>
      <c r="G11" s="6"/>
      <c r="H11" s="11">
        <v>12</v>
      </c>
      <c r="I11" s="11"/>
    </row>
    <row r="12" spans="1:9" ht="25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</row>
    <row r="13" spans="1:9" ht="59.25" customHeight="1">
      <c r="A13" s="13" t="s">
        <v>245</v>
      </c>
      <c r="B13" s="13"/>
      <c r="C13" s="13"/>
      <c r="D13" s="13"/>
      <c r="E13" s="13"/>
      <c r="F13" s="14" t="s">
        <v>21</v>
      </c>
      <c r="G13" s="14"/>
      <c r="H13" s="14" t="s">
        <v>22</v>
      </c>
      <c r="I13" s="14"/>
    </row>
    <row r="14" spans="1:9" ht="12.75" customHeight="1">
      <c r="A14" s="15" t="s">
        <v>23</v>
      </c>
      <c r="B14" s="15"/>
      <c r="C14" s="15"/>
      <c r="D14" s="15"/>
      <c r="E14" s="15"/>
      <c r="F14" s="16" t="s">
        <v>24</v>
      </c>
      <c r="G14" s="16"/>
      <c r="H14" s="234">
        <v>580</v>
      </c>
      <c r="I14" s="234"/>
    </row>
    <row r="15" spans="1:9" ht="27" customHeight="1">
      <c r="A15" s="235" t="s">
        <v>246</v>
      </c>
      <c r="B15" s="235"/>
      <c r="C15" s="235"/>
      <c r="D15" s="235"/>
      <c r="E15" s="235"/>
      <c r="F15" s="16" t="s">
        <v>24</v>
      </c>
      <c r="G15" s="16"/>
      <c r="H15" s="234">
        <v>408.22</v>
      </c>
      <c r="I15" s="234"/>
    </row>
    <row r="16" spans="1:9" ht="12.75" customHeight="1">
      <c r="A16" s="19" t="s">
        <v>31</v>
      </c>
      <c r="B16" s="19"/>
      <c r="C16" s="19"/>
      <c r="D16" s="19"/>
      <c r="E16" s="19"/>
      <c r="F16" s="19"/>
      <c r="G16" s="19"/>
      <c r="H16" s="20">
        <f>ROUND(H14+H15,2)</f>
        <v>988.22</v>
      </c>
      <c r="I16" s="20"/>
    </row>
    <row r="17" spans="1:9" ht="8.2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7.5" customHeight="1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2.75" customHeight="1">
      <c r="A19" s="29" t="s">
        <v>41</v>
      </c>
      <c r="B19" s="29"/>
      <c r="C19" s="29"/>
      <c r="D19" s="29"/>
      <c r="E19" s="29"/>
      <c r="F19" s="29"/>
      <c r="G19" s="29"/>
      <c r="H19" s="30">
        <f>ROUND(H16,2)</f>
        <v>988.22</v>
      </c>
      <c r="I19" s="30"/>
    </row>
    <row r="20" spans="1:12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2"/>
      <c r="K20" s="33"/>
      <c r="L20" s="34"/>
    </row>
    <row r="21" spans="1:12" ht="48" customHeight="1">
      <c r="A21" s="35" t="s">
        <v>42</v>
      </c>
      <c r="B21" s="35"/>
      <c r="C21" s="35"/>
      <c r="D21" s="35"/>
      <c r="E21" s="35"/>
      <c r="F21" s="35"/>
      <c r="G21" s="35"/>
      <c r="H21" s="35"/>
      <c r="I21" s="35"/>
      <c r="J21" s="32"/>
      <c r="K21" s="33"/>
      <c r="L21" s="34"/>
    </row>
    <row r="22" spans="1:12" ht="7.5" customHeight="1">
      <c r="A22" s="31"/>
      <c r="B22" s="31"/>
      <c r="C22" s="31"/>
      <c r="D22" s="31"/>
      <c r="E22" s="31"/>
      <c r="F22" s="31"/>
      <c r="G22" s="31"/>
      <c r="H22" s="31"/>
      <c r="I22" s="31"/>
      <c r="J22" s="32"/>
      <c r="K22" s="33"/>
      <c r="L22" s="34"/>
    </row>
    <row r="23" spans="1:12" ht="54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2"/>
      <c r="K23" s="33"/>
      <c r="L23" s="34"/>
    </row>
    <row r="24" spans="1:12" ht="9.75" customHeight="1">
      <c r="A24" s="37"/>
      <c r="B24" s="37"/>
      <c r="C24" s="37"/>
      <c r="D24" s="37"/>
      <c r="E24" s="37"/>
      <c r="F24" s="37"/>
      <c r="G24" s="37"/>
      <c r="H24" s="37"/>
      <c r="I24" s="37"/>
      <c r="J24" s="32"/>
      <c r="K24" s="33"/>
      <c r="L24" s="34"/>
    </row>
    <row r="25" spans="1:9" s="38" customFormat="1" ht="21.75" customHeight="1">
      <c r="A25" s="8" t="s">
        <v>44</v>
      </c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9">
        <v>1</v>
      </c>
      <c r="B26" s="6" t="s">
        <v>45</v>
      </c>
      <c r="C26" s="6"/>
      <c r="D26" s="6"/>
      <c r="E26" s="6"/>
      <c r="F26" s="6"/>
      <c r="G26" s="6"/>
      <c r="H26" s="39" t="s">
        <v>46</v>
      </c>
      <c r="I26" s="39"/>
    </row>
    <row r="27" spans="1:9" ht="15.75" customHeight="1">
      <c r="A27" s="9">
        <v>2</v>
      </c>
      <c r="B27" s="6" t="s">
        <v>47</v>
      </c>
      <c r="C27" s="6"/>
      <c r="D27" s="6"/>
      <c r="E27" s="6"/>
      <c r="F27" s="6"/>
      <c r="G27" s="6"/>
      <c r="H27" s="40">
        <v>5143</v>
      </c>
      <c r="I27" s="40"/>
    </row>
    <row r="28" spans="1:9" ht="15.75" customHeight="1">
      <c r="A28" s="9">
        <v>3</v>
      </c>
      <c r="B28" s="6" t="s">
        <v>48</v>
      </c>
      <c r="C28" s="6"/>
      <c r="D28" s="6"/>
      <c r="E28" s="6"/>
      <c r="F28" s="6"/>
      <c r="G28" s="6"/>
      <c r="H28" s="39">
        <v>1314.09</v>
      </c>
      <c r="I28" s="39"/>
    </row>
    <row r="29" spans="1:9" ht="15.75" customHeight="1">
      <c r="A29" s="9">
        <v>4</v>
      </c>
      <c r="B29" s="6" t="s">
        <v>49</v>
      </c>
      <c r="C29" s="6"/>
      <c r="D29" s="6"/>
      <c r="E29" s="6"/>
      <c r="F29" s="6"/>
      <c r="G29" s="6"/>
      <c r="H29" s="41" t="s">
        <v>50</v>
      </c>
      <c r="I29" s="41"/>
    </row>
    <row r="30" spans="1:9" ht="15.75" customHeight="1">
      <c r="A30" s="9">
        <v>5</v>
      </c>
      <c r="B30" s="6" t="s">
        <v>51</v>
      </c>
      <c r="C30" s="6"/>
      <c r="D30" s="6"/>
      <c r="E30" s="6"/>
      <c r="F30" s="6"/>
      <c r="G30" s="6"/>
      <c r="H30" s="41" t="s">
        <v>52</v>
      </c>
      <c r="I30" s="41"/>
    </row>
    <row r="31" spans="1:9" ht="9" customHeight="1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22.5" customHeight="1">
      <c r="A32" s="43" t="s">
        <v>53</v>
      </c>
      <c r="B32" s="43"/>
      <c r="C32" s="43"/>
      <c r="D32" s="43"/>
      <c r="E32" s="43"/>
      <c r="F32" s="43"/>
      <c r="G32" s="43"/>
      <c r="H32" s="43"/>
      <c r="I32" s="43"/>
    </row>
    <row r="33" spans="1:9" ht="9" customHeight="1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22.5" customHeight="1">
      <c r="A34" s="45" t="s">
        <v>54</v>
      </c>
      <c r="B34" s="45"/>
      <c r="C34" s="45"/>
      <c r="D34" s="45"/>
      <c r="E34" s="45"/>
      <c r="F34" s="45"/>
      <c r="G34" s="45"/>
      <c r="H34" s="45"/>
      <c r="I34" s="45"/>
    </row>
    <row r="35" spans="1:9" s="48" customFormat="1" ht="30" customHeight="1">
      <c r="A35" s="46">
        <v>1</v>
      </c>
      <c r="B35" s="47" t="s">
        <v>55</v>
      </c>
      <c r="C35" s="47"/>
      <c r="D35" s="47"/>
      <c r="E35" s="47"/>
      <c r="F35" s="47"/>
      <c r="G35" s="47"/>
      <c r="H35" s="46" t="s">
        <v>56</v>
      </c>
      <c r="I35" s="46" t="s">
        <v>57</v>
      </c>
    </row>
    <row r="36" spans="1:9" ht="27.75" customHeight="1">
      <c r="A36" s="9" t="s">
        <v>8</v>
      </c>
      <c r="B36" s="6" t="s">
        <v>58</v>
      </c>
      <c r="C36" s="6"/>
      <c r="D36" s="6"/>
      <c r="E36" s="6"/>
      <c r="F36" s="6"/>
      <c r="G36" s="6"/>
      <c r="H36" s="6"/>
      <c r="I36" s="49">
        <f>H28</f>
        <v>1314.09</v>
      </c>
    </row>
    <row r="37" spans="1:9" ht="15.75" customHeight="1">
      <c r="A37" s="9" t="s">
        <v>11</v>
      </c>
      <c r="B37" s="50" t="s">
        <v>59</v>
      </c>
      <c r="C37" s="50"/>
      <c r="D37" s="50"/>
      <c r="E37" s="50"/>
      <c r="F37" s="50"/>
      <c r="G37" s="50"/>
      <c r="H37" s="51"/>
      <c r="I37" s="49"/>
    </row>
    <row r="38" spans="1:9" ht="14.25" customHeight="1">
      <c r="A38" s="9" t="s">
        <v>14</v>
      </c>
      <c r="B38" s="52" t="s">
        <v>247</v>
      </c>
      <c r="C38" s="52"/>
      <c r="D38" s="52"/>
      <c r="E38" s="52"/>
      <c r="F38" s="52"/>
      <c r="G38" s="52"/>
      <c r="H38" s="53">
        <v>0.4</v>
      </c>
      <c r="I38" s="49">
        <f>ROUND(H38*I36,2)</f>
        <v>525.64</v>
      </c>
    </row>
    <row r="39" spans="1:9" ht="15.75" customHeight="1">
      <c r="A39" s="54" t="s">
        <v>61</v>
      </c>
      <c r="B39" s="54"/>
      <c r="C39" s="54"/>
      <c r="D39" s="54"/>
      <c r="E39" s="54"/>
      <c r="F39" s="54"/>
      <c r="G39" s="54"/>
      <c r="H39" s="54"/>
      <c r="I39" s="55">
        <f>SUM(I36:I38)</f>
        <v>1839.73</v>
      </c>
    </row>
    <row r="40" spans="1:9" ht="9.75" customHeight="1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20.25" customHeight="1">
      <c r="A41" s="57" t="s">
        <v>62</v>
      </c>
      <c r="B41" s="57"/>
      <c r="C41" s="57"/>
      <c r="D41" s="57"/>
      <c r="E41" s="57"/>
      <c r="F41" s="57"/>
      <c r="G41" s="57"/>
      <c r="H41" s="57"/>
      <c r="I41" s="57"/>
    </row>
    <row r="42" spans="1:9" ht="10.5" customHeight="1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21.75" customHeight="1">
      <c r="A43" s="59" t="s">
        <v>63</v>
      </c>
      <c r="B43" s="59"/>
      <c r="C43" s="59"/>
      <c r="D43" s="59"/>
      <c r="E43" s="59"/>
      <c r="F43" s="59"/>
      <c r="G43" s="59"/>
      <c r="H43" s="59"/>
      <c r="I43" s="59"/>
    </row>
    <row r="44" spans="1:9" ht="25.5" customHeight="1">
      <c r="A44" s="60" t="s">
        <v>64</v>
      </c>
      <c r="B44" s="60"/>
      <c r="C44" s="60"/>
      <c r="D44" s="60"/>
      <c r="E44" s="60"/>
      <c r="F44" s="60"/>
      <c r="G44" s="60"/>
      <c r="H44" s="60"/>
      <c r="I44" s="60"/>
    </row>
    <row r="45" spans="1:9" ht="25.5" customHeight="1">
      <c r="A45" s="61" t="s">
        <v>65</v>
      </c>
      <c r="B45" s="61" t="s">
        <v>66</v>
      </c>
      <c r="C45" s="61"/>
      <c r="D45" s="61"/>
      <c r="E45" s="61"/>
      <c r="F45" s="61"/>
      <c r="G45" s="61"/>
      <c r="H45" s="61"/>
      <c r="I45" s="12" t="s">
        <v>67</v>
      </c>
    </row>
    <row r="46" spans="1:9" ht="25.5" customHeight="1">
      <c r="A46" s="62" t="s">
        <v>8</v>
      </c>
      <c r="B46" s="50" t="s">
        <v>68</v>
      </c>
      <c r="C46" s="50"/>
      <c r="D46" s="50"/>
      <c r="E46" s="50"/>
      <c r="F46" s="50"/>
      <c r="G46" s="50"/>
      <c r="H46" s="51">
        <v>0.0833</v>
      </c>
      <c r="I46" s="17">
        <f aca="true" t="shared" si="0" ref="I46:I47">ROUND($I$39*H46,2)</f>
        <v>153.25</v>
      </c>
    </row>
    <row r="47" spans="1:9" ht="103.5" customHeight="1">
      <c r="A47" s="62" t="s">
        <v>11</v>
      </c>
      <c r="B47" s="63" t="s">
        <v>69</v>
      </c>
      <c r="C47" s="63"/>
      <c r="D47" s="63"/>
      <c r="E47" s="63"/>
      <c r="F47" s="63"/>
      <c r="G47" s="63"/>
      <c r="H47" s="64">
        <v>0.03025</v>
      </c>
      <c r="I47" s="17">
        <f t="shared" si="0"/>
        <v>55.65</v>
      </c>
    </row>
    <row r="48" spans="1:9" ht="19.5" customHeight="1">
      <c r="A48" s="65" t="s">
        <v>70</v>
      </c>
      <c r="B48" s="65"/>
      <c r="C48" s="65"/>
      <c r="D48" s="65"/>
      <c r="E48" s="65"/>
      <c r="F48" s="65"/>
      <c r="G48" s="65"/>
      <c r="H48" s="65"/>
      <c r="I48" s="66">
        <f>SUM(I46+I47)</f>
        <v>208.9</v>
      </c>
    </row>
    <row r="49" spans="1:9" s="5" customFormat="1" ht="10.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85.5" customHeight="1">
      <c r="A50" s="35" t="s">
        <v>71</v>
      </c>
      <c r="B50" s="35"/>
      <c r="C50" s="35"/>
      <c r="D50" s="35"/>
      <c r="E50" s="35"/>
      <c r="F50" s="35"/>
      <c r="G50" s="35"/>
      <c r="H50" s="35"/>
      <c r="I50" s="35"/>
    </row>
    <row r="51" spans="1:9" ht="11.25" customHeight="1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32.25" customHeight="1">
      <c r="A52" s="69" t="s">
        <v>72</v>
      </c>
      <c r="B52" s="69"/>
      <c r="C52" s="69"/>
      <c r="D52" s="69"/>
      <c r="E52" s="69"/>
      <c r="F52" s="69"/>
      <c r="G52" s="69"/>
      <c r="H52" s="69"/>
      <c r="I52" s="69"/>
    </row>
    <row r="53" spans="1:9" ht="30" customHeight="1">
      <c r="A53" s="70" t="s">
        <v>73</v>
      </c>
      <c r="B53" s="47" t="s">
        <v>74</v>
      </c>
      <c r="C53" s="47"/>
      <c r="D53" s="47"/>
      <c r="E53" s="47"/>
      <c r="F53" s="47"/>
      <c r="G53" s="47"/>
      <c r="H53" s="47" t="s">
        <v>75</v>
      </c>
      <c r="I53" s="47" t="s">
        <v>76</v>
      </c>
    </row>
    <row r="54" spans="1:9" ht="15.75" customHeight="1">
      <c r="A54" s="71" t="s">
        <v>8</v>
      </c>
      <c r="B54" s="6" t="s">
        <v>77</v>
      </c>
      <c r="C54" s="6"/>
      <c r="D54" s="6"/>
      <c r="E54" s="6"/>
      <c r="F54" s="6"/>
      <c r="G54" s="6"/>
      <c r="H54" s="72">
        <v>0.2</v>
      </c>
      <c r="I54" s="73">
        <f aca="true" t="shared" si="1" ref="I54:I61">ROUND(($I$39+$I$48)*H54,2)</f>
        <v>409.73</v>
      </c>
    </row>
    <row r="55" spans="1:9" ht="15.75" customHeight="1">
      <c r="A55" s="71" t="s">
        <v>11</v>
      </c>
      <c r="B55" s="6" t="s">
        <v>78</v>
      </c>
      <c r="C55" s="6"/>
      <c r="D55" s="6"/>
      <c r="E55" s="6"/>
      <c r="F55" s="6"/>
      <c r="G55" s="6"/>
      <c r="H55" s="72">
        <v>0.025</v>
      </c>
      <c r="I55" s="73">
        <f t="shared" si="1"/>
        <v>51.22</v>
      </c>
    </row>
    <row r="56" spans="1:9" ht="48.75" customHeight="1">
      <c r="A56" s="71" t="s">
        <v>14</v>
      </c>
      <c r="B56" s="6" t="s">
        <v>79</v>
      </c>
      <c r="C56" s="6"/>
      <c r="D56" s="74" t="s">
        <v>80</v>
      </c>
      <c r="E56" s="75">
        <v>0.03</v>
      </c>
      <c r="F56" s="74" t="s">
        <v>81</v>
      </c>
      <c r="G56" s="76">
        <v>1</v>
      </c>
      <c r="H56" s="77">
        <f>ROUND((E56*G56),6)</f>
        <v>0.03</v>
      </c>
      <c r="I56" s="73">
        <f t="shared" si="1"/>
        <v>61.46</v>
      </c>
    </row>
    <row r="57" spans="1:9" ht="15.75" customHeight="1">
      <c r="A57" s="71" t="s">
        <v>17</v>
      </c>
      <c r="B57" s="6" t="s">
        <v>82</v>
      </c>
      <c r="C57" s="6"/>
      <c r="D57" s="6"/>
      <c r="E57" s="6"/>
      <c r="F57" s="6"/>
      <c r="G57" s="6"/>
      <c r="H57" s="72">
        <v>0.015</v>
      </c>
      <c r="I57" s="73">
        <f t="shared" si="1"/>
        <v>30.73</v>
      </c>
    </row>
    <row r="58" spans="1:9" ht="15.75" customHeight="1">
      <c r="A58" s="71" t="s">
        <v>83</v>
      </c>
      <c r="B58" s="6" t="s">
        <v>84</v>
      </c>
      <c r="C58" s="6"/>
      <c r="D58" s="6"/>
      <c r="E58" s="6"/>
      <c r="F58" s="6"/>
      <c r="G58" s="6"/>
      <c r="H58" s="72">
        <v>0.01</v>
      </c>
      <c r="I58" s="73">
        <f t="shared" si="1"/>
        <v>20.49</v>
      </c>
    </row>
    <row r="59" spans="1:9" ht="15.75" customHeight="1">
      <c r="A59" s="71" t="s">
        <v>85</v>
      </c>
      <c r="B59" s="6" t="s">
        <v>86</v>
      </c>
      <c r="C59" s="6"/>
      <c r="D59" s="6"/>
      <c r="E59" s="6"/>
      <c r="F59" s="6"/>
      <c r="G59" s="6"/>
      <c r="H59" s="72">
        <v>0.006</v>
      </c>
      <c r="I59" s="73">
        <f t="shared" si="1"/>
        <v>12.29</v>
      </c>
    </row>
    <row r="60" spans="1:9" ht="20.25" customHeight="1">
      <c r="A60" s="71" t="s">
        <v>87</v>
      </c>
      <c r="B60" s="6" t="s">
        <v>88</v>
      </c>
      <c r="C60" s="6"/>
      <c r="D60" s="6"/>
      <c r="E60" s="6"/>
      <c r="F60" s="6"/>
      <c r="G60" s="6"/>
      <c r="H60" s="72">
        <v>0.002</v>
      </c>
      <c r="I60" s="73">
        <f t="shared" si="1"/>
        <v>4.1</v>
      </c>
    </row>
    <row r="61" spans="1:9" ht="15.75" customHeight="1">
      <c r="A61" s="71" t="s">
        <v>89</v>
      </c>
      <c r="B61" s="6" t="s">
        <v>90</v>
      </c>
      <c r="C61" s="6"/>
      <c r="D61" s="6"/>
      <c r="E61" s="6"/>
      <c r="F61" s="6"/>
      <c r="G61" s="6"/>
      <c r="H61" s="72">
        <v>0.08</v>
      </c>
      <c r="I61" s="73">
        <f t="shared" si="1"/>
        <v>163.89</v>
      </c>
    </row>
    <row r="62" spans="1:9" ht="15.75" customHeight="1">
      <c r="A62" s="65" t="s">
        <v>70</v>
      </c>
      <c r="B62" s="65"/>
      <c r="C62" s="65"/>
      <c r="D62" s="65"/>
      <c r="E62" s="65"/>
      <c r="F62" s="65"/>
      <c r="G62" s="65"/>
      <c r="H62" s="78">
        <f>SUM(H54:H61)</f>
        <v>0.368</v>
      </c>
      <c r="I62" s="79">
        <f>SUM(I54:I61)</f>
        <v>753.91</v>
      </c>
    </row>
    <row r="63" spans="1:9" ht="8.25" customHeight="1">
      <c r="A63" s="80"/>
      <c r="B63" s="81"/>
      <c r="C63" s="81"/>
      <c r="D63" s="81"/>
      <c r="E63" s="81"/>
      <c r="F63" s="81"/>
      <c r="G63" s="81"/>
      <c r="H63" s="82"/>
      <c r="I63" s="83"/>
    </row>
    <row r="64" spans="1:9" ht="35.25" customHeight="1">
      <c r="A64" s="35" t="s">
        <v>91</v>
      </c>
      <c r="B64" s="35"/>
      <c r="C64" s="35"/>
      <c r="D64" s="35"/>
      <c r="E64" s="35"/>
      <c r="F64" s="35"/>
      <c r="G64" s="35"/>
      <c r="H64" s="35"/>
      <c r="I64" s="35"/>
    </row>
    <row r="65" spans="1:9" ht="7.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8" customHeight="1">
      <c r="A66" s="84" t="s">
        <v>92</v>
      </c>
      <c r="B66" s="84"/>
      <c r="C66" s="84"/>
      <c r="D66" s="84"/>
      <c r="E66" s="84"/>
      <c r="F66" s="84"/>
      <c r="G66" s="84"/>
      <c r="H66" s="84"/>
      <c r="I66" s="84"/>
    </row>
    <row r="67" spans="1:9" ht="18.75" customHeight="1">
      <c r="A67" s="85" t="s">
        <v>93</v>
      </c>
      <c r="B67" s="47" t="s">
        <v>94</v>
      </c>
      <c r="C67" s="47"/>
      <c r="D67" s="47"/>
      <c r="E67" s="47"/>
      <c r="F67" s="47"/>
      <c r="G67" s="47"/>
      <c r="H67" s="47"/>
      <c r="I67" s="47" t="s">
        <v>67</v>
      </c>
    </row>
    <row r="68" spans="1:9" ht="15.75" customHeight="1">
      <c r="A68" s="62" t="s">
        <v>8</v>
      </c>
      <c r="B68" s="86" t="s">
        <v>95</v>
      </c>
      <c r="C68" s="86"/>
      <c r="D68" s="86"/>
      <c r="E68" s="86"/>
      <c r="F68" s="86"/>
      <c r="G68" s="86"/>
      <c r="H68" s="86"/>
      <c r="I68" s="73">
        <f>IF(ROUND((H71*H69*H70)-(I36*H72),2)&lt;0,0,ROUND((H71*H69*H70)-(I36*H72),2))</f>
        <v>167.55</v>
      </c>
    </row>
    <row r="69" spans="1:9" ht="22.5" customHeight="1">
      <c r="A69" s="62"/>
      <c r="B69" s="87" t="s">
        <v>96</v>
      </c>
      <c r="C69" s="87"/>
      <c r="D69" s="87"/>
      <c r="E69" s="87"/>
      <c r="F69" s="87"/>
      <c r="G69" s="87"/>
      <c r="H69" s="88">
        <v>5.6</v>
      </c>
      <c r="I69" s="89" t="s">
        <v>97</v>
      </c>
    </row>
    <row r="70" spans="1:9" ht="17.25" customHeight="1">
      <c r="A70" s="62"/>
      <c r="B70" s="90" t="s">
        <v>98</v>
      </c>
      <c r="C70" s="90"/>
      <c r="D70" s="90"/>
      <c r="E70" s="90"/>
      <c r="F70" s="90"/>
      <c r="G70" s="90"/>
      <c r="H70" s="91">
        <v>2</v>
      </c>
      <c r="I70" s="89"/>
    </row>
    <row r="71" spans="1:9" ht="15" customHeight="1">
      <c r="A71" s="62"/>
      <c r="B71" s="90" t="s">
        <v>99</v>
      </c>
      <c r="C71" s="90"/>
      <c r="D71" s="90"/>
      <c r="E71" s="90"/>
      <c r="F71" s="90"/>
      <c r="G71" s="90"/>
      <c r="H71" s="92">
        <v>22</v>
      </c>
      <c r="I71" s="89"/>
    </row>
    <row r="72" spans="1:9" ht="25.5" customHeight="1">
      <c r="A72" s="62"/>
      <c r="B72" s="93" t="s">
        <v>100</v>
      </c>
      <c r="C72" s="93"/>
      <c r="D72" s="93"/>
      <c r="E72" s="93"/>
      <c r="F72" s="93"/>
      <c r="G72" s="93"/>
      <c r="H72" s="94">
        <v>0.06</v>
      </c>
      <c r="I72" s="90"/>
    </row>
    <row r="73" spans="1:9" ht="15.75" customHeight="1">
      <c r="A73" s="62" t="s">
        <v>11</v>
      </c>
      <c r="B73" s="86" t="s">
        <v>101</v>
      </c>
      <c r="C73" s="86"/>
      <c r="D73" s="86"/>
      <c r="E73" s="86"/>
      <c r="F73" s="86"/>
      <c r="G73" s="86"/>
      <c r="H73" s="86"/>
      <c r="I73" s="73">
        <f>ROUND(H75*H74*(1-H76),2)</f>
        <v>359.61</v>
      </c>
    </row>
    <row r="74" spans="1:9" ht="15.75" customHeight="1">
      <c r="A74" s="62"/>
      <c r="B74" s="87" t="s">
        <v>102</v>
      </c>
      <c r="C74" s="87"/>
      <c r="D74" s="87"/>
      <c r="E74" s="87"/>
      <c r="F74" s="87"/>
      <c r="G74" s="87"/>
      <c r="H74" s="88">
        <v>20.18</v>
      </c>
      <c r="I74" s="89" t="s">
        <v>97</v>
      </c>
    </row>
    <row r="75" spans="1:9" ht="15.75" customHeight="1">
      <c r="A75" s="95"/>
      <c r="B75" s="87" t="s">
        <v>103</v>
      </c>
      <c r="C75" s="87"/>
      <c r="D75" s="87"/>
      <c r="E75" s="87"/>
      <c r="F75" s="87"/>
      <c r="G75" s="87"/>
      <c r="H75" s="92">
        <v>22</v>
      </c>
      <c r="I75" s="89"/>
    </row>
    <row r="76" spans="1:9" ht="15.75" customHeight="1">
      <c r="A76" s="95"/>
      <c r="B76" s="96" t="s">
        <v>104</v>
      </c>
      <c r="C76" s="96"/>
      <c r="D76" s="96"/>
      <c r="E76" s="96"/>
      <c r="F76" s="96"/>
      <c r="G76" s="96"/>
      <c r="H76" s="97">
        <v>0.19</v>
      </c>
      <c r="I76" s="89"/>
    </row>
    <row r="77" spans="1:9" ht="15.75" customHeight="1">
      <c r="A77" s="62" t="s">
        <v>14</v>
      </c>
      <c r="B77" s="86" t="s">
        <v>105</v>
      </c>
      <c r="C77" s="86"/>
      <c r="D77" s="86"/>
      <c r="E77" s="86"/>
      <c r="F77" s="86"/>
      <c r="G77" s="86"/>
      <c r="H77" s="86"/>
      <c r="I77" s="73">
        <v>0</v>
      </c>
    </row>
    <row r="78" spans="1:9" ht="30.75" customHeight="1">
      <c r="A78" s="62" t="s">
        <v>17</v>
      </c>
      <c r="B78" s="6" t="s">
        <v>106</v>
      </c>
      <c r="C78" s="6"/>
      <c r="D78" s="6"/>
      <c r="E78" s="6"/>
      <c r="F78" s="6"/>
      <c r="G78" s="6"/>
      <c r="H78" s="6"/>
      <c r="I78" s="22">
        <v>17.32</v>
      </c>
    </row>
    <row r="79" spans="1:9" ht="15.75" customHeight="1">
      <c r="A79" s="62" t="s">
        <v>83</v>
      </c>
      <c r="B79" s="98" t="s">
        <v>107</v>
      </c>
      <c r="C79" s="98"/>
      <c r="D79" s="98"/>
      <c r="E79" s="98"/>
      <c r="F79" s="98"/>
      <c r="G79" s="98"/>
      <c r="H79" s="98"/>
      <c r="I79" s="99" t="s">
        <v>97</v>
      </c>
    </row>
    <row r="80" spans="1:9" ht="15.75" customHeight="1">
      <c r="A80" s="100"/>
      <c r="B80" s="65" t="s">
        <v>61</v>
      </c>
      <c r="C80" s="65"/>
      <c r="D80" s="65"/>
      <c r="E80" s="65"/>
      <c r="F80" s="65"/>
      <c r="G80" s="65"/>
      <c r="H80" s="65"/>
      <c r="I80" s="79">
        <f>SUM(I68:I78)</f>
        <v>544.48</v>
      </c>
    </row>
    <row r="81" spans="1:9" ht="7.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36" customHeight="1">
      <c r="A82" s="43" t="s">
        <v>108</v>
      </c>
      <c r="B82" s="43"/>
      <c r="C82" s="43"/>
      <c r="D82" s="43"/>
      <c r="E82" s="43"/>
      <c r="F82" s="43"/>
      <c r="G82" s="43"/>
      <c r="H82" s="43"/>
      <c r="I82" s="43"/>
    </row>
    <row r="83" spans="1:9" ht="7.5" customHeight="1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21.75" customHeight="1">
      <c r="A84" s="45" t="s">
        <v>109</v>
      </c>
      <c r="B84" s="45"/>
      <c r="C84" s="45"/>
      <c r="D84" s="45"/>
      <c r="E84" s="45"/>
      <c r="F84" s="45"/>
      <c r="G84" s="45"/>
      <c r="H84" s="45"/>
      <c r="I84" s="45"/>
    </row>
    <row r="85" spans="1:9" ht="23.25" customHeight="1">
      <c r="A85" s="47">
        <v>2</v>
      </c>
      <c r="B85" s="47" t="s">
        <v>110</v>
      </c>
      <c r="C85" s="47"/>
      <c r="D85" s="47"/>
      <c r="E85" s="47"/>
      <c r="F85" s="47"/>
      <c r="G85" s="47"/>
      <c r="H85" s="47"/>
      <c r="I85" s="47" t="s">
        <v>67</v>
      </c>
    </row>
    <row r="86" spans="1:9" ht="21.75" customHeight="1">
      <c r="A86" s="101" t="s">
        <v>65</v>
      </c>
      <c r="B86" s="102" t="s">
        <v>111</v>
      </c>
      <c r="C86" s="102"/>
      <c r="D86" s="102"/>
      <c r="E86" s="102"/>
      <c r="F86" s="102"/>
      <c r="G86" s="102"/>
      <c r="H86" s="102"/>
      <c r="I86" s="103">
        <f>I48</f>
        <v>208.9</v>
      </c>
    </row>
    <row r="87" spans="1:9" ht="18.75" customHeight="1">
      <c r="A87" s="101" t="s">
        <v>73</v>
      </c>
      <c r="B87" s="102" t="s">
        <v>74</v>
      </c>
      <c r="C87" s="102"/>
      <c r="D87" s="102"/>
      <c r="E87" s="102"/>
      <c r="F87" s="102"/>
      <c r="G87" s="102"/>
      <c r="H87" s="102"/>
      <c r="I87" s="103">
        <f>I62</f>
        <v>753.91</v>
      </c>
    </row>
    <row r="88" spans="1:9" ht="21.75" customHeight="1">
      <c r="A88" s="101" t="s">
        <v>93</v>
      </c>
      <c r="B88" s="102" t="s">
        <v>94</v>
      </c>
      <c r="C88" s="102"/>
      <c r="D88" s="102"/>
      <c r="E88" s="102"/>
      <c r="F88" s="102"/>
      <c r="G88" s="102"/>
      <c r="H88" s="102"/>
      <c r="I88" s="103">
        <f>I80</f>
        <v>544.48</v>
      </c>
    </row>
    <row r="89" spans="1:9" ht="21.75" customHeight="1">
      <c r="A89" s="104" t="s">
        <v>70</v>
      </c>
      <c r="B89" s="104"/>
      <c r="C89" s="104"/>
      <c r="D89" s="104"/>
      <c r="E89" s="104"/>
      <c r="F89" s="104"/>
      <c r="G89" s="104"/>
      <c r="H89" s="104"/>
      <c r="I89" s="105">
        <f>SUM(I86+I87+I88)</f>
        <v>1507.29</v>
      </c>
    </row>
    <row r="90" spans="1:9" ht="12" customHeight="1">
      <c r="A90" s="106"/>
      <c r="B90" s="106"/>
      <c r="C90" s="106"/>
      <c r="D90" s="106"/>
      <c r="E90" s="106"/>
      <c r="F90" s="106"/>
      <c r="G90" s="106"/>
      <c r="H90" s="106"/>
      <c r="I90" s="106"/>
    </row>
    <row r="91" spans="1:9" ht="26.25" customHeight="1">
      <c r="A91" s="59" t="s">
        <v>112</v>
      </c>
      <c r="B91" s="59"/>
      <c r="C91" s="59"/>
      <c r="D91" s="59"/>
      <c r="E91" s="59"/>
      <c r="F91" s="59"/>
      <c r="G91" s="59"/>
      <c r="H91" s="59"/>
      <c r="I91" s="59"/>
    </row>
    <row r="92" spans="1:9" ht="28.5" customHeight="1">
      <c r="A92" s="85">
        <v>3</v>
      </c>
      <c r="B92" s="85" t="s">
        <v>113</v>
      </c>
      <c r="C92" s="85"/>
      <c r="D92" s="85"/>
      <c r="E92" s="85"/>
      <c r="F92" s="85"/>
      <c r="G92" s="85"/>
      <c r="H92" s="85"/>
      <c r="I92" s="85" t="s">
        <v>114</v>
      </c>
    </row>
    <row r="93" spans="1:9" ht="45" customHeight="1">
      <c r="A93" s="62" t="s">
        <v>8</v>
      </c>
      <c r="B93" s="107" t="s">
        <v>115</v>
      </c>
      <c r="C93" s="107"/>
      <c r="D93" s="107"/>
      <c r="E93" s="107"/>
      <c r="F93" s="107"/>
      <c r="G93" s="107"/>
      <c r="H93" s="107"/>
      <c r="I93" s="108">
        <f>ROUND((($I$39/12)+($I$46/12)+($I$39/12/12)+($I$47/12))*(30/30)*0.05,2)</f>
        <v>9.17</v>
      </c>
    </row>
    <row r="94" spans="1:9" ht="15.75" customHeight="1">
      <c r="A94" s="62" t="s">
        <v>11</v>
      </c>
      <c r="B94" s="109" t="s">
        <v>116</v>
      </c>
      <c r="C94" s="109"/>
      <c r="D94" s="109"/>
      <c r="E94" s="109"/>
      <c r="F94" s="109"/>
      <c r="G94" s="109"/>
      <c r="H94" s="109"/>
      <c r="I94" s="73">
        <f>ROUND($I$93*H61,2)</f>
        <v>0.73</v>
      </c>
    </row>
    <row r="95" spans="1:9" ht="37.5" customHeight="1">
      <c r="A95" s="62" t="s">
        <v>14</v>
      </c>
      <c r="B95" s="6" t="s">
        <v>248</v>
      </c>
      <c r="C95" s="6"/>
      <c r="D95" s="6"/>
      <c r="E95" s="6"/>
      <c r="F95" s="6"/>
      <c r="G95" s="6"/>
      <c r="H95" s="6"/>
      <c r="I95" s="73">
        <f>ROUND(((($I$39/30)*7)/$H$11)*1,2)</f>
        <v>35.77</v>
      </c>
    </row>
    <row r="96" spans="1:9" ht="15.75" customHeight="1">
      <c r="A96" s="62" t="s">
        <v>17</v>
      </c>
      <c r="B96" s="109" t="s">
        <v>118</v>
      </c>
      <c r="C96" s="109"/>
      <c r="D96" s="109"/>
      <c r="E96" s="109"/>
      <c r="F96" s="109"/>
      <c r="G96" s="109"/>
      <c r="H96" s="109"/>
      <c r="I96" s="73">
        <f>ROUND($H$62*I95,2)</f>
        <v>13.16</v>
      </c>
    </row>
    <row r="97" spans="1:9" ht="35.25" customHeight="1">
      <c r="A97" s="62" t="s">
        <v>83</v>
      </c>
      <c r="B97" s="6" t="s">
        <v>119</v>
      </c>
      <c r="C97" s="6"/>
      <c r="D97" s="6"/>
      <c r="E97" s="6"/>
      <c r="F97" s="6"/>
      <c r="G97" s="6"/>
      <c r="H97" s="110">
        <v>0.04</v>
      </c>
      <c r="I97" s="73">
        <f>ROUND($I$39*H97,2)</f>
        <v>73.59</v>
      </c>
    </row>
    <row r="98" spans="1:9" ht="15.75" customHeight="1">
      <c r="A98" s="65" t="s">
        <v>70</v>
      </c>
      <c r="B98" s="65"/>
      <c r="C98" s="65"/>
      <c r="D98" s="65"/>
      <c r="E98" s="65"/>
      <c r="F98" s="65"/>
      <c r="G98" s="65"/>
      <c r="H98" s="65"/>
      <c r="I98" s="79">
        <f>SUM(I93:I97)</f>
        <v>132.42000000000002</v>
      </c>
    </row>
    <row r="99" spans="1:9" ht="33.75" customHeight="1">
      <c r="A99" s="111" t="s">
        <v>120</v>
      </c>
      <c r="B99" s="111"/>
      <c r="C99" s="111"/>
      <c r="D99" s="111"/>
      <c r="E99" s="111"/>
      <c r="F99" s="111"/>
      <c r="G99" s="111"/>
      <c r="H99" s="111"/>
      <c r="I99" s="111"/>
    </row>
    <row r="100" spans="1:9" ht="10.5" customHeight="1">
      <c r="A100" s="112"/>
      <c r="B100" s="112"/>
      <c r="C100" s="112"/>
      <c r="D100" s="112"/>
      <c r="E100" s="112"/>
      <c r="F100" s="112"/>
      <c r="G100" s="112"/>
      <c r="H100" s="112"/>
      <c r="I100" s="112"/>
    </row>
    <row r="101" spans="1:9" ht="24" customHeight="1">
      <c r="A101" s="45" t="s">
        <v>121</v>
      </c>
      <c r="B101" s="45"/>
      <c r="C101" s="45"/>
      <c r="D101" s="45"/>
      <c r="E101" s="45"/>
      <c r="F101" s="45"/>
      <c r="G101" s="45"/>
      <c r="H101" s="45"/>
      <c r="I101" s="45"/>
    </row>
    <row r="102" spans="1:9" ht="27" customHeight="1">
      <c r="A102" s="35" t="s">
        <v>122</v>
      </c>
      <c r="B102" s="35"/>
      <c r="C102" s="35"/>
      <c r="D102" s="35"/>
      <c r="E102" s="35"/>
      <c r="F102" s="35"/>
      <c r="G102" s="35"/>
      <c r="H102" s="35"/>
      <c r="I102" s="35"/>
    </row>
    <row r="103" spans="1:9" ht="57.75" customHeight="1">
      <c r="A103" s="113" t="s">
        <v>123</v>
      </c>
      <c r="B103" s="113"/>
      <c r="C103" s="113"/>
      <c r="D103" s="113"/>
      <c r="E103" s="113"/>
      <c r="F103" s="113"/>
      <c r="G103" s="113"/>
      <c r="H103" s="113"/>
      <c r="I103" s="113"/>
    </row>
    <row r="104" spans="1:9" ht="8.25" customHeight="1">
      <c r="A104" s="114"/>
      <c r="B104" s="114"/>
      <c r="C104" s="114"/>
      <c r="D104" s="114"/>
      <c r="E104" s="114"/>
      <c r="F104" s="114"/>
      <c r="G104" s="114"/>
      <c r="H104" s="114"/>
      <c r="I104" s="114"/>
    </row>
    <row r="105" spans="1:9" ht="57" customHeight="1">
      <c r="A105" s="115" t="s">
        <v>124</v>
      </c>
      <c r="B105" s="116">
        <f>I39</f>
        <v>1839.73</v>
      </c>
      <c r="C105" s="117"/>
      <c r="D105" s="115" t="s">
        <v>125</v>
      </c>
      <c r="E105" s="116">
        <f>I89-I68-I73+I109</f>
        <v>1208.53</v>
      </c>
      <c r="F105" s="118"/>
      <c r="G105" s="115" t="s">
        <v>126</v>
      </c>
      <c r="H105" s="116">
        <f>I98</f>
        <v>132.42000000000002</v>
      </c>
      <c r="I105" s="119">
        <f>B105+E105+H105</f>
        <v>3180.6800000000003</v>
      </c>
    </row>
    <row r="106" spans="1:9" ht="7.5" customHeight="1">
      <c r="A106" s="120"/>
      <c r="B106" s="120"/>
      <c r="C106" s="120"/>
      <c r="D106" s="120"/>
      <c r="E106" s="120"/>
      <c r="F106" s="120"/>
      <c r="G106" s="120"/>
      <c r="H106" s="120"/>
      <c r="I106" s="120"/>
    </row>
    <row r="107" spans="1:9" ht="22.5" customHeight="1">
      <c r="A107" s="121" t="s">
        <v>127</v>
      </c>
      <c r="B107" s="121"/>
      <c r="C107" s="121"/>
      <c r="D107" s="121"/>
      <c r="E107" s="121"/>
      <c r="F107" s="121"/>
      <c r="G107" s="121"/>
      <c r="H107" s="121"/>
      <c r="I107" s="121"/>
    </row>
    <row r="108" spans="1:11" ht="15.75" customHeight="1">
      <c r="A108" s="122" t="s">
        <v>128</v>
      </c>
      <c r="B108" s="85" t="s">
        <v>129</v>
      </c>
      <c r="C108" s="85"/>
      <c r="D108" s="85"/>
      <c r="E108" s="85"/>
      <c r="F108" s="85"/>
      <c r="G108" s="85"/>
      <c r="H108" s="85"/>
      <c r="I108" s="122" t="s">
        <v>67</v>
      </c>
      <c r="K108" s="1">
        <f>H109*I105</f>
        <v>1170.49024</v>
      </c>
    </row>
    <row r="109" spans="1:12" ht="69" customHeight="1">
      <c r="A109" s="61" t="s">
        <v>8</v>
      </c>
      <c r="B109" s="123" t="s">
        <v>130</v>
      </c>
      <c r="C109" s="123"/>
      <c r="D109" s="123"/>
      <c r="E109" s="123"/>
      <c r="F109" s="123"/>
      <c r="G109" s="124">
        <v>0.09075</v>
      </c>
      <c r="H109" s="125">
        <f>H62</f>
        <v>0.368</v>
      </c>
      <c r="I109" s="73">
        <f>ROUND($B$105*G109+$B$105*G109*H109,2)</f>
        <v>228.4</v>
      </c>
      <c r="K109" s="1">
        <v>1390.6</v>
      </c>
      <c r="L109" s="25">
        <f>39.13+I109</f>
        <v>267.53000000000003</v>
      </c>
    </row>
    <row r="110" spans="1:11" ht="15.75" customHeight="1">
      <c r="A110" s="62" t="s">
        <v>11</v>
      </c>
      <c r="B110" s="6" t="s">
        <v>131</v>
      </c>
      <c r="C110" s="6"/>
      <c r="D110" s="6"/>
      <c r="E110" s="6"/>
      <c r="F110" s="6"/>
      <c r="G110" s="6"/>
      <c r="H110" s="6"/>
      <c r="I110" s="73">
        <f>ROUND((($I$105/30)*1)/12,2)</f>
        <v>8.84</v>
      </c>
      <c r="K110" s="1">
        <f>0.36*B105</f>
        <v>662.3027999999999</v>
      </c>
    </row>
    <row r="111" spans="1:11" ht="24" customHeight="1">
      <c r="A111" s="62" t="s">
        <v>14</v>
      </c>
      <c r="B111" s="6" t="s">
        <v>132</v>
      </c>
      <c r="C111" s="6"/>
      <c r="D111" s="6"/>
      <c r="E111" s="6"/>
      <c r="F111" s="6"/>
      <c r="G111" s="6"/>
      <c r="H111" s="6"/>
      <c r="I111" s="73">
        <f>ROUND((($I$105/30)*5)/12*0.015,2)</f>
        <v>0.66</v>
      </c>
      <c r="K111" s="1">
        <f>SUM(K109:K110)</f>
        <v>2052.9028</v>
      </c>
    </row>
    <row r="112" spans="1:11" ht="27.75" customHeight="1">
      <c r="A112" s="62" t="s">
        <v>17</v>
      </c>
      <c r="B112" s="6" t="s">
        <v>133</v>
      </c>
      <c r="C112" s="6"/>
      <c r="D112" s="6"/>
      <c r="E112" s="6"/>
      <c r="F112" s="6"/>
      <c r="G112" s="6"/>
      <c r="H112" s="6"/>
      <c r="I112" s="73">
        <f>ROUND(((($I$105/30)*15)/12)*0.0078,2)</f>
        <v>1.03</v>
      </c>
      <c r="K112" s="1">
        <f>K111*H109</f>
        <v>755.4682303999999</v>
      </c>
    </row>
    <row r="113" spans="1:9" ht="39" customHeight="1">
      <c r="A113" s="62" t="s">
        <v>83</v>
      </c>
      <c r="B113" s="6" t="s">
        <v>134</v>
      </c>
      <c r="C113" s="6"/>
      <c r="D113" s="6"/>
      <c r="E113" s="6"/>
      <c r="F113" s="6"/>
      <c r="G113" s="6"/>
      <c r="H113" s="6"/>
      <c r="I113" s="73">
        <f>ROUND(((((B105*0.121)+(H62)*(B105*0.121))*(4/12)))*0.02,2)+((I61+I80-I68-I73+I98)*4/12)*0.02</f>
        <v>4.120866666666666</v>
      </c>
    </row>
    <row r="114" spans="1:9" ht="27.75" customHeight="1">
      <c r="A114" s="126" t="s">
        <v>85</v>
      </c>
      <c r="B114" s="6" t="s">
        <v>135</v>
      </c>
      <c r="C114" s="6"/>
      <c r="D114" s="6"/>
      <c r="E114" s="6"/>
      <c r="F114" s="6"/>
      <c r="G114" s="6"/>
      <c r="H114" s="6"/>
      <c r="I114" s="73">
        <f>ROUND(((($I$105/30)*3)/12),2)</f>
        <v>26.51</v>
      </c>
    </row>
    <row r="115" spans="1:9" ht="15.75" customHeight="1">
      <c r="A115" s="65" t="s">
        <v>70</v>
      </c>
      <c r="B115" s="65"/>
      <c r="C115" s="65"/>
      <c r="D115" s="65"/>
      <c r="E115" s="65"/>
      <c r="F115" s="65"/>
      <c r="G115" s="65"/>
      <c r="H115" s="65"/>
      <c r="I115" s="127">
        <f>SUM(I109:I114)</f>
        <v>269.5608666666667</v>
      </c>
    </row>
    <row r="116" spans="1:9" ht="9.75" customHeight="1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 ht="20.25" customHeight="1">
      <c r="A117" s="84" t="s">
        <v>136</v>
      </c>
      <c r="B117" s="84"/>
      <c r="C117" s="84"/>
      <c r="D117" s="84"/>
      <c r="E117" s="84"/>
      <c r="F117" s="84"/>
      <c r="G117" s="84"/>
      <c r="H117" s="84"/>
      <c r="I117" s="84"/>
    </row>
    <row r="118" spans="1:9" ht="25.5" customHeight="1">
      <c r="A118" s="85" t="s">
        <v>137</v>
      </c>
      <c r="B118" s="85" t="s">
        <v>138</v>
      </c>
      <c r="C118" s="85"/>
      <c r="D118" s="85"/>
      <c r="E118" s="85"/>
      <c r="F118" s="85"/>
      <c r="G118" s="85"/>
      <c r="H118" s="85"/>
      <c r="I118" s="128" t="s">
        <v>67</v>
      </c>
    </row>
    <row r="119" spans="1:9" ht="13.5" customHeight="1">
      <c r="A119" s="62" t="s">
        <v>8</v>
      </c>
      <c r="B119" s="109" t="s">
        <v>139</v>
      </c>
      <c r="C119" s="109"/>
      <c r="D119" s="109"/>
      <c r="E119" s="109"/>
      <c r="F119" s="109"/>
      <c r="G119" s="109"/>
      <c r="H119" s="109"/>
      <c r="I119" s="73">
        <v>0</v>
      </c>
    </row>
    <row r="120" spans="1:9" ht="15.75" customHeight="1">
      <c r="A120" s="129" t="s">
        <v>70</v>
      </c>
      <c r="B120" s="129"/>
      <c r="C120" s="129"/>
      <c r="D120" s="129"/>
      <c r="E120" s="129"/>
      <c r="F120" s="129"/>
      <c r="G120" s="129"/>
      <c r="H120" s="129"/>
      <c r="I120" s="73">
        <v>0</v>
      </c>
    </row>
    <row r="121" spans="1:9" ht="7.5" customHeight="1">
      <c r="A121" s="130"/>
      <c r="B121" s="130"/>
      <c r="C121" s="130"/>
      <c r="D121" s="130"/>
      <c r="E121" s="130"/>
      <c r="F121" s="130"/>
      <c r="G121" s="130"/>
      <c r="H121" s="130"/>
      <c r="I121" s="130"/>
    </row>
    <row r="122" spans="1:9" ht="23.25" customHeight="1">
      <c r="A122" s="45" t="s">
        <v>140</v>
      </c>
      <c r="B122" s="45"/>
      <c r="C122" s="45"/>
      <c r="D122" s="45"/>
      <c r="E122" s="45"/>
      <c r="F122" s="45"/>
      <c r="G122" s="45"/>
      <c r="H122" s="45"/>
      <c r="I122" s="45"/>
    </row>
    <row r="123" spans="1:9" ht="27.75" customHeight="1">
      <c r="A123" s="47">
        <v>4</v>
      </c>
      <c r="B123" s="85" t="s">
        <v>141</v>
      </c>
      <c r="C123" s="85"/>
      <c r="D123" s="85"/>
      <c r="E123" s="85"/>
      <c r="F123" s="85"/>
      <c r="G123" s="85"/>
      <c r="H123" s="85"/>
      <c r="I123" s="128" t="s">
        <v>67</v>
      </c>
    </row>
    <row r="124" spans="1:9" ht="19.5" customHeight="1">
      <c r="A124" s="9" t="s">
        <v>128</v>
      </c>
      <c r="B124" s="109" t="s">
        <v>129</v>
      </c>
      <c r="C124" s="109"/>
      <c r="D124" s="109"/>
      <c r="E124" s="109"/>
      <c r="F124" s="109"/>
      <c r="G124" s="109"/>
      <c r="H124" s="109"/>
      <c r="I124" s="73">
        <f>I115</f>
        <v>269.5608666666667</v>
      </c>
    </row>
    <row r="125" spans="1:9" ht="19.5" customHeight="1">
      <c r="A125" s="9" t="s">
        <v>142</v>
      </c>
      <c r="B125" s="109" t="s">
        <v>138</v>
      </c>
      <c r="C125" s="109"/>
      <c r="D125" s="109"/>
      <c r="E125" s="109"/>
      <c r="F125" s="109"/>
      <c r="G125" s="109"/>
      <c r="H125" s="109"/>
      <c r="I125" s="73">
        <f>I120</f>
        <v>0</v>
      </c>
    </row>
    <row r="126" spans="1:9" ht="19.5" customHeight="1">
      <c r="A126" s="54" t="s">
        <v>70</v>
      </c>
      <c r="B126" s="54"/>
      <c r="C126" s="54"/>
      <c r="D126" s="54"/>
      <c r="E126" s="54"/>
      <c r="F126" s="54"/>
      <c r="G126" s="54"/>
      <c r="H126" s="54"/>
      <c r="I126" s="79">
        <f>SUM(I124+I125)</f>
        <v>269.5608666666667</v>
      </c>
    </row>
    <row r="127" spans="1:9" ht="9" customHeight="1">
      <c r="A127" s="131"/>
      <c r="B127" s="131"/>
      <c r="C127" s="131"/>
      <c r="D127" s="131"/>
      <c r="E127" s="131"/>
      <c r="F127" s="131"/>
      <c r="G127" s="131"/>
      <c r="H127" s="131"/>
      <c r="I127" s="131"/>
    </row>
    <row r="128" spans="1:9" ht="30" customHeight="1">
      <c r="A128" s="45" t="s">
        <v>143</v>
      </c>
      <c r="B128" s="45"/>
      <c r="C128" s="45"/>
      <c r="D128" s="45"/>
      <c r="E128" s="45"/>
      <c r="F128" s="45"/>
      <c r="G128" s="45"/>
      <c r="H128" s="45"/>
      <c r="I128" s="45"/>
    </row>
    <row r="129" spans="1:9" ht="25.5" customHeight="1">
      <c r="A129" s="85">
        <v>5</v>
      </c>
      <c r="B129" s="47" t="s">
        <v>144</v>
      </c>
      <c r="C129" s="47"/>
      <c r="D129" s="47"/>
      <c r="E129" s="47"/>
      <c r="F129" s="47"/>
      <c r="G129" s="47"/>
      <c r="H129" s="47"/>
      <c r="I129" s="85" t="s">
        <v>67</v>
      </c>
    </row>
    <row r="130" spans="1:9" ht="17.25" customHeight="1">
      <c r="A130" s="62" t="s">
        <v>8</v>
      </c>
      <c r="B130" s="6" t="s">
        <v>145</v>
      </c>
      <c r="C130" s="6"/>
      <c r="D130" s="6"/>
      <c r="E130" s="6"/>
      <c r="F130" s="6"/>
      <c r="G130" s="6"/>
      <c r="H130" s="6"/>
      <c r="I130" s="132">
        <v>51.62</v>
      </c>
    </row>
    <row r="131" spans="1:9" ht="15.75" customHeight="1">
      <c r="A131" s="62" t="s">
        <v>11</v>
      </c>
      <c r="B131" s="6" t="s">
        <v>146</v>
      </c>
      <c r="C131" s="6"/>
      <c r="D131" s="6"/>
      <c r="E131" s="6"/>
      <c r="F131" s="6"/>
      <c r="G131" s="6"/>
      <c r="H131" s="6"/>
      <c r="I131" s="133">
        <v>4819.31</v>
      </c>
    </row>
    <row r="132" spans="1:9" ht="15.75" customHeight="1">
      <c r="A132" s="62" t="s">
        <v>14</v>
      </c>
      <c r="B132" s="109" t="s">
        <v>147</v>
      </c>
      <c r="C132" s="109"/>
      <c r="D132" s="109"/>
      <c r="E132" s="109"/>
      <c r="F132" s="109"/>
      <c r="G132" s="109"/>
      <c r="H132" s="109"/>
      <c r="I132" s="133">
        <v>135.04</v>
      </c>
    </row>
    <row r="133" spans="1:9" ht="15.75" customHeight="1">
      <c r="A133" s="65" t="s">
        <v>61</v>
      </c>
      <c r="B133" s="65"/>
      <c r="C133" s="65"/>
      <c r="D133" s="65"/>
      <c r="E133" s="65"/>
      <c r="F133" s="65"/>
      <c r="G133" s="65"/>
      <c r="H133" s="65"/>
      <c r="I133" s="134">
        <f>SUM(I130:I132)</f>
        <v>5005.97</v>
      </c>
    </row>
    <row r="134" spans="1:9" ht="8.25" customHeight="1">
      <c r="A134" s="135"/>
      <c r="B134" s="135"/>
      <c r="C134" s="135"/>
      <c r="D134" s="135"/>
      <c r="E134" s="135"/>
      <c r="F134" s="135"/>
      <c r="G134" s="135"/>
      <c r="H134" s="135"/>
      <c r="I134" s="135"/>
    </row>
    <row r="135" spans="1:9" ht="14.25" customHeight="1">
      <c r="A135" s="136" t="s">
        <v>148</v>
      </c>
      <c r="B135" s="136"/>
      <c r="C135" s="136"/>
      <c r="D135" s="136"/>
      <c r="E135" s="136"/>
      <c r="F135" s="136"/>
      <c r="G135" s="136"/>
      <c r="H135" s="136"/>
      <c r="I135" s="136"/>
    </row>
    <row r="136" spans="1:9" ht="8.25" customHeight="1">
      <c r="A136" s="137"/>
      <c r="B136" s="138"/>
      <c r="C136" s="138"/>
      <c r="D136" s="138"/>
      <c r="E136" s="138"/>
      <c r="F136" s="138"/>
      <c r="G136" s="138"/>
      <c r="H136" s="138"/>
      <c r="I136" s="139"/>
    </row>
    <row r="137" spans="1:9" ht="29.25" customHeight="1">
      <c r="A137" s="59" t="s">
        <v>149</v>
      </c>
      <c r="B137" s="59"/>
      <c r="C137" s="59"/>
      <c r="D137" s="59"/>
      <c r="E137" s="59"/>
      <c r="F137" s="59"/>
      <c r="G137" s="59"/>
      <c r="H137" s="59"/>
      <c r="I137" s="59"/>
    </row>
    <row r="138" spans="1:9" ht="32.25" customHeight="1">
      <c r="A138" s="85">
        <v>6</v>
      </c>
      <c r="B138" s="85" t="s">
        <v>150</v>
      </c>
      <c r="C138" s="85"/>
      <c r="D138" s="85"/>
      <c r="E138" s="85"/>
      <c r="F138" s="85"/>
      <c r="G138" s="85"/>
      <c r="H138" s="47" t="s">
        <v>75</v>
      </c>
      <c r="I138" s="140" t="s">
        <v>151</v>
      </c>
    </row>
    <row r="139" spans="1:9" ht="47.25" customHeight="1">
      <c r="A139" s="141" t="s">
        <v>152</v>
      </c>
      <c r="B139" s="141"/>
      <c r="C139" s="141"/>
      <c r="D139" s="141"/>
      <c r="E139" s="141"/>
      <c r="F139" s="141"/>
      <c r="G139" s="141"/>
      <c r="H139" s="142" t="s">
        <v>97</v>
      </c>
      <c r="I139" s="143">
        <f>SUM(I39+I89+I98+I126+I133)</f>
        <v>8754.970866666667</v>
      </c>
    </row>
    <row r="140" spans="1:9" ht="15.75" customHeight="1">
      <c r="A140" s="144" t="s">
        <v>8</v>
      </c>
      <c r="B140" s="59" t="s">
        <v>153</v>
      </c>
      <c r="C140" s="59"/>
      <c r="D140" s="59"/>
      <c r="E140" s="59"/>
      <c r="F140" s="59"/>
      <c r="G140" s="59"/>
      <c r="H140" s="72">
        <v>0.03</v>
      </c>
      <c r="I140" s="73">
        <f>ROUND(H140*I139,2)</f>
        <v>262.65</v>
      </c>
    </row>
    <row r="141" spans="1:9" ht="48" customHeight="1">
      <c r="A141" s="141" t="s">
        <v>154</v>
      </c>
      <c r="B141" s="141"/>
      <c r="C141" s="141"/>
      <c r="D141" s="141"/>
      <c r="E141" s="141"/>
      <c r="F141" s="141"/>
      <c r="G141" s="141"/>
      <c r="H141" s="145" t="s">
        <v>97</v>
      </c>
      <c r="I141" s="143">
        <f>SUM(I39+I89+I98+I126+I133+I140)</f>
        <v>9017.620866666666</v>
      </c>
    </row>
    <row r="142" spans="1:9" ht="15.75" customHeight="1">
      <c r="A142" s="144" t="s">
        <v>11</v>
      </c>
      <c r="B142" s="59" t="s">
        <v>155</v>
      </c>
      <c r="C142" s="59"/>
      <c r="D142" s="59"/>
      <c r="E142" s="59"/>
      <c r="F142" s="59"/>
      <c r="G142" s="59"/>
      <c r="H142" s="72">
        <v>0.0679</v>
      </c>
      <c r="I142" s="73">
        <f>ROUND(H142*I141,2)</f>
        <v>612.3</v>
      </c>
    </row>
    <row r="143" spans="1:9" ht="49.5" customHeight="1">
      <c r="A143" s="141" t="s">
        <v>156</v>
      </c>
      <c r="B143" s="141"/>
      <c r="C143" s="141"/>
      <c r="D143" s="141"/>
      <c r="E143" s="141"/>
      <c r="F143" s="141"/>
      <c r="G143" s="141"/>
      <c r="H143" s="145" t="s">
        <v>97</v>
      </c>
      <c r="I143" s="143">
        <f>SUM(I139+I140+I142)</f>
        <v>9629.920866666665</v>
      </c>
    </row>
    <row r="144" spans="1:9" ht="15.75" customHeight="1">
      <c r="A144" s="144" t="s">
        <v>14</v>
      </c>
      <c r="B144" s="59" t="s">
        <v>157</v>
      </c>
      <c r="C144" s="59"/>
      <c r="D144" s="59"/>
      <c r="E144" s="59"/>
      <c r="F144" s="59"/>
      <c r="G144" s="59"/>
      <c r="H144" s="51" t="s">
        <v>97</v>
      </c>
      <c r="I144" s="89" t="s">
        <v>97</v>
      </c>
    </row>
    <row r="145" spans="1:9" ht="15.75" customHeight="1">
      <c r="A145" s="62"/>
      <c r="B145" s="59" t="s">
        <v>158</v>
      </c>
      <c r="C145" s="59"/>
      <c r="D145" s="59"/>
      <c r="E145" s="59"/>
      <c r="F145" s="59"/>
      <c r="G145" s="59"/>
      <c r="H145" s="51" t="s">
        <v>97</v>
      </c>
      <c r="I145" s="89" t="s">
        <v>97</v>
      </c>
    </row>
    <row r="146" spans="1:9" ht="27" customHeight="1">
      <c r="A146" s="62"/>
      <c r="B146" s="146" t="s">
        <v>159</v>
      </c>
      <c r="C146" s="146"/>
      <c r="D146" s="146"/>
      <c r="E146" s="146"/>
      <c r="F146" s="146"/>
      <c r="G146" s="146"/>
      <c r="H146" s="147">
        <v>0.076</v>
      </c>
      <c r="I146" s="73">
        <f aca="true" t="shared" si="2" ref="I146:I147">ROUND(($I$143/(1-$H$155))*H146,2)</f>
        <v>843.66</v>
      </c>
    </row>
    <row r="147" spans="1:9" ht="29.25" customHeight="1">
      <c r="A147" s="62"/>
      <c r="B147" s="146" t="s">
        <v>160</v>
      </c>
      <c r="C147" s="146"/>
      <c r="D147" s="146"/>
      <c r="E147" s="146"/>
      <c r="F147" s="146"/>
      <c r="G147" s="146"/>
      <c r="H147" s="147">
        <v>0.0165</v>
      </c>
      <c r="I147" s="73">
        <f t="shared" si="2"/>
        <v>183.16</v>
      </c>
    </row>
    <row r="148" spans="1:9" ht="27" customHeight="1">
      <c r="A148" s="62"/>
      <c r="B148" s="148" t="s">
        <v>161</v>
      </c>
      <c r="C148" s="148"/>
      <c r="D148" s="148"/>
      <c r="E148" s="148"/>
      <c r="F148" s="148"/>
      <c r="G148" s="148"/>
      <c r="H148" s="149" t="s">
        <v>97</v>
      </c>
      <c r="I148" s="89" t="s">
        <v>97</v>
      </c>
    </row>
    <row r="149" spans="1:9" ht="27" customHeight="1">
      <c r="A149" s="62"/>
      <c r="B149" s="148" t="s">
        <v>162</v>
      </c>
      <c r="C149" s="148"/>
      <c r="D149" s="148"/>
      <c r="E149" s="148"/>
      <c r="F149" s="148"/>
      <c r="G149" s="148"/>
      <c r="H149" s="149" t="s">
        <v>97</v>
      </c>
      <c r="I149" s="89" t="s">
        <v>97</v>
      </c>
    </row>
    <row r="150" spans="1:9" ht="18" customHeight="1">
      <c r="A150" s="62"/>
      <c r="B150" s="150" t="s">
        <v>163</v>
      </c>
      <c r="C150" s="150"/>
      <c r="D150" s="150"/>
      <c r="E150" s="150"/>
      <c r="F150" s="150"/>
      <c r="G150" s="150"/>
      <c r="H150" s="149" t="s">
        <v>97</v>
      </c>
      <c r="I150" s="89" t="s">
        <v>97</v>
      </c>
    </row>
    <row r="151" spans="1:9" ht="18" customHeight="1">
      <c r="A151" s="62"/>
      <c r="B151" s="151" t="s">
        <v>164</v>
      </c>
      <c r="C151" s="151"/>
      <c r="D151" s="151"/>
      <c r="E151" s="151"/>
      <c r="F151" s="151"/>
      <c r="G151" s="151"/>
      <c r="H151" s="149" t="s">
        <v>97</v>
      </c>
      <c r="I151" s="89" t="s">
        <v>97</v>
      </c>
    </row>
    <row r="152" spans="1:9" ht="27" customHeight="1">
      <c r="A152" s="62"/>
      <c r="B152" s="146" t="s">
        <v>165</v>
      </c>
      <c r="C152" s="146"/>
      <c r="D152" s="146"/>
      <c r="E152" s="146"/>
      <c r="F152" s="146"/>
      <c r="G152" s="146"/>
      <c r="H152" s="147">
        <v>0.04</v>
      </c>
      <c r="I152" s="73">
        <f>ROUND(($I$143/(1-$H$155))*H152,2)</f>
        <v>444.03</v>
      </c>
    </row>
    <row r="153" spans="1:9" ht="15.75" customHeight="1">
      <c r="A153" s="65" t="s">
        <v>70</v>
      </c>
      <c r="B153" s="65"/>
      <c r="C153" s="65"/>
      <c r="D153" s="65"/>
      <c r="E153" s="65"/>
      <c r="F153" s="65"/>
      <c r="G153" s="65"/>
      <c r="H153" s="65"/>
      <c r="I153" s="79">
        <f>SUM(I140+I142+I146+I147+I152)</f>
        <v>2345.8</v>
      </c>
    </row>
    <row r="154" spans="1:9" ht="6.75" customHeight="1">
      <c r="A154" s="131"/>
      <c r="B154" s="131"/>
      <c r="C154" s="131"/>
      <c r="D154" s="131"/>
      <c r="E154" s="131"/>
      <c r="F154" s="131"/>
      <c r="G154" s="131"/>
      <c r="H154" s="131"/>
      <c r="I154" s="131"/>
    </row>
    <row r="155" spans="1:9" ht="15.75" customHeight="1">
      <c r="A155" s="29" t="s">
        <v>166</v>
      </c>
      <c r="B155" s="29"/>
      <c r="C155" s="29"/>
      <c r="D155" s="29"/>
      <c r="E155" s="29"/>
      <c r="F155" s="29"/>
      <c r="G155" s="29"/>
      <c r="H155" s="152">
        <f>SUM(H146:H152)</f>
        <v>0.1325</v>
      </c>
      <c r="I155" s="143">
        <f>SUM(I146:I152)</f>
        <v>1470.85</v>
      </c>
    </row>
    <row r="156" spans="1:9" ht="12.75" customHeight="1">
      <c r="A156" s="153" t="s">
        <v>167</v>
      </c>
      <c r="B156" s="153"/>
      <c r="C156" s="154" t="s">
        <v>168</v>
      </c>
      <c r="D156" s="154"/>
      <c r="E156" s="154"/>
      <c r="F156" s="154"/>
      <c r="G156" s="154"/>
      <c r="H156" s="154"/>
      <c r="I156" s="154"/>
    </row>
    <row r="157" spans="1:9" ht="12" customHeight="1">
      <c r="A157" s="153"/>
      <c r="B157" s="153"/>
      <c r="C157" s="154" t="s">
        <v>169</v>
      </c>
      <c r="D157" s="154"/>
      <c r="E157" s="154"/>
      <c r="F157" s="154"/>
      <c r="G157" s="154"/>
      <c r="H157" s="154"/>
      <c r="I157" s="154"/>
    </row>
    <row r="158" spans="1:9" ht="13.5" customHeight="1">
      <c r="A158" s="153"/>
      <c r="B158" s="153"/>
      <c r="C158" s="155" t="s">
        <v>170</v>
      </c>
      <c r="D158" s="155"/>
      <c r="E158" s="155"/>
      <c r="F158" s="155"/>
      <c r="G158" s="155"/>
      <c r="H158" s="155"/>
      <c r="I158" s="155"/>
    </row>
    <row r="159" spans="1:9" ht="6.75" customHeight="1">
      <c r="A159" s="156"/>
      <c r="B159" s="156"/>
      <c r="C159" s="156"/>
      <c r="D159" s="156"/>
      <c r="E159" s="156"/>
      <c r="F159" s="156"/>
      <c r="G159" s="156"/>
      <c r="H159" s="156"/>
      <c r="I159" s="156"/>
    </row>
    <row r="160" spans="1:9" ht="25.5" customHeight="1">
      <c r="A160" s="43" t="s">
        <v>171</v>
      </c>
      <c r="B160" s="43"/>
      <c r="C160" s="43"/>
      <c r="D160" s="43"/>
      <c r="E160" s="43"/>
      <c r="F160" s="43"/>
      <c r="G160" s="43"/>
      <c r="H160" s="43"/>
      <c r="I160" s="43"/>
    </row>
    <row r="161" spans="1:9" ht="5.25" customHeight="1">
      <c r="A161" s="131"/>
      <c r="B161" s="131"/>
      <c r="C161" s="131"/>
      <c r="D161" s="131"/>
      <c r="E161" s="131"/>
      <c r="F161" s="131"/>
      <c r="G161" s="131"/>
      <c r="H161" s="131"/>
      <c r="I161" s="131"/>
    </row>
    <row r="162" spans="1:9" ht="30" customHeight="1">
      <c r="A162" s="157" t="s">
        <v>172</v>
      </c>
      <c r="B162" s="157"/>
      <c r="C162" s="157"/>
      <c r="D162" s="157"/>
      <c r="E162" s="157"/>
      <c r="F162" s="157"/>
      <c r="G162" s="157"/>
      <c r="H162" s="157"/>
      <c r="I162" s="157"/>
    </row>
    <row r="163" spans="1:9" ht="15" customHeight="1">
      <c r="A163" s="8" t="s">
        <v>173</v>
      </c>
      <c r="B163" s="8"/>
      <c r="C163" s="8"/>
      <c r="D163" s="8"/>
      <c r="E163" s="8"/>
      <c r="F163" s="8"/>
      <c r="G163" s="8"/>
      <c r="H163" s="8"/>
      <c r="I163" s="14" t="s">
        <v>67</v>
      </c>
    </row>
    <row r="164" spans="1:11" ht="15" customHeight="1">
      <c r="A164" s="158" t="s">
        <v>8</v>
      </c>
      <c r="B164" s="159" t="s">
        <v>174</v>
      </c>
      <c r="C164" s="159"/>
      <c r="D164" s="159"/>
      <c r="E164" s="159"/>
      <c r="F164" s="159"/>
      <c r="G164" s="159"/>
      <c r="H164" s="159"/>
      <c r="I164" s="22">
        <f>I39</f>
        <v>1839.73</v>
      </c>
      <c r="K164" s="5"/>
    </row>
    <row r="165" spans="1:9" ht="15" customHeight="1">
      <c r="A165" s="158" t="s">
        <v>11</v>
      </c>
      <c r="B165" s="159" t="s">
        <v>63</v>
      </c>
      <c r="C165" s="159"/>
      <c r="D165" s="159"/>
      <c r="E165" s="159"/>
      <c r="F165" s="159"/>
      <c r="G165" s="159"/>
      <c r="H165" s="159"/>
      <c r="I165" s="22">
        <f>I89</f>
        <v>1507.29</v>
      </c>
    </row>
    <row r="166" spans="1:9" ht="15" customHeight="1">
      <c r="A166" s="158" t="s">
        <v>14</v>
      </c>
      <c r="B166" s="159" t="s">
        <v>175</v>
      </c>
      <c r="C166" s="159"/>
      <c r="D166" s="159"/>
      <c r="E166" s="159"/>
      <c r="F166" s="159"/>
      <c r="G166" s="159"/>
      <c r="H166" s="159"/>
      <c r="I166" s="22">
        <f>I98</f>
        <v>132.42000000000002</v>
      </c>
    </row>
    <row r="167" spans="1:9" ht="15" customHeight="1">
      <c r="A167" s="158" t="s">
        <v>17</v>
      </c>
      <c r="B167" s="159" t="s">
        <v>176</v>
      </c>
      <c r="C167" s="159"/>
      <c r="D167" s="159"/>
      <c r="E167" s="159"/>
      <c r="F167" s="159"/>
      <c r="G167" s="159"/>
      <c r="H167" s="159"/>
      <c r="I167" s="22">
        <f>I126</f>
        <v>269.5608666666667</v>
      </c>
    </row>
    <row r="168" spans="1:9" ht="15" customHeight="1">
      <c r="A168" s="158" t="s">
        <v>83</v>
      </c>
      <c r="B168" s="159" t="s">
        <v>177</v>
      </c>
      <c r="C168" s="159"/>
      <c r="D168" s="159"/>
      <c r="E168" s="159"/>
      <c r="F168" s="159"/>
      <c r="G168" s="159"/>
      <c r="H168" s="159"/>
      <c r="I168" s="22">
        <f>I133</f>
        <v>5005.97</v>
      </c>
    </row>
    <row r="169" spans="1:9" ht="15" customHeight="1">
      <c r="A169" s="160" t="s">
        <v>178</v>
      </c>
      <c r="B169" s="160"/>
      <c r="C169" s="160"/>
      <c r="D169" s="160"/>
      <c r="E169" s="160"/>
      <c r="F169" s="160"/>
      <c r="G169" s="160"/>
      <c r="H169" s="160"/>
      <c r="I169" s="134">
        <f>SUM(I164:I168)</f>
        <v>8754.970866666667</v>
      </c>
    </row>
    <row r="170" spans="1:9" ht="15" customHeight="1">
      <c r="A170" s="161" t="s">
        <v>85</v>
      </c>
      <c r="B170" s="159" t="s">
        <v>179</v>
      </c>
      <c r="C170" s="159"/>
      <c r="D170" s="159"/>
      <c r="E170" s="159"/>
      <c r="F170" s="159"/>
      <c r="G170" s="159"/>
      <c r="H170" s="159"/>
      <c r="I170" s="22">
        <f>I153</f>
        <v>2345.8</v>
      </c>
    </row>
    <row r="171" spans="1:9" ht="15" customHeight="1">
      <c r="A171" s="160" t="s">
        <v>180</v>
      </c>
      <c r="B171" s="160"/>
      <c r="C171" s="160"/>
      <c r="D171" s="160"/>
      <c r="E171" s="160"/>
      <c r="F171" s="160"/>
      <c r="G171" s="160"/>
      <c r="H171" s="160"/>
      <c r="I171" s="134">
        <f>SUM(I169:I170)</f>
        <v>11100.770866666666</v>
      </c>
    </row>
    <row r="172" spans="1:13" ht="15" customHeight="1" hidden="1">
      <c r="A172" s="162"/>
      <c r="B172" s="162"/>
      <c r="C172" s="162"/>
      <c r="D172" s="162"/>
      <c r="E172" s="162"/>
      <c r="F172" s="162"/>
      <c r="G172" s="162"/>
      <c r="H172" s="163"/>
      <c r="I172" s="164"/>
      <c r="J172" s="32"/>
      <c r="K172" s="165"/>
      <c r="L172" s="32"/>
      <c r="M172" s="166"/>
    </row>
    <row r="173" spans="1:9" ht="12.75" customHeight="1">
      <c r="A173" s="167"/>
      <c r="B173" s="167"/>
      <c r="C173" s="167"/>
      <c r="D173" s="167"/>
      <c r="E173" s="167"/>
      <c r="F173" s="167"/>
      <c r="G173" s="167"/>
      <c r="H173" s="167"/>
      <c r="I173" s="167"/>
    </row>
    <row r="174" spans="1:9" ht="16.5" customHeight="1">
      <c r="A174" s="168" t="s">
        <v>181</v>
      </c>
      <c r="B174" s="168"/>
      <c r="C174" s="168"/>
      <c r="D174" s="168"/>
      <c r="E174" s="168"/>
      <c r="F174" s="168"/>
      <c r="G174" s="168"/>
      <c r="H174" s="168"/>
      <c r="I174" s="168"/>
    </row>
    <row r="175" spans="1:9" ht="11.25" customHeight="1">
      <c r="A175" s="169"/>
      <c r="B175" s="169"/>
      <c r="C175" s="169"/>
      <c r="D175" s="169"/>
      <c r="E175" s="169"/>
      <c r="F175" s="169"/>
      <c r="G175" s="169"/>
      <c r="H175" s="169"/>
      <c r="I175" s="170"/>
    </row>
    <row r="176" spans="1:9" ht="21" customHeight="1">
      <c r="A176" s="171" t="s">
        <v>182</v>
      </c>
      <c r="B176" s="171"/>
      <c r="C176" s="171"/>
      <c r="D176" s="171"/>
      <c r="E176" s="171"/>
      <c r="F176" s="171"/>
      <c r="G176" s="171"/>
      <c r="H176" s="171"/>
      <c r="I176" s="171"/>
    </row>
    <row r="177" spans="1:9" ht="51" customHeight="1">
      <c r="A177" s="172" t="s">
        <v>183</v>
      </c>
      <c r="B177" s="172"/>
      <c r="C177" s="14" t="s">
        <v>184</v>
      </c>
      <c r="D177" s="14"/>
      <c r="E177" s="14" t="s">
        <v>185</v>
      </c>
      <c r="F177" s="14"/>
      <c r="G177" s="14" t="s">
        <v>186</v>
      </c>
      <c r="H177" s="14"/>
      <c r="I177" s="14"/>
    </row>
    <row r="178" spans="1:9" ht="12.75" customHeight="1">
      <c r="A178" s="173" t="s">
        <v>187</v>
      </c>
      <c r="B178" s="173"/>
      <c r="C178" s="142" t="s">
        <v>188</v>
      </c>
      <c r="D178" s="142"/>
      <c r="E178" s="174">
        <f>I171</f>
        <v>11100.770866666666</v>
      </c>
      <c r="F178" s="174"/>
      <c r="G178" s="175">
        <f>ROUND((1/1200)*E178,2)</f>
        <v>9.25</v>
      </c>
      <c r="H178" s="175"/>
      <c r="I178" s="175"/>
    </row>
    <row r="179" spans="1:9" ht="12.75" customHeight="1">
      <c r="A179" s="176" t="s">
        <v>189</v>
      </c>
      <c r="B179" s="176"/>
      <c r="C179" s="176"/>
      <c r="D179" s="176"/>
      <c r="E179" s="176"/>
      <c r="F179" s="176"/>
      <c r="G179" s="177">
        <f>G178</f>
        <v>9.25</v>
      </c>
      <c r="H179" s="177"/>
      <c r="I179" s="177"/>
    </row>
    <row r="180" spans="1:16" s="181" customFormat="1" ht="9.75" customHeight="1">
      <c r="A180" s="184"/>
      <c r="B180" s="184"/>
      <c r="C180" s="184"/>
      <c r="D180" s="184"/>
      <c r="E180" s="184"/>
      <c r="F180" s="184"/>
      <c r="G180" s="184"/>
      <c r="H180" s="184"/>
      <c r="I180" s="184"/>
      <c r="J180" s="180"/>
      <c r="K180" s="180"/>
      <c r="L180" s="180"/>
      <c r="M180" s="180"/>
      <c r="N180" s="180"/>
      <c r="O180" s="180"/>
      <c r="P180" s="180"/>
    </row>
    <row r="181" spans="1:16" s="181" customFormat="1" ht="14.25" customHeight="1">
      <c r="A181" s="236" t="s">
        <v>249</v>
      </c>
      <c r="B181" s="236"/>
      <c r="C181" s="237" t="s">
        <v>250</v>
      </c>
      <c r="D181" s="237"/>
      <c r="E181" s="238">
        <f>I171</f>
        <v>11100.770866666666</v>
      </c>
      <c r="F181" s="238"/>
      <c r="G181" s="177">
        <f>ROUND((1/300)*E181,2)</f>
        <v>37</v>
      </c>
      <c r="H181" s="177"/>
      <c r="I181" s="177"/>
      <c r="J181" s="180"/>
      <c r="K181" s="180"/>
      <c r="L181" s="180"/>
      <c r="M181" s="180"/>
      <c r="N181" s="180"/>
      <c r="O181" s="180"/>
      <c r="P181" s="180"/>
    </row>
    <row r="182" spans="1:16" s="181" customFormat="1" ht="14.25" customHeight="1">
      <c r="A182" s="176" t="s">
        <v>189</v>
      </c>
      <c r="B182" s="176"/>
      <c r="C182" s="176"/>
      <c r="D182" s="176"/>
      <c r="E182" s="176"/>
      <c r="F182" s="176"/>
      <c r="G182" s="177">
        <f>G181</f>
        <v>37</v>
      </c>
      <c r="H182" s="177"/>
      <c r="I182" s="177"/>
      <c r="J182" s="180"/>
      <c r="K182" s="180"/>
      <c r="L182" s="180"/>
      <c r="M182" s="180"/>
      <c r="N182" s="180"/>
      <c r="O182" s="180"/>
      <c r="P182" s="180"/>
    </row>
    <row r="183" spans="1:16" s="181" customFormat="1" ht="9.75" customHeight="1">
      <c r="A183" s="184"/>
      <c r="B183" s="184"/>
      <c r="C183" s="184"/>
      <c r="D183" s="184"/>
      <c r="E183" s="184"/>
      <c r="F183" s="184"/>
      <c r="G183" s="184"/>
      <c r="H183" s="184"/>
      <c r="I183" s="184"/>
      <c r="J183" s="180"/>
      <c r="K183" s="180"/>
      <c r="L183" s="180"/>
      <c r="M183" s="180"/>
      <c r="N183" s="180"/>
      <c r="O183" s="180"/>
      <c r="P183" s="180"/>
    </row>
    <row r="184" spans="1:16" s="181" customFormat="1" ht="14.25" customHeight="1">
      <c r="A184" s="185" t="s">
        <v>194</v>
      </c>
      <c r="B184" s="185"/>
      <c r="C184" s="185"/>
      <c r="D184" s="185"/>
      <c r="E184" s="185"/>
      <c r="F184" s="185"/>
      <c r="G184" s="185"/>
      <c r="H184" s="185"/>
      <c r="I184" s="185"/>
      <c r="J184" s="180"/>
      <c r="K184" s="180"/>
      <c r="L184" s="180"/>
      <c r="M184" s="180"/>
      <c r="N184" s="180"/>
      <c r="O184" s="180"/>
      <c r="P184" s="180"/>
    </row>
    <row r="185" spans="1:16" s="181" customFormat="1" ht="9" customHeight="1">
      <c r="A185" s="186"/>
      <c r="B185" s="186"/>
      <c r="C185" s="186"/>
      <c r="D185" s="186"/>
      <c r="E185" s="186"/>
      <c r="F185" s="186"/>
      <c r="G185" s="186"/>
      <c r="H185" s="186"/>
      <c r="I185" s="186"/>
      <c r="J185" s="180"/>
      <c r="K185" s="180"/>
      <c r="L185" s="180"/>
      <c r="M185" s="180"/>
      <c r="N185" s="180"/>
      <c r="O185" s="180"/>
      <c r="P185" s="180"/>
    </row>
    <row r="186" spans="1:16" s="181" customFormat="1" ht="24" customHeight="1">
      <c r="A186" s="187" t="s">
        <v>195</v>
      </c>
      <c r="B186" s="187"/>
      <c r="C186" s="187"/>
      <c r="D186" s="187"/>
      <c r="E186" s="187"/>
      <c r="F186" s="187"/>
      <c r="G186" s="187"/>
      <c r="H186" s="187"/>
      <c r="I186" s="187"/>
      <c r="J186" s="180"/>
      <c r="K186" s="180"/>
      <c r="L186" s="180"/>
      <c r="M186" s="180"/>
      <c r="N186" s="180"/>
      <c r="O186" s="180"/>
      <c r="P186" s="180"/>
    </row>
    <row r="187" spans="1:16" s="181" customFormat="1" ht="9" customHeight="1">
      <c r="A187" s="186"/>
      <c r="B187" s="186"/>
      <c r="C187" s="186"/>
      <c r="D187" s="186"/>
      <c r="E187" s="186"/>
      <c r="F187" s="186"/>
      <c r="G187" s="186"/>
      <c r="H187" s="186"/>
      <c r="I187" s="186"/>
      <c r="J187" s="180"/>
      <c r="K187" s="180"/>
      <c r="L187" s="180"/>
      <c r="M187" s="180"/>
      <c r="N187" s="180"/>
      <c r="O187" s="180"/>
      <c r="P187" s="180"/>
    </row>
    <row r="188" spans="1:9" ht="11.25">
      <c r="A188" s="59" t="s">
        <v>223</v>
      </c>
      <c r="B188" s="59"/>
      <c r="C188" s="59"/>
      <c r="D188" s="59"/>
      <c r="E188" s="59"/>
      <c r="F188" s="59"/>
      <c r="G188" s="59"/>
      <c r="H188" s="59"/>
      <c r="I188" s="59"/>
    </row>
    <row r="189" spans="1:9" ht="11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25.5" customHeight="1">
      <c r="A190" s="199" t="s">
        <v>224</v>
      </c>
      <c r="B190" s="199"/>
      <c r="C190" s="199"/>
      <c r="D190" s="200" t="s">
        <v>225</v>
      </c>
      <c r="E190" s="200"/>
      <c r="F190" s="200" t="s">
        <v>226</v>
      </c>
      <c r="G190" s="200" t="s">
        <v>227</v>
      </c>
      <c r="H190" s="200"/>
      <c r="I190" s="200"/>
    </row>
    <row r="191" spans="1:9" ht="13.5" customHeight="1">
      <c r="A191" s="201" t="s">
        <v>23</v>
      </c>
      <c r="B191" s="201"/>
      <c r="C191" s="201"/>
      <c r="D191" s="202">
        <f>G179</f>
        <v>9.25</v>
      </c>
      <c r="E191" s="202"/>
      <c r="F191" s="203">
        <f aca="true" t="shared" si="3" ref="F191:F193">H14</f>
        <v>580</v>
      </c>
      <c r="G191" s="22">
        <f aca="true" t="shared" si="4" ref="G191:G192">ROUND(D191*F191,2)</f>
        <v>5365</v>
      </c>
      <c r="H191" s="22"/>
      <c r="I191" s="22"/>
    </row>
    <row r="192" spans="1:9" ht="20.25" customHeight="1">
      <c r="A192" s="6" t="s">
        <v>251</v>
      </c>
      <c r="B192" s="6"/>
      <c r="C192" s="6"/>
      <c r="D192" s="89">
        <f>G182</f>
        <v>37</v>
      </c>
      <c r="E192" s="89"/>
      <c r="F192" s="239">
        <f t="shared" si="3"/>
        <v>408.22</v>
      </c>
      <c r="G192" s="22">
        <f t="shared" si="4"/>
        <v>15104.14</v>
      </c>
      <c r="H192" s="22"/>
      <c r="I192" s="22"/>
    </row>
    <row r="193" spans="1:9" ht="16.5" customHeight="1">
      <c r="A193" s="205" t="s">
        <v>31</v>
      </c>
      <c r="B193" s="205"/>
      <c r="C193" s="205"/>
      <c r="D193" s="205"/>
      <c r="E193" s="205"/>
      <c r="F193" s="206">
        <f t="shared" si="3"/>
        <v>988.22</v>
      </c>
      <c r="G193" s="20">
        <f>SUM(G191:G192)</f>
        <v>20469.14</v>
      </c>
      <c r="H193" s="20"/>
      <c r="I193" s="20"/>
    </row>
    <row r="194" spans="1:9" ht="6.75" customHeight="1">
      <c r="A194" s="207"/>
      <c r="B194" s="207"/>
      <c r="C194" s="207"/>
      <c r="D194" s="207"/>
      <c r="E194" s="207"/>
      <c r="F194" s="207"/>
      <c r="G194" s="207"/>
      <c r="H194" s="207"/>
      <c r="I194" s="207"/>
    </row>
    <row r="195" spans="1:9" ht="12.75" customHeight="1">
      <c r="A195" s="217" t="s">
        <v>189</v>
      </c>
      <c r="B195" s="217"/>
      <c r="C195" s="217"/>
      <c r="D195" s="217"/>
      <c r="E195" s="217"/>
      <c r="F195" s="218">
        <f>ROUND(F193,2)</f>
        <v>988.22</v>
      </c>
      <c r="G195" s="219">
        <f>SUM(G193)</f>
        <v>20469.14</v>
      </c>
      <c r="H195" s="219"/>
      <c r="I195" s="219"/>
    </row>
    <row r="196" spans="1:9" ht="6.75" customHeight="1">
      <c r="A196" s="220"/>
      <c r="B196" s="220"/>
      <c r="C196" s="220"/>
      <c r="D196" s="220"/>
      <c r="E196" s="220"/>
      <c r="F196" s="220"/>
      <c r="G196" s="220"/>
      <c r="H196" s="220"/>
      <c r="I196" s="220"/>
    </row>
    <row r="197" spans="1:9" ht="18.75" customHeight="1">
      <c r="A197" s="221" t="s">
        <v>235</v>
      </c>
      <c r="B197" s="221"/>
      <c r="C197" s="221"/>
      <c r="D197" s="221"/>
      <c r="E197" s="221"/>
      <c r="F197" s="221"/>
      <c r="G197" s="222">
        <f>G195</f>
        <v>20469.14</v>
      </c>
      <c r="H197" s="222"/>
      <c r="I197" s="222"/>
    </row>
    <row r="198" spans="1:9" ht="8.25" customHeight="1">
      <c r="A198" s="223"/>
      <c r="B198" s="223"/>
      <c r="C198" s="223"/>
      <c r="D198" s="223"/>
      <c r="E198" s="223"/>
      <c r="F198" s="223"/>
      <c r="G198" s="223"/>
      <c r="H198" s="223"/>
      <c r="I198" s="223"/>
    </row>
    <row r="199" spans="1:9" ht="19.5" customHeight="1">
      <c r="A199" s="221" t="s">
        <v>236</v>
      </c>
      <c r="B199" s="221"/>
      <c r="C199" s="221"/>
      <c r="D199" s="221"/>
      <c r="E199" s="221"/>
      <c r="F199" s="221"/>
      <c r="G199" s="224">
        <f>H11</f>
        <v>12</v>
      </c>
      <c r="H199" s="224"/>
      <c r="I199" s="224"/>
    </row>
    <row r="200" spans="1:9" ht="8.25" customHeight="1">
      <c r="A200" s="225"/>
      <c r="B200" s="225"/>
      <c r="C200" s="225"/>
      <c r="D200" s="225"/>
      <c r="E200" s="225"/>
      <c r="F200" s="225"/>
      <c r="G200" s="225"/>
      <c r="H200" s="225"/>
      <c r="I200" s="225"/>
    </row>
    <row r="201" spans="1:9" ht="31.5" customHeight="1">
      <c r="A201" s="226" t="s">
        <v>237</v>
      </c>
      <c r="B201" s="226"/>
      <c r="C201" s="226"/>
      <c r="D201" s="226"/>
      <c r="E201" s="226"/>
      <c r="F201" s="226"/>
      <c r="G201" s="227">
        <f>ROUND(G195*G199,2)</f>
        <v>245629.68</v>
      </c>
      <c r="H201" s="227"/>
      <c r="I201" s="227"/>
    </row>
    <row r="202" spans="1:9" ht="8.25" customHeight="1">
      <c r="A202" s="228"/>
      <c r="B202" s="228"/>
      <c r="C202" s="228"/>
      <c r="D202" s="228"/>
      <c r="E202" s="228"/>
      <c r="F202" s="228"/>
      <c r="G202" s="228"/>
      <c r="H202" s="228"/>
      <c r="I202" s="228"/>
    </row>
    <row r="203" spans="1:9" ht="29.25" customHeight="1">
      <c r="A203" s="229" t="s">
        <v>252</v>
      </c>
      <c r="B203" s="229"/>
      <c r="C203" s="229"/>
      <c r="D203" s="229"/>
      <c r="E203" s="229"/>
      <c r="F203" s="229"/>
      <c r="G203" s="229"/>
      <c r="H203" s="229"/>
      <c r="I203" s="229"/>
    </row>
    <row r="204" spans="1:9" ht="12" customHeight="1">
      <c r="A204" s="112" t="s">
        <v>239</v>
      </c>
      <c r="B204" s="112"/>
      <c r="C204" s="112"/>
      <c r="D204" s="112"/>
      <c r="E204" s="112"/>
      <c r="F204" s="112"/>
      <c r="G204" s="112"/>
      <c r="H204" s="14" t="s">
        <v>240</v>
      </c>
      <c r="I204" s="14"/>
    </row>
    <row r="205" spans="1:9" ht="11.25">
      <c r="A205" s="112"/>
      <c r="B205" s="112"/>
      <c r="C205" s="112"/>
      <c r="D205" s="112"/>
      <c r="E205" s="112"/>
      <c r="F205" s="112"/>
      <c r="G205" s="112"/>
      <c r="H205" s="14"/>
      <c r="I205" s="14"/>
    </row>
    <row r="206" spans="1:9" ht="12" customHeight="1">
      <c r="A206" s="230" t="s">
        <v>241</v>
      </c>
      <c r="B206" s="230"/>
      <c r="C206" s="230"/>
      <c r="D206" s="230"/>
      <c r="E206" s="230"/>
      <c r="F206" s="230"/>
      <c r="G206" s="230"/>
      <c r="H206" s="231">
        <v>2</v>
      </c>
      <c r="I206" s="231"/>
    </row>
    <row r="207" spans="1:9" ht="12.75" customHeight="1">
      <c r="A207" s="198"/>
      <c r="B207" s="198"/>
      <c r="C207" s="198"/>
      <c r="D207" s="198"/>
      <c r="E207" s="198"/>
      <c r="F207" s="198"/>
      <c r="G207" s="198"/>
      <c r="H207" s="198"/>
      <c r="I207" s="198"/>
    </row>
    <row r="208" spans="1:9" ht="9" customHeight="1">
      <c r="A208" s="186"/>
      <c r="B208" s="186"/>
      <c r="C208" s="186"/>
      <c r="D208" s="186"/>
      <c r="E208" s="186"/>
      <c r="F208" s="186"/>
      <c r="G208" s="186"/>
      <c r="H208" s="186"/>
      <c r="I208" s="186"/>
    </row>
    <row r="209" spans="1:9" ht="11.25" hidden="1">
      <c r="A209" s="186"/>
      <c r="B209" s="186"/>
      <c r="C209" s="186"/>
      <c r="D209" s="186"/>
      <c r="E209" s="186"/>
      <c r="F209" s="186"/>
      <c r="G209" s="186"/>
      <c r="H209" s="186"/>
      <c r="I209" s="186"/>
    </row>
    <row r="210" spans="1:9" ht="27" customHeight="1">
      <c r="A210" s="232" t="s">
        <v>253</v>
      </c>
      <c r="B210" s="232"/>
      <c r="C210" s="232"/>
      <c r="D210" s="232"/>
      <c r="E210" s="232"/>
      <c r="F210" s="232"/>
      <c r="G210" s="232"/>
      <c r="H210" s="232"/>
      <c r="I210" s="232"/>
    </row>
    <row r="211" spans="1:9" ht="12.75" customHeight="1">
      <c r="A211" s="14" t="s">
        <v>243</v>
      </c>
      <c r="B211" s="14"/>
      <c r="C211" s="14"/>
      <c r="D211" s="14"/>
      <c r="E211" s="14"/>
      <c r="F211" s="14"/>
      <c r="G211" s="14"/>
      <c r="H211" s="14" t="s">
        <v>244</v>
      </c>
      <c r="I211" s="14"/>
    </row>
    <row r="212" spans="1:9" ht="15" customHeight="1">
      <c r="A212" s="233"/>
      <c r="B212" s="233"/>
      <c r="C212" s="233"/>
      <c r="D212" s="233"/>
      <c r="E212" s="233"/>
      <c r="F212" s="233"/>
      <c r="G212" s="233"/>
      <c r="H212" s="9"/>
      <c r="I212" s="9"/>
    </row>
  </sheetData>
  <sheetProtection selectLockedCells="1" selectUnlockedCells="1"/>
  <mergeCells count="280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G16"/>
    <mergeCell ref="H16:I16"/>
    <mergeCell ref="A17:I17"/>
    <mergeCell ref="A18:I18"/>
    <mergeCell ref="A19:G19"/>
    <mergeCell ref="H19:I19"/>
    <mergeCell ref="A20:I20"/>
    <mergeCell ref="A21:I21"/>
    <mergeCell ref="A22:I22"/>
    <mergeCell ref="A23:I23"/>
    <mergeCell ref="A24:I24"/>
    <mergeCell ref="A25:I25"/>
    <mergeCell ref="J25:P25"/>
    <mergeCell ref="Q25:X25"/>
    <mergeCell ref="Y25:AF25"/>
    <mergeCell ref="AG25:AN25"/>
    <mergeCell ref="AO25:AV25"/>
    <mergeCell ref="AW25:BD25"/>
    <mergeCell ref="BE25:BL25"/>
    <mergeCell ref="BM25:BT25"/>
    <mergeCell ref="BU25:CB25"/>
    <mergeCell ref="CC25:CJ25"/>
    <mergeCell ref="CK25:CR25"/>
    <mergeCell ref="CS25:CZ25"/>
    <mergeCell ref="DA25:DH25"/>
    <mergeCell ref="DI25:DP25"/>
    <mergeCell ref="DQ25:DX25"/>
    <mergeCell ref="DY25:EF25"/>
    <mergeCell ref="EG25:EN25"/>
    <mergeCell ref="EO25:EV25"/>
    <mergeCell ref="EW25:FD25"/>
    <mergeCell ref="FE25:FL25"/>
    <mergeCell ref="FM25:FT25"/>
    <mergeCell ref="FU25:GB25"/>
    <mergeCell ref="GC25:GJ25"/>
    <mergeCell ref="GK25:GR25"/>
    <mergeCell ref="GS25:GZ25"/>
    <mergeCell ref="HA25:HH25"/>
    <mergeCell ref="HI25:HP25"/>
    <mergeCell ref="HQ25:HX25"/>
    <mergeCell ref="HY25:IF25"/>
    <mergeCell ref="IG25:IN25"/>
    <mergeCell ref="IO25:IV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A31:I31"/>
    <mergeCell ref="A32:I32"/>
    <mergeCell ref="A33:I33"/>
    <mergeCell ref="A34:I34"/>
    <mergeCell ref="B35:G35"/>
    <mergeCell ref="B36:H36"/>
    <mergeCell ref="B37:G37"/>
    <mergeCell ref="B38:G38"/>
    <mergeCell ref="A39:H39"/>
    <mergeCell ref="A40:I40"/>
    <mergeCell ref="A41:I41"/>
    <mergeCell ref="A42:I42"/>
    <mergeCell ref="A43:I43"/>
    <mergeCell ref="A44:I44"/>
    <mergeCell ref="B45:H45"/>
    <mergeCell ref="B46:G46"/>
    <mergeCell ref="B47:G47"/>
    <mergeCell ref="A48:H48"/>
    <mergeCell ref="A49:I49"/>
    <mergeCell ref="A50:I50"/>
    <mergeCell ref="A51:I51"/>
    <mergeCell ref="A52:I52"/>
    <mergeCell ref="B53:G53"/>
    <mergeCell ref="B54:G54"/>
    <mergeCell ref="B55:G55"/>
    <mergeCell ref="B56:C56"/>
    <mergeCell ref="B57:G57"/>
    <mergeCell ref="B58:G58"/>
    <mergeCell ref="B59:G59"/>
    <mergeCell ref="B60:G60"/>
    <mergeCell ref="B61:G61"/>
    <mergeCell ref="A62:G62"/>
    <mergeCell ref="A64:I64"/>
    <mergeCell ref="A65:I65"/>
    <mergeCell ref="A66:I66"/>
    <mergeCell ref="B67:H67"/>
    <mergeCell ref="B68:H68"/>
    <mergeCell ref="B69:G69"/>
    <mergeCell ref="B70:G70"/>
    <mergeCell ref="B71:G71"/>
    <mergeCell ref="B72:G72"/>
    <mergeCell ref="B73:H73"/>
    <mergeCell ref="B74:G74"/>
    <mergeCell ref="B75:G75"/>
    <mergeCell ref="B76:G76"/>
    <mergeCell ref="B77:H77"/>
    <mergeCell ref="B78:H78"/>
    <mergeCell ref="B79:H79"/>
    <mergeCell ref="B80:H80"/>
    <mergeCell ref="A81:I81"/>
    <mergeCell ref="A82:I82"/>
    <mergeCell ref="A83:I83"/>
    <mergeCell ref="A84:I84"/>
    <mergeCell ref="B85:H85"/>
    <mergeCell ref="B86:H86"/>
    <mergeCell ref="B87:H87"/>
    <mergeCell ref="B88:H88"/>
    <mergeCell ref="A89:H89"/>
    <mergeCell ref="A90:I90"/>
    <mergeCell ref="A91:I91"/>
    <mergeCell ref="B92:H92"/>
    <mergeCell ref="B93:H93"/>
    <mergeCell ref="B94:H94"/>
    <mergeCell ref="B95:H95"/>
    <mergeCell ref="B96:H96"/>
    <mergeCell ref="B97:G97"/>
    <mergeCell ref="A98:H98"/>
    <mergeCell ref="A99:I99"/>
    <mergeCell ref="A100:I100"/>
    <mergeCell ref="A101:I101"/>
    <mergeCell ref="A102:I102"/>
    <mergeCell ref="A103:I103"/>
    <mergeCell ref="A104:I104"/>
    <mergeCell ref="A106:I106"/>
    <mergeCell ref="A107:I107"/>
    <mergeCell ref="B108:H108"/>
    <mergeCell ref="B109:F109"/>
    <mergeCell ref="B110:H110"/>
    <mergeCell ref="B111:H111"/>
    <mergeCell ref="B112:H112"/>
    <mergeCell ref="B113:H113"/>
    <mergeCell ref="B114:H114"/>
    <mergeCell ref="A115:H115"/>
    <mergeCell ref="A116:I116"/>
    <mergeCell ref="A117:I117"/>
    <mergeCell ref="B118:H118"/>
    <mergeCell ref="B119:H119"/>
    <mergeCell ref="A120:H120"/>
    <mergeCell ref="A121:I121"/>
    <mergeCell ref="A122:I122"/>
    <mergeCell ref="B123:H123"/>
    <mergeCell ref="B124:H124"/>
    <mergeCell ref="B125:H125"/>
    <mergeCell ref="A126:H126"/>
    <mergeCell ref="A127:I127"/>
    <mergeCell ref="A128:I128"/>
    <mergeCell ref="B129:H129"/>
    <mergeCell ref="B130:H130"/>
    <mergeCell ref="B131:H131"/>
    <mergeCell ref="B132:H132"/>
    <mergeCell ref="A133:H133"/>
    <mergeCell ref="A134:I134"/>
    <mergeCell ref="A135:I135"/>
    <mergeCell ref="A137:I137"/>
    <mergeCell ref="B138:G138"/>
    <mergeCell ref="A139:G139"/>
    <mergeCell ref="B140:G140"/>
    <mergeCell ref="A141:G141"/>
    <mergeCell ref="B142:G142"/>
    <mergeCell ref="A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A153:H153"/>
    <mergeCell ref="A154:I154"/>
    <mergeCell ref="A155:G155"/>
    <mergeCell ref="A156:B158"/>
    <mergeCell ref="C156:I156"/>
    <mergeCell ref="C157:I157"/>
    <mergeCell ref="C158:I158"/>
    <mergeCell ref="A159:I159"/>
    <mergeCell ref="A160:I160"/>
    <mergeCell ref="A161:I161"/>
    <mergeCell ref="A162:I162"/>
    <mergeCell ref="A163:H163"/>
    <mergeCell ref="B164:H164"/>
    <mergeCell ref="B165:H165"/>
    <mergeCell ref="B166:H166"/>
    <mergeCell ref="B167:H167"/>
    <mergeCell ref="B168:H168"/>
    <mergeCell ref="A169:H169"/>
    <mergeCell ref="B170:H170"/>
    <mergeCell ref="A171:H171"/>
    <mergeCell ref="A173:I173"/>
    <mergeCell ref="A174:I174"/>
    <mergeCell ref="A176:I176"/>
    <mergeCell ref="A177:B177"/>
    <mergeCell ref="C177:D177"/>
    <mergeCell ref="E177:F177"/>
    <mergeCell ref="G177:I177"/>
    <mergeCell ref="A178:B178"/>
    <mergeCell ref="C178:D178"/>
    <mergeCell ref="E178:F178"/>
    <mergeCell ref="G178:I178"/>
    <mergeCell ref="A179:F179"/>
    <mergeCell ref="G179:I179"/>
    <mergeCell ref="A180:I180"/>
    <mergeCell ref="A181:B181"/>
    <mergeCell ref="C181:D181"/>
    <mergeCell ref="E181:F181"/>
    <mergeCell ref="G181:I181"/>
    <mergeCell ref="A182:F182"/>
    <mergeCell ref="G182:I182"/>
    <mergeCell ref="A183:I183"/>
    <mergeCell ref="A184:I184"/>
    <mergeCell ref="A185:I185"/>
    <mergeCell ref="A186:I186"/>
    <mergeCell ref="A187:I187"/>
    <mergeCell ref="A188:I189"/>
    <mergeCell ref="A190:C190"/>
    <mergeCell ref="D190:E190"/>
    <mergeCell ref="G190:I190"/>
    <mergeCell ref="A191:C191"/>
    <mergeCell ref="D191:E191"/>
    <mergeCell ref="G191:I191"/>
    <mergeCell ref="A192:C192"/>
    <mergeCell ref="D192:E192"/>
    <mergeCell ref="G192:I192"/>
    <mergeCell ref="A193:E193"/>
    <mergeCell ref="G193:I193"/>
    <mergeCell ref="A194:I194"/>
    <mergeCell ref="A195:E195"/>
    <mergeCell ref="G195:I195"/>
    <mergeCell ref="A196:I196"/>
    <mergeCell ref="A197:F197"/>
    <mergeCell ref="G197:I197"/>
    <mergeCell ref="A198:I198"/>
    <mergeCell ref="A199:F199"/>
    <mergeCell ref="G199:I199"/>
    <mergeCell ref="A200:I200"/>
    <mergeCell ref="A201:F201"/>
    <mergeCell ref="G201:I201"/>
    <mergeCell ref="A202:I202"/>
    <mergeCell ref="A203:I203"/>
    <mergeCell ref="A204:G205"/>
    <mergeCell ref="H204:I205"/>
    <mergeCell ref="A206:G206"/>
    <mergeCell ref="H206:I206"/>
    <mergeCell ref="A207:I207"/>
    <mergeCell ref="A208:I209"/>
    <mergeCell ref="A210:I210"/>
    <mergeCell ref="A211:G211"/>
    <mergeCell ref="H211:I211"/>
    <mergeCell ref="A212:G212"/>
    <mergeCell ref="H212:I212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2022-07-27T17:54:31Z</cp:lastPrinted>
  <dcterms:modified xsi:type="dcterms:W3CDTF">2022-10-14T11:45:57Z</dcterms:modified>
  <cp:category/>
  <cp:version/>
  <cp:contentType/>
  <cp:contentStatus/>
  <cp:revision>21</cp:revision>
</cp:coreProperties>
</file>