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Campus Caxias do Sul - Diurno" sheetId="1" r:id="rId1"/>
  </sheets>
  <definedNames>
    <definedName name="_xlnm.Print_Area" localSheetId="0">'Campus Caxias do Sul - Diurno'!$A$2:$I$218</definedName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<sst xmlns="http://schemas.openxmlformats.org/spreadsheetml/2006/main" count="304" uniqueCount="206">
  <si>
    <t>DISCRIMINAÇÃO DOS SERVIÇOS (DADOS REFERENTES À CONTRATAÇÃO)</t>
  </si>
  <si>
    <t>A</t>
  </si>
  <si>
    <t>Data de apresentação da proposta (dia/mês/ano)</t>
  </si>
  <si>
    <t>xx/xx/xxxx</t>
  </si>
  <si>
    <t>B</t>
  </si>
  <si>
    <t>Município/UF</t>
  </si>
  <si>
    <t>Caxias do Sul/RS</t>
  </si>
  <si>
    <t>C</t>
  </si>
  <si>
    <t>Ano do Acordo, Convenção ou Dissídio coletivo</t>
  </si>
  <si>
    <t>01/04/2021 a 31/03/2022</t>
  </si>
  <si>
    <t>D</t>
  </si>
  <si>
    <t>Número de meses de execução contratual</t>
  </si>
  <si>
    <t>IDENTIFICAÇÃO DO SERVIÇO</t>
  </si>
  <si>
    <t xml:space="preserve">Tipo de serviço:
                  Vigilância e Segurança Armada e Desarmada                                                                                            </t>
  </si>
  <si>
    <t>Unidade
 de 
Medida</t>
  </si>
  <si>
    <t xml:space="preserve">Quantidade total a contratar (Em função da unidade de medida) </t>
  </si>
  <si>
    <t>12 x 36 horas diurnas - de segunda-feira à sexta-feira</t>
  </si>
  <si>
    <t>posto</t>
  </si>
  <si>
    <t>-</t>
  </si>
  <si>
    <t>12  x 36 horas diurnas - de segunda-feira a domingo</t>
  </si>
  <si>
    <t>12 x 36 horas noturnas - de segunda-feira à sexta-feira</t>
  </si>
  <si>
    <t>12 x 36 horas noturnas - de segunda-feira a domingo</t>
  </si>
  <si>
    <t>44 horas semanais diurnas -  de segunda à sexta-feira</t>
  </si>
  <si>
    <r>
      <rPr>
        <b/>
        <sz val="10"/>
        <rFont val="Arial"/>
        <family val="2"/>
      </rPr>
      <t xml:space="preserve">Outros (especificar) </t>
    </r>
    <r>
      <rPr>
        <b/>
        <sz val="12"/>
        <color indexed="10"/>
        <rFont val="Arial"/>
        <family val="2"/>
      </rPr>
      <t>(excluir as linhas não utilizadas)</t>
    </r>
  </si>
  <si>
    <t>TOTAL DE POSTOS</t>
  </si>
  <si>
    <t>Nota 1: Esta tabela poderá ser adaptada às características do serviço contratado, inclusive no que concerne às rubricas e suas respectivas provisões e/ou estimativas, desde que haja justificativa.
Nota 2: As provisões constantes desta planilha poderão  ser desnecessárias quando se tratar de determinados serviços que prescindam da dedicação exclusiva dos trabalhadores da contratada para com a Administração.</t>
  </si>
  <si>
    <r>
      <rPr>
        <b/>
        <sz val="15"/>
        <rFont val="Arial"/>
        <family val="2"/>
      </rPr>
      <t xml:space="preserve">1. MÓDULOS 
</t>
    </r>
    <r>
      <rPr>
        <b/>
        <sz val="12"/>
        <color indexed="8"/>
        <rFont val="Arial"/>
        <family val="2"/>
      </rPr>
      <t xml:space="preserve">Mão de obra
</t>
    </r>
    <r>
      <rPr>
        <b/>
        <sz val="11"/>
        <color indexed="8"/>
        <rFont val="Arial"/>
        <family val="2"/>
      </rPr>
      <t>Mão de obra vinculada à execução contratual</t>
    </r>
  </si>
  <si>
    <t>Dados para composição dos custos referente à mão de obra</t>
  </si>
  <si>
    <t>Tipo de serviço (mesmo serviço com características distintas)</t>
  </si>
  <si>
    <t xml:space="preserve">Vigilância e Segurança Armada </t>
  </si>
  <si>
    <t>Classificação Brasileira de Ocupações (CBO)</t>
  </si>
  <si>
    <t>5173-30</t>
  </si>
  <si>
    <t>Salário Normativo da Categoria Profissional</t>
  </si>
  <si>
    <t xml:space="preserve">Categoria Profissional (vinculada à execução contratual) </t>
  </si>
  <si>
    <t>vigilante</t>
  </si>
  <si>
    <t xml:space="preserve">Data-Base da Categoria (dia/mês/ano) </t>
  </si>
  <si>
    <t>1º de Abril de 2021</t>
  </si>
  <si>
    <r>
      <rPr>
        <b/>
        <sz val="10"/>
        <color indexed="10"/>
        <rFont val="Arial"/>
        <family val="2"/>
      </rPr>
      <t xml:space="preserve">Valor do salárioxhora sem periculosidade - 
</t>
    </r>
    <r>
      <rPr>
        <b/>
        <sz val="10"/>
        <color indexed="12"/>
        <rFont val="Arial"/>
        <family val="2"/>
      </rPr>
      <t>VSH (s/peri) = (Valor do salário normativo / 220 h)</t>
    </r>
  </si>
  <si>
    <r>
      <rPr>
        <b/>
        <sz val="10"/>
        <color indexed="10"/>
        <rFont val="Arial"/>
        <family val="2"/>
      </rPr>
      <t xml:space="preserve">Valor da hora extra sem periculosidade com 50% 
</t>
    </r>
    <r>
      <rPr>
        <b/>
        <sz val="10"/>
        <color indexed="12"/>
        <rFont val="Arial"/>
        <family val="2"/>
      </rPr>
      <t>HE (s/peri) = valor da hora + 50%</t>
    </r>
  </si>
  <si>
    <r>
      <rPr>
        <b/>
        <sz val="10"/>
        <color indexed="10"/>
        <rFont val="Arial"/>
        <family val="2"/>
      </rPr>
      <t xml:space="preserve">Valor da hora do adicional noturno sem periculosidade
</t>
    </r>
    <r>
      <rPr>
        <b/>
        <sz val="10"/>
        <color indexed="12"/>
        <rFont val="Arial"/>
        <family val="2"/>
      </rPr>
      <t>AN (s/peri) =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valor da hora x 20%</t>
    </r>
  </si>
  <si>
    <t>Adicional de troca de uniforme sem periculosidade</t>
  </si>
  <si>
    <t>Quantidade de vigilantes por posto de serviço</t>
  </si>
  <si>
    <t>Nota 1:  Deverá ser elaborado um quadro para cada tipo de serviço.
Nota 2: A planilha será calculada considerando o valor mensal do empregado</t>
  </si>
  <si>
    <t>Módulo 1: Composição da Remuneração (por Posto)</t>
  </si>
  <si>
    <t>Composição da Remuneração (por Posto)</t>
  </si>
  <si>
    <t>Percentual (%)</t>
  </si>
  <si>
    <t xml:space="preserve">Valor 
(R$) </t>
  </si>
  <si>
    <r>
      <rPr>
        <b/>
        <sz val="10"/>
        <rFont val="Arial"/>
        <family val="2"/>
      </rPr>
      <t xml:space="preserve">Salário-Base            </t>
    </r>
    <r>
      <rPr>
        <b/>
        <sz val="10"/>
        <color indexed="10"/>
        <rFont val="Arial"/>
        <family val="2"/>
      </rPr>
      <t xml:space="preserve"> (valor para 2 vigilantes = 1 posto) </t>
    </r>
  </si>
  <si>
    <r>
      <rPr>
        <b/>
        <sz val="10"/>
        <color indexed="8"/>
        <rFont val="Arial"/>
        <family val="2"/>
      </rPr>
      <t xml:space="preserve">Adicional para Troca de Uniforme -  Cálculo do valor: 1/6 do salário-hora por dia = </t>
    </r>
    <r>
      <rPr>
        <b/>
        <sz val="10"/>
        <color indexed="10"/>
        <rFont val="Arial"/>
        <family val="2"/>
      </rPr>
      <t xml:space="preserve">(VSH/6=1,14)x2x15 </t>
    </r>
    <r>
      <rPr>
        <b/>
        <sz val="10"/>
        <color indexed="8"/>
        <rFont val="Arial"/>
        <family val="2"/>
      </rPr>
      <t xml:space="preserve">  cláusula 28 da CCT 2021/2022 As partes esclarecem que o valor do VA restou neste patamar, considerando a não adoção na presente convenção da cláusula de troca de uniforme na conformidade do disposto no art 4º,§ 2º, inciso VIII da lei nº 13.467/2017.</t>
    </r>
  </si>
  <si>
    <t>0.00</t>
  </si>
  <si>
    <t>E</t>
  </si>
  <si>
    <r>
      <rPr>
        <b/>
        <sz val="10"/>
        <rFont val="Arial"/>
        <family val="2"/>
      </rPr>
      <t xml:space="preserve">RSR (Repouso Semanal Remunerado) - Cláusula 16 da CCT 2021/2022  - </t>
    </r>
    <r>
      <rPr>
        <b/>
        <sz val="10"/>
        <color indexed="10"/>
        <rFont val="Arial"/>
        <family val="2"/>
      </rPr>
      <t xml:space="preserve">Cálculo do valor: 20% sobre os adicionais pertinentes) </t>
    </r>
    <r>
      <rPr>
        <b/>
        <sz val="10"/>
        <color indexed="12"/>
        <rFont val="Arial"/>
        <family val="2"/>
      </rPr>
      <t>(???? Item controverso - consulte sua CCT ou assessoria jurídica)</t>
    </r>
  </si>
  <si>
    <t>F</t>
  </si>
  <si>
    <r>
      <rPr>
        <b/>
        <sz val="10"/>
        <rFont val="Arial"/>
        <family val="2"/>
      </rPr>
      <t>Adicional de Periculosidade</t>
    </r>
    <r>
      <rPr>
        <b/>
        <sz val="10"/>
        <color indexed="10"/>
        <rFont val="Arial"/>
        <family val="2"/>
      </rPr>
      <t xml:space="preserve"> (Lei nº 12.740/2012)    (30% das rubricas pertinentes) </t>
    </r>
  </si>
  <si>
    <t>G</t>
  </si>
  <si>
    <t xml:space="preserve">Outros (especificar)                      </t>
  </si>
  <si>
    <t xml:space="preserve">Remuneração 1 = Total da Remuneração de verbas de natureza salarial nas quais incidem INSS + FGTS + Férias + 13º, etc.   </t>
  </si>
  <si>
    <t>H</t>
  </si>
  <si>
    <r>
      <rPr>
        <b/>
        <sz val="10"/>
        <rFont val="Arial"/>
        <family val="2"/>
      </rPr>
      <t xml:space="preserve">Intervalo Intrajornada </t>
    </r>
    <r>
      <rPr>
        <b/>
        <sz val="10"/>
        <color indexed="10"/>
        <rFont val="Arial"/>
        <family val="2"/>
      </rPr>
      <t>(Adicional de Intervalo)  Cálculo do valor: HE (s/peri) x 15d x2vigx</t>
    </r>
    <r>
      <rPr>
        <b/>
        <sz val="10"/>
        <color indexed="12"/>
        <rFont val="Arial"/>
        <family val="2"/>
      </rPr>
      <t>0,5h</t>
    </r>
    <r>
      <rPr>
        <b/>
        <sz val="10"/>
        <color indexed="10"/>
        <rFont val="Arial"/>
        <family val="2"/>
      </rPr>
      <t xml:space="preserve">) - </t>
    </r>
    <r>
      <rPr>
        <b/>
        <sz val="10"/>
        <rFont val="Arial"/>
        <family val="2"/>
      </rPr>
      <t>cláusula 66 da CCT 2021/2022</t>
    </r>
  </si>
  <si>
    <r>
      <rPr>
        <b/>
        <sz val="11"/>
        <rFont val="Arial"/>
        <family val="2"/>
      </rPr>
      <t xml:space="preserve">Total da Remuneração de verbas de natureza indenizatória nas quais não incidem INSS, FGTS, Férias, 13º, etc.  </t>
    </r>
    <r>
      <rPr>
        <b/>
        <sz val="11"/>
        <color indexed="10"/>
        <rFont val="Arial"/>
        <family val="2"/>
      </rPr>
      <t>- Empregado só recebe se estiver trabalhando.</t>
    </r>
  </si>
  <si>
    <r>
      <rPr>
        <b/>
        <sz val="14"/>
        <rFont val="Arial"/>
        <family val="2"/>
      </rPr>
      <t xml:space="preserve">Remuneração 2 = Total da Remuneração que o empregado irá receber- </t>
    </r>
    <r>
      <rPr>
        <b/>
        <sz val="11"/>
        <color indexed="12"/>
        <rFont val="Arial"/>
        <family val="2"/>
      </rPr>
      <t>Valor entra nos seguintes cálculos: Item 2, "A" - Quadro-Resumo do Custo por Posto de Trabalho, Custos Indiretos, Lucro e Tributos.</t>
    </r>
  </si>
  <si>
    <t>Nota1:  O Módulo 1 refere-se ao valor mensal devido ao empregado pela prestação do serviço no período de 12 meses.</t>
  </si>
  <si>
    <t>Módulo 2 : Encargos e Benefícios Anuais, Mensais e Diários</t>
  </si>
  <si>
    <r>
      <rPr>
        <b/>
        <sz val="11"/>
        <color indexed="8"/>
        <rFont val="Arial"/>
        <family val="2"/>
      </rPr>
      <t xml:space="preserve">Submódulo 2.1 – 13º (décimo terceiro) Salário </t>
    </r>
    <r>
      <rPr>
        <b/>
        <strike/>
        <sz val="11"/>
        <color indexed="25"/>
        <rFont val="Arial"/>
        <family val="2"/>
      </rPr>
      <t>(Férias???)</t>
    </r>
    <r>
      <rPr>
        <b/>
        <sz val="11"/>
        <color indexed="5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e Adicional de Férias</t>
    </r>
  </si>
  <si>
    <t>2.1</t>
  </si>
  <si>
    <r>
      <rPr>
        <b/>
        <sz val="11"/>
        <color indexed="8"/>
        <rFont val="Arial"/>
        <family val="2"/>
      </rPr>
      <t xml:space="preserve">13º (décimo terceiro) Salário </t>
    </r>
    <r>
      <rPr>
        <b/>
        <strike/>
        <sz val="10"/>
        <color indexed="25"/>
        <rFont val="Arial"/>
        <family val="2"/>
      </rPr>
      <t>(Férias???)</t>
    </r>
    <r>
      <rPr>
        <b/>
        <strike/>
        <sz val="11"/>
        <color indexed="25"/>
        <rFont val="Arial"/>
        <family val="2"/>
      </rPr>
      <t xml:space="preserve"> </t>
    </r>
    <r>
      <rPr>
        <b/>
        <sz val="11"/>
        <color indexed="8"/>
        <rFont val="Arial"/>
        <family val="2"/>
      </rPr>
      <t>e Adicional de Férias</t>
    </r>
  </si>
  <si>
    <t>Valor (R$)</t>
  </si>
  <si>
    <r>
      <rPr>
        <b/>
        <sz val="10"/>
        <color indexed="8"/>
        <rFont val="Arial"/>
        <family val="2"/>
      </rPr>
      <t>13º (décimo terceiro) Salário</t>
    </r>
    <r>
      <rPr>
        <b/>
        <sz val="11"/>
        <color indexed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Obrigatória a cotação de 8,33% sobre o valor do Módulo 1 – Composição da Remuneração1, conforme Anexo XII da IN 5/17</t>
    </r>
  </si>
  <si>
    <r>
      <rPr>
        <b/>
        <strike/>
        <sz val="10"/>
        <color indexed="10"/>
        <rFont val="Arial"/>
        <family val="2"/>
      </rPr>
      <t>(Férias e ???)</t>
    </r>
    <r>
      <rPr>
        <b/>
        <sz val="11"/>
        <color indexed="5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Adicional de Férias</t>
    </r>
    <r>
      <rPr>
        <b/>
        <sz val="10"/>
        <color indexed="5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Obrigatória a cotação de 2,78% sobre o valor do Módulo 1 – Composição da Remuneração1.</t>
    </r>
  </si>
  <si>
    <t>Total</t>
  </si>
  <si>
    <r>
      <rPr>
        <sz val="9"/>
        <color indexed="8"/>
        <rFont val="Arial"/>
        <family val="2"/>
      </rPr>
      <t xml:space="preserve">Nota 1:  Como a planilha de custos e formação de preços é calculada mensalmente, provisiona-se proporcionalmente 1/12 (um doze avos) dos valores referentes à gratificação natalina, </t>
    </r>
    <r>
      <rPr>
        <b/>
        <strike/>
        <sz val="9"/>
        <color indexed="10"/>
        <rFont val="Arial"/>
        <family val="2"/>
      </rPr>
      <t>férias</t>
    </r>
    <r>
      <rPr>
        <sz val="9"/>
        <color indexed="8"/>
        <rFont val="Arial"/>
        <family val="2"/>
      </rPr>
      <t xml:space="preserve"> e adicional de férias.
Nota 2:  O adicional de férias contido no Submódulo 2.1 corresponde a 1/3 (um terço) da remuneração que por sua vez é dividido por 12 (doze) conforme Nota 1 acima.
</t>
    </r>
    <r>
      <rPr>
        <b/>
        <strike/>
        <sz val="9"/>
        <color indexed="10"/>
        <rFont val="Arial"/>
        <family val="2"/>
      </rPr>
      <t>Nota 3: Levando em consideração a vigência contratual prevista no art. 57 da Lei nº 8.666/93, de 23 de junho de 1993, a rubrica férias tem como objetivo principal suprir a necessidade do pagamento das férias remuneradas ao final do contrato de 12 meses. Esta rubrica, quando da prorrogação contratual, torna-se custo não renovável.</t>
    </r>
  </si>
  <si>
    <r>
      <rPr>
        <b/>
        <sz val="11"/>
        <color indexed="8"/>
        <rFont val="Arial"/>
        <family val="2"/>
      </rPr>
      <t xml:space="preserve">Submódulo 2.2 - Encargos Previdenciários (GPS), Fundo de Garantia por Tempo de Serviço (FGTS) e outras contribuições  </t>
    </r>
    <r>
      <rPr>
        <b/>
        <sz val="11"/>
        <color indexed="12"/>
        <rFont val="Arial"/>
        <family val="2"/>
      </rPr>
      <t>(Base de Cálculo = Módulo 1 (Rem1) + Submódulo 2.1)</t>
    </r>
  </si>
  <si>
    <t>2.2</t>
  </si>
  <si>
    <t>GPS, FGTS e outras contribuições</t>
  </si>
  <si>
    <t>Valor
 (R$)</t>
  </si>
  <si>
    <t xml:space="preserve">INSS                                                                                                </t>
  </si>
  <si>
    <t xml:space="preserve">Salário Educação                                                                                            </t>
  </si>
  <si>
    <r>
      <rPr>
        <b/>
        <sz val="11"/>
        <color indexed="8"/>
        <rFont val="Arial"/>
        <family val="2"/>
      </rPr>
      <t xml:space="preserve">RAT x FAP 
</t>
    </r>
    <r>
      <rPr>
        <b/>
        <sz val="8"/>
        <color indexed="10"/>
        <rFont val="Arial"/>
        <family val="2"/>
      </rPr>
      <t>Cálculo do valor: % do RAT x FAP (Fator Acidentário de Prevenção de cada empresa)</t>
    </r>
  </si>
  <si>
    <t>RAT =</t>
  </si>
  <si>
    <t xml:space="preserve"> FAP =</t>
  </si>
  <si>
    <t xml:space="preserve">SESC ou SESI                                                                                                 </t>
  </si>
  <si>
    <t xml:space="preserve">SENAC ou SENAI                                                                                           </t>
  </si>
  <si>
    <t xml:space="preserve">SEBRAE                                                                                                              </t>
  </si>
  <si>
    <t xml:space="preserve">INCRA                                                                                                                  </t>
  </si>
  <si>
    <t xml:space="preserve">FGTS                                                                                                                 </t>
  </si>
  <si>
    <t>Nota 1: Os percentuais dos encargos previdenciários, do FGTS e demais contribuições são aqueles estabelecidos pela legislação vigente.
Nota 2: O SAT a depender do grau de risco do serviço irá variar entre 1%, para risco leve, de 2% para risco médio, e de 3% para risco grave.
Nota 3: Esses percentuais incidem sobre o Módulo 1, o Submódulo 2.1.</t>
  </si>
  <si>
    <t>Submódulo 2.3 – Benefícios Mensais e Diários</t>
  </si>
  <si>
    <t>2.3</t>
  </si>
  <si>
    <t>Benefícios Mensais e Diários</t>
  </si>
  <si>
    <r>
      <rPr>
        <b/>
        <sz val="10"/>
        <rFont val="Arial"/>
        <family val="2"/>
      </rPr>
      <t xml:space="preserve">Transporte                                                          </t>
    </r>
    <r>
      <rPr>
        <b/>
        <sz val="10"/>
        <color indexed="10"/>
        <rFont val="Arial"/>
        <family val="2"/>
      </rPr>
      <t>Cálculo do valor: [(2xVTx30) – (6%xSB)]</t>
    </r>
  </si>
  <si>
    <r>
      <rPr>
        <b/>
        <sz val="10"/>
        <rFont val="Arial"/>
        <family val="2"/>
      </rPr>
      <t xml:space="preserve">     </t>
    </r>
    <r>
      <rPr>
        <b/>
        <sz val="10"/>
        <color indexed="10"/>
        <rFont val="Arial"/>
        <family val="2"/>
      </rPr>
      <t>A.1)  Valor da passagem do transporte coletivo no município de
                prestação dos serviços</t>
    </r>
  </si>
  <si>
    <r>
      <rPr>
        <b/>
        <sz val="10"/>
        <rFont val="Arial"/>
        <family val="2"/>
      </rPr>
      <t xml:space="preserve">     </t>
    </r>
    <r>
      <rPr>
        <b/>
        <sz val="10"/>
        <color indexed="10"/>
        <rFont val="Arial"/>
        <family val="2"/>
      </rPr>
      <t>A.2) Quantidade de passagens por dia por empregado</t>
    </r>
  </si>
  <si>
    <t xml:space="preserve">     A.3) Quantidade de dias do mês de recebimento de passagens</t>
  </si>
  <si>
    <t xml:space="preserve">     A.4) Participação do empregado em percentual do salário-base (cláusula 30 da CCT 2021/2022)</t>
  </si>
  <si>
    <r>
      <rPr>
        <b/>
        <sz val="10"/>
        <rFont val="Arial"/>
        <family val="2"/>
      </rPr>
      <t xml:space="preserve">Auxílio-Refeição/Alimentação  </t>
    </r>
    <r>
      <rPr>
        <b/>
        <sz val="10"/>
        <color indexed="10"/>
        <rFont val="Arial"/>
        <family val="2"/>
      </rPr>
      <t>Cálculo do valor = [(30xVA)x(1-0,20)]</t>
    </r>
  </si>
  <si>
    <r>
      <rPr>
        <b/>
        <sz val="10"/>
        <rFont val="Arial"/>
        <family val="2"/>
      </rPr>
      <t xml:space="preserve">     </t>
    </r>
    <r>
      <rPr>
        <b/>
        <sz val="10"/>
        <color indexed="10"/>
        <rFont val="Arial"/>
        <family val="2"/>
      </rPr>
      <t>B.1) Valor do Auxílio-Alimentação  (cláusula 28 da CCT 2021/2022)</t>
    </r>
  </si>
  <si>
    <r>
      <rPr>
        <b/>
        <sz val="10"/>
        <rFont val="Arial"/>
        <family val="2"/>
      </rPr>
      <t xml:space="preserve">     </t>
    </r>
    <r>
      <rPr>
        <b/>
        <sz val="10"/>
        <color indexed="10"/>
        <rFont val="Arial"/>
        <family val="2"/>
      </rPr>
      <t>B.2) Quantidade de dias do mês de recebimento de auxílio-alimentação</t>
    </r>
  </si>
  <si>
    <t xml:space="preserve">     B.3) Participação do empregado em percentual sobre o auxílio-alimentação</t>
  </si>
  <si>
    <t>Assistência Médica e Familiar</t>
  </si>
  <si>
    <r>
      <rPr>
        <b/>
        <sz val="10"/>
        <rFont val="Arial"/>
        <family val="2"/>
      </rPr>
      <t xml:space="preserve">Seguro de Vida </t>
    </r>
    <r>
      <rPr>
        <b/>
        <sz val="10"/>
        <color indexed="10"/>
        <rFont val="Arial"/>
        <family val="2"/>
      </rPr>
      <t>(cláusula 32 da CCT 2021/2022)</t>
    </r>
    <r>
      <rPr>
        <b/>
        <sz val="9"/>
        <color indexed="10"/>
        <rFont val="Arial"/>
        <family val="2"/>
      </rPr>
      <t xml:space="preserve"> Cálculo do valor: vlr CCT x 0,0078% (essa alíquota representa uma média de acordo com os estudos da fia.) Prestação de serviços de vigilância patrimonial (Caderno de Logística MPOG 2014)</t>
    </r>
  </si>
  <si>
    <r>
      <rPr>
        <b/>
        <sz val="10"/>
        <rFont val="Arial"/>
        <family val="2"/>
      </rPr>
      <t xml:space="preserve">Auxílio-Funeral   </t>
    </r>
    <r>
      <rPr>
        <b/>
        <sz val="10"/>
        <color indexed="10"/>
        <rFont val="Arial"/>
        <family val="2"/>
      </rPr>
      <t xml:space="preserve">(cláusula 31 da CCT 2021/2022) </t>
    </r>
    <r>
      <rPr>
        <b/>
        <sz val="9"/>
        <color indexed="10"/>
        <rFont val="Arial"/>
        <family val="2"/>
      </rPr>
      <t>Cálculo do valor: vlr CCT x 0,0078% (essa alíquota representa uma média de acordo com os estudos da fia.) Prestação de serviços de vigilância patrimonial (Caderno de Logística MPOG 2014)</t>
    </r>
  </si>
  <si>
    <t>Outros (especificar)</t>
  </si>
  <si>
    <t>Nota 1: o valor informado deverá ser o custo real do insumo (descontado o valor eventualmente pago pelo empregado).
Nota 2: Observar a previsão dos benefícios contidos em Acordos, Convenções e Dissídios Coletivos de Trabalho e atentar-se ao disposto no artigo 6º desta Instrução Normativa.</t>
  </si>
  <si>
    <t>Quadro-Resumo do Módulo 2 – Encargos e Benefícios Anuais, Mensais e Diários</t>
  </si>
  <si>
    <t>Encargos e Benefícios Anuais, Mensais e Diários</t>
  </si>
  <si>
    <r>
      <rPr>
        <b/>
        <sz val="10"/>
        <color indexed="8"/>
        <rFont val="Arial"/>
        <family val="2"/>
      </rPr>
      <t xml:space="preserve">13º (décimo terceiro) Salário </t>
    </r>
    <r>
      <rPr>
        <b/>
        <strike/>
        <sz val="10"/>
        <color indexed="25"/>
        <rFont val="Arial"/>
        <family val="2"/>
      </rPr>
      <t>(Férias???)</t>
    </r>
    <r>
      <rPr>
        <b/>
        <sz val="10"/>
        <color indexed="3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e Adicional de Férias</t>
    </r>
  </si>
  <si>
    <t>Módulo 3 - Provisão para Rescisão</t>
  </si>
  <si>
    <t>Provisão para Rescisão</t>
  </si>
  <si>
    <r>
      <rPr>
        <b/>
        <sz val="10"/>
        <rFont val="Arial"/>
        <family val="2"/>
      </rPr>
      <t xml:space="preserve">Aviso Prévio Indenizado     </t>
    </r>
    <r>
      <rPr>
        <b/>
        <sz val="8"/>
        <color indexed="10"/>
        <rFont val="Arial"/>
        <family val="2"/>
      </rPr>
      <t>Cálculo do valor = [Rem1/12 + 13º/12 + Férias/12 + (1/3xFérias)/12]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</si>
  <si>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t>Incidência do FGTS sobre o Aviso Prévio Indenizado</t>
  </si>
  <si>
    <r>
      <rPr>
        <b/>
        <sz val="10"/>
        <rFont val="Arial"/>
        <family val="2"/>
      </rPr>
      <t xml:space="preserve">Aviso Prévio Trabalhado       </t>
    </r>
    <r>
      <rPr>
        <b/>
        <sz val="10"/>
        <color indexed="10"/>
        <rFont val="Arial"/>
        <family val="2"/>
      </rPr>
      <t>(</t>
    </r>
    <r>
      <rPr>
        <b/>
        <sz val="9"/>
        <color indexed="10"/>
        <rFont val="Arial"/>
        <family val="2"/>
      </rPr>
      <t>negociar extinção/redução na 1ª prorrogação)  Cálculo do valor= [(Rem1/30)x7]/</t>
    </r>
    <r>
      <rPr>
        <b/>
        <sz val="11"/>
        <color indexed="12"/>
        <rFont val="Arial"/>
        <family val="2"/>
      </rPr>
      <t>12</t>
    </r>
    <r>
      <rPr>
        <b/>
        <sz val="9"/>
        <color indexed="10"/>
        <rFont val="Arial"/>
        <family val="2"/>
      </rPr>
      <t xml:space="preserve"> meses do contratox100% dos empregados - ao final do contrato  </t>
    </r>
  </si>
  <si>
    <t>Incidência de GPS, FGTS e outras contribuições sobre o Aviso Prévio Trabalhado</t>
  </si>
  <si>
    <r>
      <rPr>
        <b/>
        <sz val="10"/>
        <rFont val="Arial"/>
        <family val="2"/>
      </rPr>
      <t>Multa do FGTS e contribuição social sobre o Aviso PrévioTrabalhado e Aviso Prévio Indenizado</t>
    </r>
    <r>
      <rPr>
        <b/>
        <sz val="8"/>
        <color indexed="10"/>
        <rFont val="Arial"/>
        <family val="2"/>
      </rPr>
      <t xml:space="preserve">Obrigatória a cotação de 4% sobre o valor do Módulo 1 – Composição da Remuneração1, conforme Anexo XII da IN Seges nº 5/2017 </t>
    </r>
  </si>
  <si>
    <t>TOTAL</t>
  </si>
  <si>
    <t>Módulo 4 - Custo de Reposição do Profissional Ausente</t>
  </si>
  <si>
    <t xml:space="preserve">Nota 1: Os itens que contemplam o módulo 4 se referem ao custo dos dias trabalhados pelo repositor/substituto quando o empregado alocado na prestação do serviço estiver ausente, conforme as previsões estabelecidas na legislação. </t>
  </si>
  <si>
    <r>
      <rPr>
        <b/>
        <sz val="11"/>
        <rFont val="Arial"/>
        <family val="2"/>
      </rPr>
      <t>Base de cálculo para o Custo de Reposição do Profissional Ausente (substituto): BCCPA = MÓDULO 1 (= a Rem2) + MÓDULO 2 + MÓDULO 3</t>
    </r>
    <r>
      <rPr>
        <b/>
        <sz val="11"/>
        <color indexed="10"/>
        <rFont val="Arial"/>
        <family val="2"/>
      </rPr>
      <t xml:space="preserve">  - exceto o Afastamento Maternidade, pois que a Rem e o 13º são compensados pelo INSS</t>
    </r>
  </si>
  <si>
    <t>MÓD 1                 (= a Rem1)=</t>
  </si>
  <si>
    <r>
      <rPr>
        <b/>
        <sz val="11"/>
        <color indexed="12"/>
        <rFont val="Arial"/>
        <family val="2"/>
      </rPr>
      <t xml:space="preserve">MÓD 2 </t>
    </r>
    <r>
      <rPr>
        <b/>
        <sz val="10"/>
        <color indexed="10"/>
        <rFont val="Arial"/>
        <family val="2"/>
      </rPr>
      <t>(sem VA e os VT)</t>
    </r>
    <r>
      <rPr>
        <b/>
        <sz val="11"/>
        <color indexed="12"/>
        <rFont val="Arial"/>
        <family val="2"/>
      </rPr>
      <t xml:space="preserve"> =</t>
    </r>
  </si>
  <si>
    <t>MÓD 3 =</t>
  </si>
  <si>
    <t>Submódulo 4.1 – Substituto nas Ausências Legais</t>
  </si>
  <si>
    <t>4.1</t>
  </si>
  <si>
    <t>Substituto nas Ausências Legais</t>
  </si>
  <si>
    <r>
      <rPr>
        <b/>
        <sz val="10"/>
        <color indexed="8"/>
        <rFont val="Arial"/>
        <family val="2"/>
      </rPr>
      <t>Substituto na cobertura de Férias</t>
    </r>
    <r>
      <rPr>
        <b/>
        <sz val="10"/>
        <color indexed="58"/>
        <rFont val="Arial"/>
        <family val="2"/>
      </rPr>
      <t xml:space="preserve">  </t>
    </r>
    <r>
      <rPr>
        <b/>
        <sz val="10"/>
        <color indexed="10"/>
        <rFont val="Arial"/>
        <family val="2"/>
      </rPr>
      <t xml:space="preserve">Cálculo do Valor = </t>
    </r>
    <r>
      <rPr>
        <b/>
        <sz val="10"/>
        <color indexed="12"/>
        <rFont val="Arial"/>
        <family val="2"/>
      </rPr>
      <t>BCCPA/</t>
    </r>
    <r>
      <rPr>
        <b/>
        <sz val="10"/>
        <color indexed="10"/>
        <rFont val="Arial"/>
        <family val="2"/>
      </rPr>
      <t>12</t>
    </r>
  </si>
  <si>
    <r>
      <rPr>
        <b/>
        <sz val="10"/>
        <rFont val="Arial"/>
        <family val="2"/>
      </rPr>
      <t xml:space="preserve">Substituto na cobertura de Ausências Legais </t>
    </r>
    <r>
      <rPr>
        <b/>
        <sz val="10"/>
        <color indexed="10"/>
        <rFont val="Arial"/>
        <family val="2"/>
      </rPr>
      <t>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/30)x1dia]/12</t>
    </r>
  </si>
  <si>
    <r>
      <rPr>
        <b/>
        <sz val="10"/>
        <rFont val="Arial"/>
        <family val="2"/>
      </rPr>
      <t xml:space="preserve">Substituto na cobertura de Licença-Paternidade
</t>
    </r>
    <r>
      <rPr>
        <b/>
        <sz val="10"/>
        <color indexed="10"/>
        <rFont val="Arial"/>
        <family val="2"/>
      </rPr>
      <t>Cálculo do valor = 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/30)x5dias]/12}x1,5%</t>
    </r>
  </si>
  <si>
    <r>
      <rPr>
        <b/>
        <sz val="10"/>
        <rFont val="Arial"/>
        <family val="2"/>
      </rPr>
      <t xml:space="preserve">Substituto na cobertura de Ausência por acidente de trabalho
</t>
    </r>
    <r>
      <rPr>
        <b/>
        <sz val="10"/>
        <color indexed="10"/>
        <rFont val="Arial"/>
        <family val="2"/>
      </rPr>
      <t>Cálculo do valor  = {[(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/30)x15dias]/12}x0,78%</t>
    </r>
  </si>
  <si>
    <r>
      <rPr>
        <b/>
        <sz val="10"/>
        <rFont val="Arial"/>
        <family val="2"/>
      </rPr>
      <t xml:space="preserve">Substituto na cobertura de Afastamento Maternidade 
</t>
    </r>
    <r>
      <rPr>
        <b/>
        <sz val="8.5"/>
        <color indexed="10"/>
        <rFont val="Arial"/>
        <family val="2"/>
      </rPr>
      <t>Cálculo do valor = {[(Rem1 + Rem1 / 3)/12 + (SUB2.2 + SUB2.3 -VA - VT + MÓD3)]  x (4/12)} x 2%</t>
    </r>
  </si>
  <si>
    <r>
      <rPr>
        <b/>
        <sz val="10"/>
        <rFont val="Arial"/>
        <family val="2"/>
      </rPr>
      <t xml:space="preserve">Substituto na cobertura de Ausência por doença
</t>
    </r>
    <r>
      <rPr>
        <b/>
        <sz val="10"/>
        <color indexed="10"/>
        <rFont val="Arial"/>
        <family val="2"/>
      </rPr>
      <t>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 xml:space="preserve">)/30)x3dias]/12 </t>
    </r>
  </si>
  <si>
    <t>Submódulo 4.2 – Substituto na Intrajornada</t>
  </si>
  <si>
    <t xml:space="preserve">4.2 </t>
  </si>
  <si>
    <t>Substituto na Intrajornada</t>
  </si>
  <si>
    <t>Substituto na cobertura de Intervalo para repouso ou alimentação</t>
  </si>
  <si>
    <t>Quadro-Resumo do Módulo 4 – Custo de Reposição do Profissional Ausente</t>
  </si>
  <si>
    <t>Custo de Reposição do Profissional Ausente</t>
  </si>
  <si>
    <t>4.2</t>
  </si>
  <si>
    <t>Módulo 5 – Insumos Diversos</t>
  </si>
  <si>
    <t>Insumos Diversos</t>
  </si>
  <si>
    <t>Uniformes  - conforme memoria de calculo</t>
  </si>
  <si>
    <t xml:space="preserve">Materiais / Equipamentos   - conforme memoria de calculo </t>
  </si>
  <si>
    <r>
      <rPr>
        <b/>
        <sz val="10"/>
        <rFont val="Arial"/>
        <family val="2"/>
      </rPr>
      <t xml:space="preserve">Relógio Ponto                    </t>
    </r>
    <r>
      <rPr>
        <b/>
        <sz val="9"/>
        <rFont val="Arial"/>
        <family val="2"/>
      </rPr>
      <t xml:space="preserve">Cálculo memoria de calculo </t>
    </r>
  </si>
  <si>
    <t xml:space="preserve">Total </t>
  </si>
  <si>
    <t>Nota: cenário máximo Base de cálculo: (Módulo 1 + Módulo 2 + Módulo 3 + Módulo 4)*3,05% (caderno técnico 2019) = (8.083,65 *3,05%) = 246,55</t>
  </si>
  <si>
    <t>Módulo 6 - Custos Indiretos, Lucro e Tributos</t>
  </si>
  <si>
    <t xml:space="preserve">Custos Indiretos, Lucro e Tributos </t>
  </si>
  <si>
    <t>BASE DE CÁLCULO DOS CUSTOS INDIRETOS  =  (Total do Módulo 1 – Composição da  Remuneração2 + Total do Módulo 2 - Encargos e Benefícios Anuais, Mensais e Diários + Total do Módulo 3 – Provisão da Rescisão + Total do Módulo 4 - Custo de Reposição do Profissional Ausente + Total do Módulo 5 - Insumos Diversos)</t>
  </si>
  <si>
    <t>Custos Indiretos</t>
  </si>
  <si>
    <t>BASE DE CÁLCULO DO LUCRO = (Total do Módulo 1 – Composição da  Remuneração2 + Total do Módulo 2 - Encargos e Benefícios Anuais, Mensais e Diários + Total do Módulo 3 – Provisão da Rescisão + Total do Módulo 4 - Custo de Reposição do Profissional Ausente + Total do Módulo 5 - Insumos Diversos + Custos Indiretos)</t>
  </si>
  <si>
    <t>Lucro</t>
  </si>
  <si>
    <t>BASE DE CÁLCULO DOS TRIBUTOS = (Total do Módulo 1 – Composição da  Remuneração2 + Total do Módulo 2 - Encargos e Benefícios Anuais, Mensais e Diários + Total do Módulo 3 – Provisão da Rescisão + Total do Módulo 4 - Custo de Reposição do Profissional Ausente + Total do Módulo 5 - Insumos Diversos + Custos Indiretos + Lucro)</t>
  </si>
  <si>
    <t>Tributos</t>
  </si>
  <si>
    <t>C.1    Tributos federais (especificar)</t>
  </si>
  <si>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a) Cofins </t>
    </r>
    <r>
      <rPr>
        <sz val="8.5"/>
        <color indexed="10"/>
        <rFont val="Arial"/>
        <family val="2"/>
      </rPr>
      <t>(depende do regime de tributação - utilizada a hipótese de Lucro Real ou Presumido)</t>
    </r>
  </si>
  <si>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b) PIS       </t>
    </r>
    <r>
      <rPr>
        <sz val="9"/>
        <color indexed="10"/>
        <rFont val="Arial"/>
        <family val="2"/>
      </rPr>
      <t>(depende do regime de tributação - utilizada a hipótese de Lucro Real ou Presumido)</t>
    </r>
  </si>
  <si>
    <r>
      <rPr>
        <b/>
        <sz val="10"/>
        <rFont val="Arial"/>
        <family val="2"/>
      </rPr>
      <t xml:space="preserve"> c) IRPJ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39"/>
        <rFont val="Arial"/>
        <family val="2"/>
      </rPr>
      <t>-</t>
    </r>
    <r>
      <rPr>
        <b/>
        <sz val="9"/>
        <color indexed="39"/>
        <rFont val="Arial"/>
        <family val="2"/>
      </rPr>
      <t xml:space="preserve">  Em face dos Acórdãos TCU nºs 950/2007-P e 205/2018-P, o licitante não pode cotar expressamente este tributo.</t>
    </r>
  </si>
  <si>
    <r>
      <rPr>
        <b/>
        <sz val="10"/>
        <rFont val="Arial"/>
        <family val="2"/>
      </rPr>
      <t xml:space="preserve"> d) CSLL </t>
    </r>
    <r>
      <rPr>
        <b/>
        <sz val="10"/>
        <color indexed="39"/>
        <rFont val="Arial"/>
        <family val="2"/>
      </rPr>
      <t xml:space="preserve">- </t>
    </r>
    <r>
      <rPr>
        <b/>
        <sz val="9"/>
        <color indexed="39"/>
        <rFont val="Arial"/>
        <family val="2"/>
      </rPr>
      <t xml:space="preserve"> Em face dos Acórdãos TCU nºs 950/2007-P e 205/2018-P, o licitante não pode cotar expressamente este tributo.</t>
    </r>
  </si>
  <si>
    <t>C.2   Tributos estaduais (especificar)</t>
  </si>
  <si>
    <t>C.3   Tributos municipais (especificar):</t>
  </si>
  <si>
    <t xml:space="preserve">  a) ISS        (Art. 59, Inciso XI da LC Municipal Nº 12, de 28/12/1994, Caxias do Sul/RS)</t>
  </si>
  <si>
    <t xml:space="preserve">Percentual Total e Valor Total de Tributos  </t>
  </si>
  <si>
    <t>Cálculo dos Tributos</t>
  </si>
  <si>
    <t xml:space="preserve">                                         Base de Cálculo para os Tributos</t>
  </si>
  <si>
    <t xml:space="preserve"> = ( --------------------------------------------------------- ) x Alíquota do Tributo</t>
  </si>
  <si>
    <t xml:space="preserve">                                  1 - (Total de Tributos em % dividido por 100)</t>
  </si>
  <si>
    <t>Nota 1: Custos Indiretos, Lucro e Tributos por empregado.
Nota 2: O valor referente a tributos é obtido aplicando-se o percentual sobre o valor do faturamento.</t>
  </si>
  <si>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 xml:space="preserve">2. QUADRO-RESUMO DO CUSTO POR POSTO DE TRABALHO
</t>
    </r>
  </si>
  <si>
    <t>Mão de obra vinculada à execução contratual (valor por Posto de Trabalho)</t>
  </si>
  <si>
    <t>Módulo 1 - Composição da Remuneração2</t>
  </si>
  <si>
    <t>Módulo 2 – Encargos e Benefícios Anuais, Mensais e Diários</t>
  </si>
  <si>
    <t>Módulo 3 – Provisão para Rescisão</t>
  </si>
  <si>
    <t>Módulo 4 – Custo de Reposição do Profissional Ausente</t>
  </si>
  <si>
    <t xml:space="preserve">Módulo 5 - Insumo Diversos </t>
  </si>
  <si>
    <t>Subtotal (A + B + C + D + E)</t>
  </si>
  <si>
    <t>Valor Total por Posto</t>
  </si>
  <si>
    <t xml:space="preserve">O complemento abaixo é uma planilha auxiliar que consolida as várias planilhas com os diferentes tipos de postos </t>
  </si>
  <si>
    <t>3.  COMPLEMENTO DOS SERVIÇOS DE VIGILÂNCIA – VALOR MENSAL DOS SERVIÇOS</t>
  </si>
  <si>
    <t>ESCALA DE TRABALHO</t>
  </si>
  <si>
    <t>PREÇO MENSAL DO POSTO  
(R$)</t>
  </si>
  <si>
    <t>NÚMERO DE POSTOS</t>
  </si>
  <si>
    <t>SUBTOTAL
(R$)</t>
  </si>
  <si>
    <t>44 (quarenta e quatro) horas semanais diurnas, de segunda a sexta-feira envolvendo 1 (um) vigilante</t>
  </si>
  <si>
    <t xml:space="preserve">12 horas diurnas, de segunda-feira a domingo, envolvendo 2 (dois) vigilantes em turnos de  12 (doze) por 36 (trinta e seis) horas </t>
  </si>
  <si>
    <t xml:space="preserve">12 horas noturnas, de segunda-feira a domingo, envolvendo 2 (dois) vigilantes em turnos de  12 (doze) por 36 (trinta e seis) horas </t>
  </si>
  <si>
    <t xml:space="preserve">12 horas diurnas, de segunda-feira à sexta-feira, envolvendo 2 (dois) vigilantes em turnos de  12 (doze) por 36 (trinta e seis) horas </t>
  </si>
  <si>
    <t xml:space="preserve">12 horas noturnas, de segunda-feira à sexta-feira, envolvendo 2 (dois) vigilantes em turnos de  12 (doze) por 36 (trinta e seis) horas </t>
  </si>
  <si>
    <r>
      <rPr>
        <b/>
        <sz val="10"/>
        <rFont val="Arial"/>
        <family val="2"/>
      </rPr>
      <t xml:space="preserve">Outros (especificar) </t>
    </r>
    <r>
      <rPr>
        <b/>
        <sz val="14"/>
        <color indexed="10"/>
        <rFont val="Arial"/>
        <family val="2"/>
      </rPr>
      <t>(excluir linhas que não serão utilizadas)</t>
    </r>
  </si>
  <si>
    <t>TOTAL:</t>
  </si>
  <si>
    <t xml:space="preserve">Nota: Nos casos de inclusão de outros tipos de postos, observar o disposto no item 4 do Anexo VI-A, desta Instrução Normativa </t>
  </si>
  <si>
    <t>Valor mensal do serviço</t>
  </si>
  <si>
    <t>Número de meses do contrato</t>
  </si>
  <si>
    <r>
      <rPr>
        <b/>
        <sz val="14"/>
        <rFont val="Arial"/>
        <family val="2"/>
      </rPr>
      <t xml:space="preserve">Valor global da proposta </t>
    </r>
    <r>
      <rPr>
        <b/>
        <sz val="10"/>
        <rFont val="Arial"/>
        <family val="2"/>
      </rPr>
      <t>(valor mensal do serviço x nº de meses do contrato)</t>
    </r>
  </si>
  <si>
    <r>
      <rPr>
        <b/>
        <sz val="10"/>
        <rFont val="Arial"/>
        <family val="2"/>
      </rPr>
      <t xml:space="preserve">QUANTIDADE DE PESSOAL ALOCADO NA EXECUÇÃO CONTRATUAL (item 6.2.e do Anexo VII da IN nº 5/2017  e </t>
    </r>
    <r>
      <rPr>
        <b/>
        <sz val="10"/>
        <color indexed="10"/>
        <rFont val="Arial"/>
        <family val="2"/>
      </rPr>
      <t>item xx do edital</t>
    </r>
    <r>
      <rPr>
        <b/>
        <sz val="10"/>
        <color indexed="8"/>
        <rFont val="Arial"/>
        <family val="2"/>
      </rPr>
      <t>)</t>
    </r>
  </si>
  <si>
    <t>Tipo de Mão de Obra</t>
  </si>
  <si>
    <t>Quantidade de Pessoal</t>
  </si>
  <si>
    <t>Vigilante</t>
  </si>
  <si>
    <t>xxx</t>
  </si>
  <si>
    <r>
      <rPr>
        <b/>
        <sz val="10"/>
        <rFont val="Arial"/>
        <family val="2"/>
      </rPr>
      <t xml:space="preserve">MATERIAIS, MÁQUINAS E EQUIPAMENTOS ALOCADOS NA EXECUÇÃO CONTRATUAL (item 6.2.f do Anexo VII da IN nº 5/2017  e </t>
    </r>
    <r>
      <rPr>
        <b/>
        <sz val="10"/>
        <color indexed="10"/>
        <rFont val="Arial"/>
        <family val="2"/>
      </rPr>
      <t>item xxx do edital</t>
    </r>
    <r>
      <rPr>
        <b/>
        <sz val="10"/>
        <color indexed="8"/>
        <rFont val="Arial"/>
        <family val="2"/>
      </rPr>
      <t>)</t>
    </r>
  </si>
  <si>
    <t>Especificação dos Materiais/Máquinas/Equipamentos</t>
  </si>
  <si>
    <t xml:space="preserve">Quantidade </t>
  </si>
  <si>
    <r>
      <t xml:space="preserve">ANEXO IV - A </t>
    </r>
    <r>
      <rPr>
        <b/>
        <sz val="18"/>
        <color indexed="10"/>
        <rFont val="Arial"/>
        <family val="2"/>
      </rPr>
      <t>do Pregão nº 22/2021 -</t>
    </r>
    <r>
      <rPr>
        <b/>
        <sz val="18"/>
        <color indexed="12"/>
        <rFont val="Arial"/>
        <family val="2"/>
      </rPr>
      <t xml:space="preserve">COM PERI NO FIM
</t>
    </r>
    <r>
      <rPr>
        <b/>
        <sz val="18"/>
        <rFont val="Arial"/>
        <family val="2"/>
      </rPr>
      <t xml:space="preserve">MODELO DE PLANILHA DE CUSTOS E FORMAÇÃO DE PREÇOS </t>
    </r>
    <r>
      <rPr>
        <b/>
        <sz val="18"/>
        <color indexed="20"/>
        <rFont val="Arial"/>
        <family val="2"/>
      </rPr>
      <t xml:space="preserve"> </t>
    </r>
  </si>
  <si>
    <t>Nº do processo: 23362.000082/2021-11</t>
  </si>
  <si>
    <t>22/2021</t>
  </si>
  <si>
    <t>Pregão nº 22/2021</t>
  </si>
  <si>
    <t>Licitação nº: 22/2021</t>
  </si>
  <si>
    <r>
      <t>Dia: xx</t>
    </r>
    <r>
      <rPr>
        <b/>
        <sz val="10"/>
        <color indexed="10"/>
        <rFont val="Arial"/>
        <family val="2"/>
      </rPr>
      <t>/xx/2021</t>
    </r>
  </si>
  <si>
    <r>
      <t xml:space="preserve">VIGILÂNCIA 12 x 36 DIURNO - </t>
    </r>
    <r>
      <rPr>
        <b/>
        <sz val="14"/>
        <color indexed="48"/>
        <rFont val="Arial"/>
        <family val="2"/>
      </rPr>
      <t xml:space="preserve">Lucro Real e Presumido </t>
    </r>
    <r>
      <rPr>
        <b/>
        <sz val="14"/>
        <color indexed="12"/>
        <rFont val="Arial"/>
        <family val="2"/>
      </rPr>
      <t xml:space="preserve">- </t>
    </r>
    <r>
      <rPr>
        <b/>
        <sz val="16"/>
        <color indexed="10"/>
        <rFont val="Arial"/>
        <family val="2"/>
      </rPr>
      <t>CONTA VINCULADA</t>
    </r>
  </si>
</sst>
</file>

<file path=xl/styles.xml><?xml version="1.0" encoding="utf-8"?>
<styleSheet xmlns="http://schemas.openxmlformats.org/spreadsheetml/2006/main">
  <numFmts count="1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* #,##0.00_);_(* \(#,##0.00\);_(* \-??_);_(@_)"/>
    <numFmt numFmtId="165" formatCode="_(&quot;R$ &quot;* #,##0.00_);_(&quot;R$ &quot;* \(#,##0.00\);_(&quot;R$ &quot;* \-??_);_(@_)"/>
    <numFmt numFmtId="166" formatCode="&quot;R$ &quot;#,##0.00"/>
    <numFmt numFmtId="167" formatCode="0.0000"/>
    <numFmt numFmtId="168" formatCode="0.0000%"/>
  </numFmts>
  <fonts count="7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5"/>
      <color indexed="20"/>
      <name val="Arial"/>
      <family val="2"/>
    </font>
    <font>
      <b/>
      <sz val="14"/>
      <color indexed="48"/>
      <name val="Arial"/>
      <family val="2"/>
    </font>
    <font>
      <b/>
      <sz val="14"/>
      <color indexed="12"/>
      <name val="Arial"/>
      <family val="2"/>
    </font>
    <font>
      <b/>
      <sz val="16"/>
      <color indexed="10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2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5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9.5"/>
      <color indexed="12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b/>
      <strike/>
      <sz val="11"/>
      <color indexed="25"/>
      <name val="Arial"/>
      <family val="2"/>
    </font>
    <font>
      <b/>
      <sz val="11"/>
      <color indexed="58"/>
      <name val="Arial"/>
      <family val="2"/>
    </font>
    <font>
      <b/>
      <strike/>
      <sz val="10"/>
      <color indexed="25"/>
      <name val="Arial"/>
      <family val="2"/>
    </font>
    <font>
      <b/>
      <sz val="8"/>
      <color indexed="10"/>
      <name val="Arial"/>
      <family val="2"/>
    </font>
    <font>
      <b/>
      <strike/>
      <sz val="10"/>
      <color indexed="10"/>
      <name val="Arial"/>
      <family val="2"/>
    </font>
    <font>
      <b/>
      <sz val="10"/>
      <color indexed="58"/>
      <name val="Arial"/>
      <family val="2"/>
    </font>
    <font>
      <b/>
      <sz val="12"/>
      <color indexed="21"/>
      <name val="Arial"/>
      <family val="2"/>
    </font>
    <font>
      <b/>
      <strike/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38"/>
      <name val="Arial"/>
      <family val="2"/>
    </font>
    <font>
      <sz val="9"/>
      <color indexed="58"/>
      <name val="Arial"/>
      <family val="2"/>
    </font>
    <font>
      <b/>
      <sz val="8.5"/>
      <color indexed="10"/>
      <name val="Arial"/>
      <family val="2"/>
    </font>
    <font>
      <b/>
      <sz val="9"/>
      <name val="Arial"/>
      <family val="2"/>
    </font>
    <font>
      <sz val="8.5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39"/>
      <name val="Arial"/>
      <family val="2"/>
    </font>
    <font>
      <b/>
      <sz val="9"/>
      <color indexed="39"/>
      <name val="Arial"/>
      <family val="2"/>
    </font>
    <font>
      <sz val="10"/>
      <color indexed="10"/>
      <name val="Arial"/>
      <family val="2"/>
    </font>
    <font>
      <b/>
      <sz val="16"/>
      <color indexed="12"/>
      <name val="Arial"/>
      <family val="2"/>
    </font>
    <font>
      <b/>
      <sz val="14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6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9" fillId="23" borderId="0" applyNumberFormat="0" applyBorder="0" applyAlignment="0" applyProtection="0"/>
    <xf numFmtId="0" fontId="1" fillId="0" borderId="0">
      <alignment/>
      <protection/>
    </xf>
    <xf numFmtId="0" fontId="0" fillId="24" borderId="4" applyNumberFormat="0" applyFont="0" applyAlignment="0" applyProtection="0"/>
    <xf numFmtId="0" fontId="0" fillId="25" borderId="5" applyNumberFormat="0" applyAlignment="0" applyProtection="0"/>
    <xf numFmtId="9" fontId="0" fillId="0" borderId="0" applyFill="0" applyBorder="0" applyAlignment="0" applyProtection="0"/>
    <xf numFmtId="0" fontId="10" fillId="17" borderId="6" applyNumberFormat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14" fillId="0" borderId="8" applyNumberFormat="0" applyFill="0" applyAlignment="0" applyProtection="0"/>
    <xf numFmtId="0" fontId="69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12" applyNumberFormat="0" applyFill="0" applyAlignment="0" applyProtection="0"/>
    <xf numFmtId="164" fontId="0" fillId="0" borderId="0" applyFill="0" applyBorder="0" applyAlignment="0" applyProtection="0"/>
  </cellStyleXfs>
  <cellXfs count="42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26" borderId="0" xfId="0" applyFont="1" applyFill="1" applyAlignment="1">
      <alignment/>
    </xf>
    <xf numFmtId="0" fontId="18" fillId="0" borderId="0" xfId="0" applyFont="1" applyAlignment="1">
      <alignment horizontal="center"/>
    </xf>
    <xf numFmtId="0" fontId="27" fillId="23" borderId="1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10" fontId="18" fillId="0" borderId="0" xfId="66" applyNumberFormat="1" applyFont="1" applyFill="1" applyBorder="1" applyAlignment="1" applyProtection="1">
      <alignment horizontal="center" vertical="center"/>
      <protection/>
    </xf>
    <xf numFmtId="165" fontId="18" fillId="0" borderId="0" xfId="46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horizontal="center" vertical="center" wrapText="1"/>
    </xf>
    <xf numFmtId="0" fontId="27" fillId="23" borderId="1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10" fontId="27" fillId="0" borderId="13" xfId="0" applyNumberFormat="1" applyFont="1" applyFill="1" applyBorder="1" applyAlignment="1">
      <alignment horizontal="center" vertical="center"/>
    </xf>
    <xf numFmtId="4" fontId="18" fillId="0" borderId="0" xfId="0" applyNumberFormat="1" applyFont="1" applyAlignment="1">
      <alignment/>
    </xf>
    <xf numFmtId="10" fontId="33" fillId="0" borderId="13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10" fontId="27" fillId="0" borderId="13" xfId="0" applyNumberFormat="1" applyFont="1" applyFill="1" applyBorder="1" applyAlignment="1">
      <alignment horizontal="right" vertical="center"/>
    </xf>
    <xf numFmtId="10" fontId="27" fillId="0" borderId="13" xfId="0" applyNumberFormat="1" applyFont="1" applyBorder="1" applyAlignment="1">
      <alignment horizontal="right" vertical="center"/>
    </xf>
    <xf numFmtId="0" fontId="27" fillId="0" borderId="13" xfId="0" applyFont="1" applyBorder="1" applyAlignment="1">
      <alignment horizontal="right" vertical="center" wrapText="1"/>
    </xf>
    <xf numFmtId="9" fontId="27" fillId="27" borderId="13" xfId="0" applyNumberFormat="1" applyFont="1" applyFill="1" applyBorder="1" applyAlignment="1">
      <alignment horizontal="left" vertical="center" wrapText="1"/>
    </xf>
    <xf numFmtId="167" fontId="27" fillId="27" borderId="13" xfId="0" applyNumberFormat="1" applyFont="1" applyFill="1" applyBorder="1" applyAlignment="1">
      <alignment horizontal="left" vertical="center" wrapText="1"/>
    </xf>
    <xf numFmtId="168" fontId="27" fillId="0" borderId="13" xfId="0" applyNumberFormat="1" applyFont="1" applyBorder="1" applyAlignment="1">
      <alignment horizontal="right" vertical="center"/>
    </xf>
    <xf numFmtId="168" fontId="27" fillId="23" borderId="13" xfId="0" applyNumberFormat="1" applyFont="1" applyFill="1" applyBorder="1" applyAlignment="1">
      <alignment horizontal="right" vertical="center"/>
    </xf>
    <xf numFmtId="0" fontId="0" fillId="28" borderId="15" xfId="0" applyFill="1" applyBorder="1" applyAlignment="1">
      <alignment horizontal="right" vertical="center"/>
    </xf>
    <xf numFmtId="10" fontId="27" fillId="28" borderId="15" xfId="0" applyNumberFormat="1" applyFont="1" applyFill="1" applyBorder="1" applyAlignment="1">
      <alignment horizontal="right" vertical="center"/>
    </xf>
    <xf numFmtId="166" fontId="28" fillId="0" borderId="13" xfId="0" applyNumberFormat="1" applyFont="1" applyBorder="1" applyAlignment="1">
      <alignment vertical="center"/>
    </xf>
    <xf numFmtId="4" fontId="28" fillId="0" borderId="13" xfId="0" applyNumberFormat="1" applyFont="1" applyBorder="1" applyAlignment="1">
      <alignment vertical="center"/>
    </xf>
    <xf numFmtId="3" fontId="28" fillId="0" borderId="13" xfId="0" applyNumberFormat="1" applyFont="1" applyBorder="1" applyAlignment="1">
      <alignment vertical="center"/>
    </xf>
    <xf numFmtId="10" fontId="28" fillId="0" borderId="16" xfId="0" applyNumberFormat="1" applyFont="1" applyBorder="1" applyAlignment="1">
      <alignment vertical="center"/>
    </xf>
    <xf numFmtId="10" fontId="35" fillId="0" borderId="13" xfId="0" applyNumberFormat="1" applyFont="1" applyFill="1" applyBorder="1" applyAlignment="1">
      <alignment horizontal="right" vertical="center"/>
    </xf>
    <xf numFmtId="0" fontId="41" fillId="0" borderId="13" xfId="0" applyFont="1" applyFill="1" applyBorder="1" applyAlignment="1">
      <alignment horizontal="right" vertical="center" wrapText="1"/>
    </xf>
    <xf numFmtId="4" fontId="41" fillId="0" borderId="13" xfId="0" applyNumberFormat="1" applyFont="1" applyFill="1" applyBorder="1" applyAlignment="1">
      <alignment horizontal="left" vertical="center" wrapText="1"/>
    </xf>
    <xf numFmtId="0" fontId="41" fillId="28" borderId="13" xfId="0" applyFont="1" applyFill="1" applyBorder="1" applyAlignment="1">
      <alignment vertical="center" wrapText="1"/>
    </xf>
    <xf numFmtId="0" fontId="41" fillId="28" borderId="13" xfId="0" applyFont="1" applyFill="1" applyBorder="1" applyAlignment="1">
      <alignment horizontal="justify" vertical="center" wrapText="1"/>
    </xf>
    <xf numFmtId="0" fontId="0" fillId="28" borderId="15" xfId="0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10" fontId="27" fillId="27" borderId="13" xfId="0" applyNumberFormat="1" applyFont="1" applyFill="1" applyBorder="1" applyAlignment="1">
      <alignment horizontal="right" vertical="center"/>
    </xf>
    <xf numFmtId="10" fontId="28" fillId="0" borderId="13" xfId="0" applyNumberFormat="1" applyFont="1" applyBorder="1" applyAlignment="1">
      <alignment horizontal="center" vertical="center"/>
    </xf>
    <xf numFmtId="10" fontId="27" fillId="0" borderId="13" xfId="0" applyNumberFormat="1" applyFont="1" applyBorder="1" applyAlignment="1">
      <alignment horizontal="center" vertical="center"/>
    </xf>
    <xf numFmtId="10" fontId="27" fillId="27" borderId="13" xfId="0" applyNumberFormat="1" applyFont="1" applyFill="1" applyBorder="1" applyAlignment="1">
      <alignment horizontal="right" vertical="center" wrapText="1"/>
    </xf>
    <xf numFmtId="10" fontId="27" fillId="0" borderId="13" xfId="0" applyNumberFormat="1" applyFont="1" applyBorder="1" applyAlignment="1">
      <alignment horizontal="center" vertical="center" wrapText="1"/>
    </xf>
    <xf numFmtId="10" fontId="27" fillId="0" borderId="13" xfId="0" applyNumberFormat="1" applyFont="1" applyBorder="1" applyAlignment="1">
      <alignment horizontal="center" wrapText="1"/>
    </xf>
    <xf numFmtId="10" fontId="27" fillId="0" borderId="13" xfId="0" applyNumberFormat="1" applyFont="1" applyBorder="1" applyAlignment="1">
      <alignment horizontal="right" vertical="center" wrapText="1"/>
    </xf>
    <xf numFmtId="10" fontId="28" fillId="0" borderId="13" xfId="0" applyNumberFormat="1" applyFont="1" applyBorder="1" applyAlignment="1">
      <alignment horizontal="right" vertical="center"/>
    </xf>
    <xf numFmtId="0" fontId="18" fillId="23" borderId="0" xfId="0" applyFont="1" applyFill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4" fontId="28" fillId="0" borderId="0" xfId="0" applyNumberFormat="1" applyFont="1" applyBorder="1" applyAlignment="1">
      <alignment horizontal="left"/>
    </xf>
    <xf numFmtId="0" fontId="18" fillId="0" borderId="0" xfId="0" applyFont="1" applyFill="1" applyAlignment="1">
      <alignment vertical="center"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 vertical="center"/>
    </xf>
    <xf numFmtId="164" fontId="18" fillId="0" borderId="0" xfId="0" applyNumberFormat="1" applyFont="1" applyAlignment="1">
      <alignment vertical="center"/>
    </xf>
    <xf numFmtId="3" fontId="27" fillId="0" borderId="13" xfId="0" applyNumberFormat="1" applyFont="1" applyBorder="1" applyAlignment="1">
      <alignment horizontal="center" vertical="center" wrapText="1"/>
    </xf>
    <xf numFmtId="3" fontId="27" fillId="29" borderId="13" xfId="0" applyNumberFormat="1" applyFont="1" applyFill="1" applyBorder="1" applyAlignment="1">
      <alignment horizontal="center" vertical="center" wrapText="1"/>
    </xf>
    <xf numFmtId="3" fontId="27" fillId="0" borderId="13" xfId="0" applyNumberFormat="1" applyFont="1" applyFill="1" applyBorder="1" applyAlignment="1">
      <alignment horizontal="center" vertical="center" wrapText="1"/>
    </xf>
    <xf numFmtId="3" fontId="30" fillId="23" borderId="13" xfId="0" applyNumberFormat="1" applyFont="1" applyFill="1" applyBorder="1" applyAlignment="1">
      <alignment horizontal="center" vertical="center" wrapText="1"/>
    </xf>
    <xf numFmtId="0" fontId="27" fillId="27" borderId="13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36" fillId="27" borderId="13" xfId="0" applyFont="1" applyFill="1" applyBorder="1" applyAlignment="1">
      <alignment horizontal="center"/>
    </xf>
    <xf numFmtId="0" fontId="27" fillId="27" borderId="13" xfId="0" applyFont="1" applyFill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27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justify" wrapText="1"/>
    </xf>
    <xf numFmtId="0" fontId="27" fillId="28" borderId="13" xfId="0" applyFont="1" applyFill="1" applyBorder="1" applyAlignment="1">
      <alignment horizontal="center"/>
    </xf>
    <xf numFmtId="0" fontId="27" fillId="30" borderId="16" xfId="0" applyFont="1" applyFill="1" applyBorder="1" applyAlignment="1">
      <alignment horizontal="justify" vertical="top"/>
    </xf>
    <xf numFmtId="0" fontId="27" fillId="28" borderId="13" xfId="0" applyFont="1" applyFill="1" applyBorder="1" applyAlignment="1">
      <alignment horizontal="justify" vertical="center" wrapText="1"/>
    </xf>
    <xf numFmtId="0" fontId="27" fillId="30" borderId="13" xfId="0" applyFont="1" applyFill="1" applyBorder="1" applyAlignment="1">
      <alignment horizontal="justify" vertical="top"/>
    </xf>
    <xf numFmtId="0" fontId="27" fillId="0" borderId="14" xfId="0" applyFont="1" applyBorder="1" applyAlignment="1">
      <alignment horizontal="center" vertical="center"/>
    </xf>
    <xf numFmtId="0" fontId="27" fillId="30" borderId="13" xfId="0" applyFont="1" applyFill="1" applyBorder="1" applyAlignment="1">
      <alignment horizontal="center"/>
    </xf>
    <xf numFmtId="0" fontId="40" fillId="28" borderId="17" xfId="0" applyFont="1" applyFill="1" applyBorder="1" applyAlignment="1">
      <alignment horizontal="center"/>
    </xf>
    <xf numFmtId="0" fontId="40" fillId="0" borderId="13" xfId="0" applyFont="1" applyBorder="1" applyAlignment="1">
      <alignment horizontal="left" vertical="center" wrapText="1"/>
    </xf>
    <xf numFmtId="0" fontId="62" fillId="0" borderId="13" xfId="0" applyNumberFormat="1" applyFont="1" applyBorder="1" applyAlignment="1">
      <alignment horizontal="center" vertical="center" wrapText="1"/>
    </xf>
    <xf numFmtId="0" fontId="40" fillId="28" borderId="15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 horizontal="justify" vertical="center" wrapText="1"/>
    </xf>
    <xf numFmtId="166" fontId="62" fillId="0" borderId="13" xfId="0" applyNumberFormat="1" applyFont="1" applyFill="1" applyBorder="1" applyAlignment="1">
      <alignment horizontal="center" vertical="center"/>
    </xf>
    <xf numFmtId="0" fontId="39" fillId="23" borderId="13" xfId="0" applyFont="1" applyFill="1" applyBorder="1" applyAlignment="1">
      <alignment horizontal="right" vertical="center"/>
    </xf>
    <xf numFmtId="4" fontId="30" fillId="23" borderId="13" xfId="0" applyNumberFormat="1" applyFont="1" applyFill="1" applyBorder="1" applyAlignment="1">
      <alignment horizontal="center" vertical="center"/>
    </xf>
    <xf numFmtId="0" fontId="27" fillId="28" borderId="18" xfId="0" applyFont="1" applyFill="1" applyBorder="1" applyAlignment="1">
      <alignment horizontal="right" vertical="center"/>
    </xf>
    <xf numFmtId="0" fontId="18" fillId="0" borderId="19" xfId="0" applyFont="1" applyFill="1" applyBorder="1" applyAlignment="1">
      <alignment horizontal="justify" vertical="center" wrapText="1"/>
    </xf>
    <xf numFmtId="0" fontId="27" fillId="28" borderId="13" xfId="0" applyFont="1" applyFill="1" applyBorder="1" applyAlignment="1">
      <alignment horizontal="left"/>
    </xf>
    <xf numFmtId="0" fontId="40" fillId="0" borderId="13" xfId="0" applyFont="1" applyFill="1" applyBorder="1" applyAlignment="1">
      <alignment horizontal="left" vertical="center" wrapText="1"/>
    </xf>
    <xf numFmtId="166" fontId="62" fillId="0" borderId="13" xfId="0" applyNumberFormat="1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justify" vertical="center" wrapText="1"/>
    </xf>
    <xf numFmtId="4" fontId="27" fillId="0" borderId="20" xfId="0" applyNumberFormat="1" applyFont="1" applyBorder="1" applyAlignment="1">
      <alignment horizontal="center" vertical="center" wrapText="1"/>
    </xf>
    <xf numFmtId="4" fontId="27" fillId="0" borderId="13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wrapText="1"/>
    </xf>
    <xf numFmtId="0" fontId="27" fillId="0" borderId="13" xfId="0" applyFont="1" applyFill="1" applyBorder="1" applyAlignment="1">
      <alignment horizontal="justify" vertical="center" wrapText="1"/>
    </xf>
    <xf numFmtId="4" fontId="27" fillId="0" borderId="20" xfId="0" applyNumberFormat="1" applyFont="1" applyFill="1" applyBorder="1" applyAlignment="1">
      <alignment horizontal="center" vertical="center" wrapText="1"/>
    </xf>
    <xf numFmtId="4" fontId="27" fillId="0" borderId="13" xfId="0" applyNumberFormat="1" applyFont="1" applyFill="1" applyBorder="1" applyAlignment="1">
      <alignment horizontal="center" vertical="center" wrapText="1"/>
    </xf>
    <xf numFmtId="0" fontId="27" fillId="29" borderId="13" xfId="0" applyFont="1" applyFill="1" applyBorder="1" applyAlignment="1">
      <alignment horizontal="justify" vertical="center" wrapText="1"/>
    </xf>
    <xf numFmtId="4" fontId="27" fillId="29" borderId="20" xfId="0" applyNumberFormat="1" applyFont="1" applyFill="1" applyBorder="1" applyAlignment="1">
      <alignment horizontal="center" vertical="center" wrapText="1"/>
    </xf>
    <xf numFmtId="4" fontId="27" fillId="29" borderId="13" xfId="0" applyNumberFormat="1" applyFont="1" applyFill="1" applyBorder="1" applyAlignment="1">
      <alignment horizontal="center" vertical="center" wrapText="1"/>
    </xf>
    <xf numFmtId="49" fontId="61" fillId="0" borderId="13" xfId="0" applyNumberFormat="1" applyFont="1" applyFill="1" applyBorder="1" applyAlignment="1">
      <alignment horizontal="justify" vertical="center" wrapText="1"/>
    </xf>
    <xf numFmtId="49" fontId="27" fillId="28" borderId="13" xfId="0" applyNumberFormat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7" fillId="23" borderId="13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left" vertical="center" wrapText="1"/>
    </xf>
    <xf numFmtId="49" fontId="27" fillId="23" borderId="16" xfId="0" applyNumberFormat="1" applyFont="1" applyFill="1" applyBorder="1" applyAlignment="1">
      <alignment horizontal="righ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27" fillId="28" borderId="13" xfId="0" applyFont="1" applyFill="1" applyBorder="1" applyAlignment="1">
      <alignment horizontal="right" vertical="center"/>
    </xf>
    <xf numFmtId="0" fontId="39" fillId="0" borderId="13" xfId="0" applyFont="1" applyBorder="1" applyAlignment="1">
      <alignment horizontal="left" vertical="center" wrapText="1"/>
    </xf>
    <xf numFmtId="0" fontId="29" fillId="23" borderId="13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right" vertical="center" wrapText="1"/>
    </xf>
    <xf numFmtId="0" fontId="28" fillId="0" borderId="19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left" vertical="center"/>
    </xf>
    <xf numFmtId="0" fontId="60" fillId="28" borderId="16" xfId="0" applyFont="1" applyFill="1" applyBorder="1" applyAlignment="1">
      <alignment vertical="center"/>
    </xf>
    <xf numFmtId="0" fontId="27" fillId="0" borderId="16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23" borderId="13" xfId="0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horizontal="justify" vertical="center" wrapText="1"/>
    </xf>
    <xf numFmtId="0" fontId="39" fillId="0" borderId="13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vertical="center"/>
    </xf>
    <xf numFmtId="0" fontId="29" fillId="23" borderId="13" xfId="0" applyFont="1" applyFill="1" applyBorder="1" applyAlignment="1">
      <alignment horizontal="center" vertical="center"/>
    </xf>
    <xf numFmtId="0" fontId="29" fillId="0" borderId="13" xfId="0" applyFont="1" applyBorder="1" applyAlignment="1">
      <alignment horizontal="left" vertical="center"/>
    </xf>
    <xf numFmtId="0" fontId="27" fillId="0" borderId="13" xfId="49" applyFont="1" applyFill="1" applyBorder="1" applyAlignment="1">
      <alignment horizontal="left" vertical="center" wrapText="1"/>
      <protection/>
    </xf>
    <xf numFmtId="0" fontId="27" fillId="0" borderId="13" xfId="0" applyFont="1" applyBorder="1" applyAlignment="1">
      <alignment horizontal="left" vertical="center" wrapText="1"/>
    </xf>
    <xf numFmtId="0" fontId="40" fillId="28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center"/>
    </xf>
    <xf numFmtId="0" fontId="34" fillId="0" borderId="13" xfId="0" applyFont="1" applyFill="1" applyBorder="1" applyAlignment="1">
      <alignment horizontal="left" vertical="center"/>
    </xf>
    <xf numFmtId="0" fontId="34" fillId="23" borderId="13" xfId="0" applyFont="1" applyFill="1" applyBorder="1" applyAlignment="1">
      <alignment horizontal="right"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29" fillId="23" borderId="13" xfId="0" applyFont="1" applyFill="1" applyBorder="1" applyAlignment="1">
      <alignment horizontal="center" vertical="center" wrapText="1"/>
    </xf>
    <xf numFmtId="0" fontId="33" fillId="23" borderId="13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right" vertical="center"/>
    </xf>
    <xf numFmtId="0" fontId="48" fillId="28" borderId="13" xfId="0" applyFont="1" applyFill="1" applyBorder="1" applyAlignment="1">
      <alignment horizontal="right" vertical="center"/>
    </xf>
    <xf numFmtId="0" fontId="32" fillId="0" borderId="13" xfId="0" applyFont="1" applyFill="1" applyBorder="1" applyAlignment="1">
      <alignment horizontal="left" vertical="center"/>
    </xf>
    <xf numFmtId="0" fontId="34" fillId="28" borderId="13" xfId="0" applyFont="1" applyFill="1" applyBorder="1" applyAlignment="1">
      <alignment horizontal="right" vertical="center"/>
    </xf>
    <xf numFmtId="0" fontId="33" fillId="0" borderId="13" xfId="0" applyFont="1" applyFill="1" applyBorder="1" applyAlignment="1">
      <alignment horizontal="left" vertical="center"/>
    </xf>
    <xf numFmtId="0" fontId="53" fillId="28" borderId="13" xfId="0" applyFont="1" applyFill="1" applyBorder="1" applyAlignment="1">
      <alignment horizontal="justify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34" fillId="0" borderId="13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29" fillId="0" borderId="13" xfId="0" applyFont="1" applyFill="1" applyBorder="1" applyAlignment="1">
      <alignment horizontal="justify" vertical="center" wrapText="1"/>
    </xf>
    <xf numFmtId="0" fontId="29" fillId="28" borderId="13" xfId="0" applyFont="1" applyFill="1" applyBorder="1" applyAlignment="1">
      <alignment horizontal="justify" vertical="center" wrapText="1"/>
    </xf>
    <xf numFmtId="0" fontId="27" fillId="0" borderId="13" xfId="0" applyFont="1" applyFill="1" applyBorder="1" applyAlignment="1">
      <alignment horizontal="left" vertical="center"/>
    </xf>
    <xf numFmtId="0" fontId="34" fillId="0" borderId="13" xfId="0" applyFont="1" applyFill="1" applyBorder="1" applyAlignment="1">
      <alignment horizontal="left" vertical="center" wrapText="1"/>
    </xf>
    <xf numFmtId="0" fontId="34" fillId="23" borderId="13" xfId="0" applyFont="1" applyFill="1" applyBorder="1" applyAlignment="1">
      <alignment horizontal="right" vertical="center" wrapText="1"/>
    </xf>
    <xf numFmtId="0" fontId="48" fillId="28" borderId="13" xfId="0" applyFont="1" applyFill="1" applyBorder="1" applyAlignment="1">
      <alignment horizontal="center" vertical="center" wrapText="1"/>
    </xf>
    <xf numFmtId="0" fontId="27" fillId="23" borderId="16" xfId="0" applyFont="1" applyFill="1" applyBorder="1" applyAlignment="1">
      <alignment horizontal="right" vertical="center"/>
    </xf>
    <xf numFmtId="0" fontId="27" fillId="28" borderId="13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left" vertical="center" wrapText="1"/>
    </xf>
    <xf numFmtId="0" fontId="27" fillId="28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left" vertical="center" wrapText="1"/>
    </xf>
    <xf numFmtId="0" fontId="33" fillId="23" borderId="13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/>
    </xf>
    <xf numFmtId="0" fontId="33" fillId="0" borderId="13" xfId="0" applyFont="1" applyBorder="1" applyAlignment="1">
      <alignment horizontal="left" vertical="center" wrapText="1"/>
    </xf>
    <xf numFmtId="0" fontId="38" fillId="28" borderId="13" xfId="0" applyFont="1" applyFill="1" applyBorder="1" applyAlignment="1">
      <alignment horizontal="left" vertical="center" wrapText="1"/>
    </xf>
    <xf numFmtId="0" fontId="33" fillId="0" borderId="13" xfId="0" applyFont="1" applyFill="1" applyBorder="1" applyAlignment="1">
      <alignment horizontal="justify" vertical="center" wrapText="1"/>
    </xf>
    <xf numFmtId="0" fontId="33" fillId="23" borderId="13" xfId="0" applyFont="1" applyFill="1" applyBorder="1" applyAlignment="1">
      <alignment horizontal="left" vertical="center"/>
    </xf>
    <xf numFmtId="0" fontId="33" fillId="0" borderId="13" xfId="0" applyFont="1" applyFill="1" applyBorder="1" applyAlignment="1">
      <alignment horizontal="center" vertical="center"/>
    </xf>
    <xf numFmtId="10" fontId="47" fillId="0" borderId="13" xfId="0" applyNumberFormat="1" applyFont="1" applyFill="1" applyBorder="1" applyAlignment="1">
      <alignment horizontal="justify" vertical="center" wrapText="1"/>
    </xf>
    <xf numFmtId="0" fontId="34" fillId="23" borderId="13" xfId="0" applyFont="1" applyFill="1" applyBorder="1" applyAlignment="1">
      <alignment horizontal="right" vertical="center"/>
    </xf>
    <xf numFmtId="0" fontId="49" fillId="28" borderId="13" xfId="0" applyFont="1" applyFill="1" applyBorder="1" applyAlignment="1">
      <alignment horizontal="right" vertical="center"/>
    </xf>
    <xf numFmtId="0" fontId="40" fillId="23" borderId="13" xfId="0" applyFont="1" applyFill="1" applyBorder="1" applyAlignment="1">
      <alignment horizontal="justify" vertical="center" wrapText="1"/>
    </xf>
    <xf numFmtId="0" fontId="27" fillId="28" borderId="13" xfId="0" applyFont="1" applyFill="1" applyBorder="1" applyAlignment="1">
      <alignment horizontal="right" vertical="center" wrapText="1"/>
    </xf>
    <xf numFmtId="0" fontId="42" fillId="0" borderId="13" xfId="0" applyFont="1" applyFill="1" applyBorder="1" applyAlignment="1">
      <alignment horizontal="justify" vertical="center" wrapText="1"/>
    </xf>
    <xf numFmtId="0" fontId="34" fillId="28" borderId="13" xfId="0" applyFont="1" applyFill="1" applyBorder="1" applyAlignment="1">
      <alignment horizontal="right" vertical="center" wrapText="1"/>
    </xf>
    <xf numFmtId="0" fontId="29" fillId="23" borderId="13" xfId="0" applyFont="1" applyFill="1" applyBorder="1" applyAlignment="1">
      <alignment horizontal="justify" vertical="center" wrapText="1"/>
    </xf>
    <xf numFmtId="0" fontId="27" fillId="28" borderId="13" xfId="0" applyFont="1" applyFill="1" applyBorder="1" applyAlignment="1">
      <alignment horizontal="left" wrapText="1"/>
    </xf>
    <xf numFmtId="0" fontId="39" fillId="0" borderId="13" xfId="0" applyFont="1" applyFill="1" applyBorder="1" applyAlignment="1">
      <alignment vertical="center" wrapText="1"/>
    </xf>
    <xf numFmtId="0" fontId="34" fillId="0" borderId="13" xfId="0" applyFont="1" applyBorder="1" applyAlignment="1">
      <alignment horizontal="left" vertical="center" wrapText="1"/>
    </xf>
    <xf numFmtId="4" fontId="35" fillId="0" borderId="13" xfId="0" applyNumberFormat="1" applyFont="1" applyFill="1" applyBorder="1" applyAlignment="1">
      <alignment horizontal="right" vertical="center" wrapText="1"/>
    </xf>
    <xf numFmtId="0" fontId="28" fillId="0" borderId="13" xfId="0" applyFont="1" applyBorder="1" applyAlignment="1">
      <alignment horizontal="left" vertical="center"/>
    </xf>
    <xf numFmtId="4" fontId="28" fillId="0" borderId="13" xfId="0" applyNumberFormat="1" applyFont="1" applyFill="1" applyBorder="1" applyAlignment="1">
      <alignment horizontal="right" vertical="center" wrapText="1"/>
    </xf>
    <xf numFmtId="4" fontId="35" fillId="0" borderId="13" xfId="0" applyNumberFormat="1" applyFont="1" applyFill="1" applyBorder="1" applyAlignment="1">
      <alignment horizontal="right" vertical="center"/>
    </xf>
    <xf numFmtId="166" fontId="35" fillId="0" borderId="13" xfId="0" applyNumberFormat="1" applyFont="1" applyFill="1" applyBorder="1" applyAlignment="1" applyProtection="1">
      <alignment horizontal="right" vertical="center"/>
      <protection locked="0"/>
    </xf>
    <xf numFmtId="14" fontId="36" fillId="0" borderId="13" xfId="0" applyNumberFormat="1" applyFont="1" applyFill="1" applyBorder="1" applyAlignment="1">
      <alignment horizontal="right" vertical="center" wrapText="1"/>
    </xf>
    <xf numFmtId="14" fontId="37" fillId="0" borderId="13" xfId="0" applyNumberFormat="1" applyFont="1" applyFill="1" applyBorder="1" applyAlignment="1">
      <alignment horizontal="right" vertical="center" wrapText="1"/>
    </xf>
    <xf numFmtId="0" fontId="27" fillId="0" borderId="0" xfId="0" applyFont="1" applyBorder="1" applyAlignment="1">
      <alignment horizontal="center" vertical="center" wrapText="1"/>
    </xf>
    <xf numFmtId="166" fontId="28" fillId="0" borderId="13" xfId="0" applyNumberFormat="1" applyFont="1" applyFill="1" applyBorder="1" applyAlignment="1">
      <alignment horizontal="center" vertical="center" wrapText="1"/>
    </xf>
    <xf numFmtId="166" fontId="34" fillId="0" borderId="13" xfId="0" applyNumberFormat="1" applyFont="1" applyFill="1" applyBorder="1" applyAlignment="1">
      <alignment horizontal="right" vertical="center" wrapText="1"/>
    </xf>
    <xf numFmtId="0" fontId="29" fillId="28" borderId="13" xfId="0" applyFont="1" applyFill="1" applyBorder="1" applyAlignment="1">
      <alignment horizontal="left" wrapText="1"/>
    </xf>
    <xf numFmtId="0" fontId="28" fillId="23" borderId="13" xfId="0" applyFont="1" applyFill="1" applyBorder="1" applyAlignment="1">
      <alignment horizontal="right" vertical="center" wrapText="1"/>
    </xf>
    <xf numFmtId="1" fontId="28" fillId="23" borderId="13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justify" vertical="center" wrapText="1"/>
    </xf>
    <xf numFmtId="0" fontId="31" fillId="0" borderId="13" xfId="0" applyFont="1" applyFill="1" applyBorder="1" applyAlignment="1">
      <alignment horizontal="left" wrapText="1"/>
    </xf>
    <xf numFmtId="1" fontId="27" fillId="0" borderId="13" xfId="0" applyNumberFormat="1" applyFont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1" fontId="27" fillId="0" borderId="13" xfId="0" applyNumberFormat="1" applyFont="1" applyFill="1" applyBorder="1" applyAlignment="1">
      <alignment horizontal="center" vertical="center" wrapText="1"/>
    </xf>
    <xf numFmtId="0" fontId="27" fillId="29" borderId="13" xfId="0" applyFont="1" applyFill="1" applyBorder="1" applyAlignment="1">
      <alignment horizontal="left" vertical="center" wrapText="1"/>
    </xf>
    <xf numFmtId="0" fontId="27" fillId="29" borderId="13" xfId="0" applyFont="1" applyFill="1" applyBorder="1" applyAlignment="1">
      <alignment horizontal="center" vertical="center" wrapText="1"/>
    </xf>
    <xf numFmtId="1" fontId="27" fillId="30" borderId="13" xfId="0" applyNumberFormat="1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7" fillId="23" borderId="16" xfId="0" applyFont="1" applyFill="1" applyBorder="1" applyAlignment="1">
      <alignment horizontal="center" vertical="center" wrapText="1"/>
    </xf>
    <xf numFmtId="0" fontId="27" fillId="23" borderId="13" xfId="0" applyNumberFormat="1" applyFont="1" applyFill="1" applyBorder="1" applyAlignment="1">
      <alignment horizontal="center" vertical="center" wrapText="1"/>
    </xf>
    <xf numFmtId="0" fontId="27" fillId="30" borderId="13" xfId="0" applyFont="1" applyFill="1" applyBorder="1" applyAlignment="1">
      <alignment horizontal="left" vertical="center" wrapText="1"/>
    </xf>
    <xf numFmtId="14" fontId="28" fillId="27" borderId="13" xfId="0" applyNumberFormat="1" applyFont="1" applyFill="1" applyBorder="1" applyAlignment="1">
      <alignment horizontal="center" vertical="center" wrapText="1"/>
    </xf>
    <xf numFmtId="0" fontId="23" fillId="30" borderId="0" xfId="0" applyFont="1" applyFill="1" applyBorder="1" applyAlignment="1">
      <alignment horizontal="center" vertical="center" wrapText="1"/>
    </xf>
    <xf numFmtId="0" fontId="28" fillId="30" borderId="13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23" fillId="30" borderId="25" xfId="0" applyFont="1" applyFill="1" applyBorder="1" applyAlignment="1">
      <alignment horizontal="center" vertical="center" wrapText="1"/>
    </xf>
    <xf numFmtId="0" fontId="23" fillId="30" borderId="26" xfId="0" applyFont="1" applyFill="1" applyBorder="1" applyAlignment="1">
      <alignment horizontal="center" vertical="center" wrapText="1"/>
    </xf>
    <xf numFmtId="0" fontId="27" fillId="30" borderId="27" xfId="0" applyFont="1" applyFill="1" applyBorder="1" applyAlignment="1">
      <alignment horizontal="left" vertical="center" wrapText="1"/>
    </xf>
    <xf numFmtId="0" fontId="28" fillId="30" borderId="28" xfId="0" applyFont="1" applyFill="1" applyBorder="1" applyAlignment="1">
      <alignment horizontal="center" vertical="center" wrapText="1"/>
    </xf>
    <xf numFmtId="0" fontId="27" fillId="30" borderId="28" xfId="0" applyFont="1" applyFill="1" applyBorder="1" applyAlignment="1">
      <alignment horizontal="left" vertical="center" wrapText="1"/>
    </xf>
    <xf numFmtId="0" fontId="29" fillId="23" borderId="27" xfId="0" applyFont="1" applyFill="1" applyBorder="1" applyAlignment="1">
      <alignment horizontal="left" vertical="center" wrapText="1"/>
    </xf>
    <xf numFmtId="0" fontId="29" fillId="23" borderId="28" xfId="0" applyFont="1" applyFill="1" applyBorder="1" applyAlignment="1">
      <alignment horizontal="left" vertical="center" wrapText="1"/>
    </xf>
    <xf numFmtId="0" fontId="27" fillId="0" borderId="27" xfId="0" applyFont="1" applyBorder="1" applyAlignment="1">
      <alignment horizontal="center" vertical="center" wrapText="1"/>
    </xf>
    <xf numFmtId="14" fontId="28" fillId="27" borderId="28" xfId="0" applyNumberFormat="1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7" fillId="23" borderId="29" xfId="0" applyFont="1" applyFill="1" applyBorder="1" applyAlignment="1">
      <alignment horizontal="center" vertical="center" wrapText="1"/>
    </xf>
    <xf numFmtId="0" fontId="27" fillId="23" borderId="28" xfId="0" applyNumberFormat="1" applyFont="1" applyFill="1" applyBorder="1" applyAlignment="1">
      <alignment horizontal="center" vertical="center" wrapText="1"/>
    </xf>
    <xf numFmtId="0" fontId="27" fillId="0" borderId="27" xfId="0" applyFont="1" applyBorder="1" applyAlignment="1">
      <alignment horizontal="left" vertical="center" wrapText="1"/>
    </xf>
    <xf numFmtId="1" fontId="27" fillId="0" borderId="28" xfId="0" applyNumberFormat="1" applyFont="1" applyBorder="1" applyAlignment="1">
      <alignment horizontal="center" vertical="center" wrapText="1"/>
    </xf>
    <xf numFmtId="0" fontId="27" fillId="29" borderId="27" xfId="0" applyFont="1" applyFill="1" applyBorder="1" applyAlignment="1">
      <alignment horizontal="left" vertical="center" wrapText="1"/>
    </xf>
    <xf numFmtId="1" fontId="27" fillId="30" borderId="28" xfId="0" applyNumberFormat="1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left" vertical="center" wrapText="1"/>
    </xf>
    <xf numFmtId="1" fontId="27" fillId="0" borderId="28" xfId="0" applyNumberFormat="1" applyFont="1" applyFill="1" applyBorder="1" applyAlignment="1">
      <alignment horizontal="center" vertical="center" wrapText="1"/>
    </xf>
    <xf numFmtId="0" fontId="28" fillId="23" borderId="27" xfId="0" applyFont="1" applyFill="1" applyBorder="1" applyAlignment="1">
      <alignment horizontal="right" vertical="center" wrapText="1"/>
    </xf>
    <xf numFmtId="1" fontId="28" fillId="23" borderId="28" xfId="0" applyNumberFormat="1" applyFont="1" applyFill="1" applyBorder="1" applyAlignment="1">
      <alignment horizontal="center" vertical="center" wrapText="1"/>
    </xf>
    <xf numFmtId="0" fontId="27" fillId="28" borderId="27" xfId="0" applyFont="1" applyFill="1" applyBorder="1" applyAlignment="1">
      <alignment horizontal="center" vertical="center" wrapText="1"/>
    </xf>
    <xf numFmtId="0" fontId="27" fillId="28" borderId="28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justify" vertical="center" wrapText="1"/>
    </xf>
    <xf numFmtId="0" fontId="18" fillId="0" borderId="28" xfId="0" applyFont="1" applyFill="1" applyBorder="1" applyAlignment="1">
      <alignment horizontal="justify" vertical="center" wrapText="1"/>
    </xf>
    <xf numFmtId="0" fontId="27" fillId="28" borderId="27" xfId="0" applyFont="1" applyFill="1" applyBorder="1" applyAlignment="1">
      <alignment horizontal="center" vertical="center"/>
    </xf>
    <xf numFmtId="0" fontId="27" fillId="28" borderId="28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left" wrapText="1"/>
    </xf>
    <xf numFmtId="0" fontId="31" fillId="0" borderId="28" xfId="0" applyFont="1" applyFill="1" applyBorder="1" applyAlignment="1">
      <alignment horizontal="left" wrapText="1"/>
    </xf>
    <xf numFmtId="0" fontId="29" fillId="28" borderId="27" xfId="0" applyFont="1" applyFill="1" applyBorder="1" applyAlignment="1">
      <alignment horizontal="left" wrapText="1"/>
    </xf>
    <xf numFmtId="0" fontId="29" fillId="28" borderId="28" xfId="0" applyFont="1" applyFill="1" applyBorder="1" applyAlignment="1">
      <alignment horizontal="left" wrapText="1"/>
    </xf>
    <xf numFmtId="166" fontId="28" fillId="0" borderId="28" xfId="0" applyNumberFormat="1" applyFont="1" applyFill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166" fontId="34" fillId="0" borderId="28" xfId="0" applyNumberFormat="1" applyFont="1" applyFill="1" applyBorder="1" applyAlignment="1">
      <alignment horizontal="right" vertical="center" wrapText="1"/>
    </xf>
    <xf numFmtId="166" fontId="35" fillId="0" borderId="28" xfId="0" applyNumberFormat="1" applyFont="1" applyFill="1" applyBorder="1" applyAlignment="1" applyProtection="1">
      <alignment horizontal="right" vertical="center"/>
      <protection locked="0"/>
    </xf>
    <xf numFmtId="14" fontId="36" fillId="0" borderId="28" xfId="0" applyNumberFormat="1" applyFont="1" applyFill="1" applyBorder="1" applyAlignment="1">
      <alignment horizontal="right" vertical="center" wrapText="1"/>
    </xf>
    <xf numFmtId="14" fontId="37" fillId="0" borderId="28" xfId="0" applyNumberFormat="1" applyFont="1" applyFill="1" applyBorder="1" applyAlignment="1">
      <alignment horizontal="right" vertical="center" wrapText="1"/>
    </xf>
    <xf numFmtId="0" fontId="27" fillId="0" borderId="27" xfId="0" applyFont="1" applyBorder="1" applyAlignment="1">
      <alignment horizontal="center"/>
    </xf>
    <xf numFmtId="4" fontId="35" fillId="0" borderId="28" xfId="0" applyNumberFormat="1" applyFont="1" applyFill="1" applyBorder="1" applyAlignment="1">
      <alignment horizontal="right" vertical="center" wrapText="1"/>
    </xf>
    <xf numFmtId="4" fontId="35" fillId="0" borderId="28" xfId="0" applyNumberFormat="1" applyFont="1" applyFill="1" applyBorder="1" applyAlignment="1">
      <alignment horizontal="right" vertical="center"/>
    </xf>
    <xf numFmtId="4" fontId="28" fillId="0" borderId="28" xfId="0" applyNumberFormat="1" applyFont="1" applyFill="1" applyBorder="1" applyAlignment="1">
      <alignment horizontal="right" vertical="center" wrapText="1"/>
    </xf>
    <xf numFmtId="0" fontId="38" fillId="0" borderId="27" xfId="0" applyFont="1" applyFill="1" applyBorder="1" applyAlignment="1">
      <alignment horizontal="left" vertical="center" wrapText="1"/>
    </xf>
    <xf numFmtId="0" fontId="38" fillId="0" borderId="28" xfId="0" applyFont="1" applyFill="1" applyBorder="1" applyAlignment="1">
      <alignment horizontal="left" vertical="center" wrapText="1"/>
    </xf>
    <xf numFmtId="0" fontId="27" fillId="28" borderId="27" xfId="0" applyFont="1" applyFill="1" applyBorder="1" applyAlignment="1">
      <alignment horizontal="left" wrapText="1"/>
    </xf>
    <xf numFmtId="0" fontId="27" fillId="28" borderId="28" xfId="0" applyFont="1" applyFill="1" applyBorder="1" applyAlignment="1">
      <alignment horizontal="left" wrapText="1"/>
    </xf>
    <xf numFmtId="0" fontId="39" fillId="0" borderId="27" xfId="0" applyFont="1" applyFill="1" applyBorder="1" applyAlignment="1">
      <alignment vertical="center" wrapText="1"/>
    </xf>
    <xf numFmtId="0" fontId="39" fillId="0" borderId="28" xfId="0" applyFont="1" applyFill="1" applyBorder="1" applyAlignment="1">
      <alignment vertical="center" wrapText="1"/>
    </xf>
    <xf numFmtId="0" fontId="29" fillId="23" borderId="30" xfId="0" applyFont="1" applyFill="1" applyBorder="1" applyAlignment="1">
      <alignment horizontal="center" vertical="center" wrapText="1"/>
    </xf>
    <xf numFmtId="0" fontId="29" fillId="23" borderId="31" xfId="0" applyFont="1" applyFill="1" applyBorder="1" applyAlignment="1">
      <alignment horizontal="center" vertical="center" wrapText="1"/>
    </xf>
    <xf numFmtId="4" fontId="27" fillId="0" borderId="28" xfId="0" applyNumberFormat="1" applyFont="1" applyFill="1" applyBorder="1" applyAlignment="1">
      <alignment vertical="center"/>
    </xf>
    <xf numFmtId="4" fontId="27" fillId="0" borderId="28" xfId="0" applyNumberFormat="1" applyFont="1" applyFill="1" applyBorder="1" applyAlignment="1">
      <alignment horizontal="right" vertical="center"/>
    </xf>
    <xf numFmtId="4" fontId="27" fillId="0" borderId="28" xfId="0" applyNumberFormat="1" applyFont="1" applyFill="1" applyBorder="1" applyAlignment="1">
      <alignment horizontal="center" vertical="center"/>
    </xf>
    <xf numFmtId="0" fontId="29" fillId="23" borderId="27" xfId="0" applyFont="1" applyFill="1" applyBorder="1" applyAlignment="1">
      <alignment horizontal="justify" vertical="center" wrapText="1"/>
    </xf>
    <xf numFmtId="4" fontId="29" fillId="23" borderId="28" xfId="0" applyNumberFormat="1" applyFont="1" applyFill="1" applyBorder="1" applyAlignment="1">
      <alignment vertical="center"/>
    </xf>
    <xf numFmtId="0" fontId="27" fillId="28" borderId="27" xfId="0" applyFont="1" applyFill="1" applyBorder="1" applyAlignment="1">
      <alignment horizontal="right" vertical="center" wrapText="1"/>
    </xf>
    <xf numFmtId="0" fontId="27" fillId="28" borderId="28" xfId="0" applyFont="1" applyFill="1" applyBorder="1" applyAlignment="1">
      <alignment horizontal="right" vertical="center" wrapText="1"/>
    </xf>
    <xf numFmtId="0" fontId="40" fillId="23" borderId="27" xfId="0" applyFont="1" applyFill="1" applyBorder="1" applyAlignment="1">
      <alignment horizontal="justify" vertical="center" wrapText="1"/>
    </xf>
    <xf numFmtId="4" fontId="40" fillId="23" borderId="28" xfId="0" applyNumberFormat="1" applyFont="1" applyFill="1" applyBorder="1" applyAlignment="1">
      <alignment horizontal="right" vertical="center" wrapText="1"/>
    </xf>
    <xf numFmtId="0" fontId="42" fillId="0" borderId="27" xfId="0" applyFont="1" applyFill="1" applyBorder="1" applyAlignment="1">
      <alignment horizontal="justify" vertical="center" wrapText="1"/>
    </xf>
    <xf numFmtId="0" fontId="42" fillId="0" borderId="28" xfId="0" applyFont="1" applyFill="1" applyBorder="1" applyAlignment="1">
      <alignment horizontal="justify" vertical="center" wrapText="1"/>
    </xf>
    <xf numFmtId="0" fontId="34" fillId="28" borderId="27" xfId="0" applyFont="1" applyFill="1" applyBorder="1" applyAlignment="1">
      <alignment horizontal="right" vertical="center" wrapText="1"/>
    </xf>
    <xf numFmtId="0" fontId="34" fillId="28" borderId="28" xfId="0" applyFont="1" applyFill="1" applyBorder="1" applyAlignment="1">
      <alignment horizontal="right" vertical="center" wrapText="1"/>
    </xf>
    <xf numFmtId="0" fontId="32" fillId="0" borderId="27" xfId="0" applyFont="1" applyFill="1" applyBorder="1" applyAlignment="1">
      <alignment horizontal="left" vertical="center"/>
    </xf>
    <xf numFmtId="0" fontId="32" fillId="0" borderId="28" xfId="0" applyFont="1" applyFill="1" applyBorder="1" applyAlignment="1">
      <alignment horizontal="left" vertical="center"/>
    </xf>
    <xf numFmtId="0" fontId="33" fillId="23" borderId="27" xfId="0" applyFont="1" applyFill="1" applyBorder="1" applyAlignment="1">
      <alignment horizontal="left" vertical="center"/>
    </xf>
    <xf numFmtId="0" fontId="33" fillId="23" borderId="28" xfId="0" applyFont="1" applyFill="1" applyBorder="1" applyAlignment="1">
      <alignment horizontal="left" vertical="center"/>
    </xf>
    <xf numFmtId="0" fontId="33" fillId="0" borderId="27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 wrapText="1"/>
    </xf>
    <xf numFmtId="2" fontId="34" fillId="0" borderId="28" xfId="0" applyNumberFormat="1" applyFont="1" applyFill="1" applyBorder="1" applyAlignment="1">
      <alignment horizontal="right" vertical="center" wrapText="1"/>
    </xf>
    <xf numFmtId="0" fontId="34" fillId="23" borderId="27" xfId="0" applyFont="1" applyFill="1" applyBorder="1" applyAlignment="1">
      <alignment horizontal="right" vertical="center"/>
    </xf>
    <xf numFmtId="4" fontId="27" fillId="23" borderId="28" xfId="0" applyNumberFormat="1" applyFont="1" applyFill="1" applyBorder="1" applyAlignment="1">
      <alignment horizontal="right" vertical="center"/>
    </xf>
    <xf numFmtId="0" fontId="49" fillId="28" borderId="27" xfId="0" applyFont="1" applyFill="1" applyBorder="1" applyAlignment="1">
      <alignment horizontal="right" vertical="center"/>
    </xf>
    <xf numFmtId="0" fontId="49" fillId="28" borderId="28" xfId="0" applyFont="1" applyFill="1" applyBorder="1" applyAlignment="1">
      <alignment horizontal="right" vertical="center"/>
    </xf>
    <xf numFmtId="0" fontId="38" fillId="0" borderId="27" xfId="0" applyFont="1" applyFill="1" applyBorder="1" applyAlignment="1">
      <alignment horizontal="justify" vertical="center" wrapText="1"/>
    </xf>
    <xf numFmtId="0" fontId="38" fillId="0" borderId="28" xfId="0" applyFont="1" applyFill="1" applyBorder="1" applyAlignment="1">
      <alignment horizontal="justify" vertical="center" wrapText="1"/>
    </xf>
    <xf numFmtId="0" fontId="38" fillId="28" borderId="27" xfId="0" applyFont="1" applyFill="1" applyBorder="1" applyAlignment="1">
      <alignment horizontal="left" vertical="center" wrapText="1"/>
    </xf>
    <xf numFmtId="0" fontId="38" fillId="28" borderId="28" xfId="0" applyFont="1" applyFill="1" applyBorder="1" applyAlignment="1">
      <alignment horizontal="left" vertical="center" wrapText="1"/>
    </xf>
    <xf numFmtId="0" fontId="33" fillId="0" borderId="27" xfId="0" applyFont="1" applyFill="1" applyBorder="1" applyAlignment="1">
      <alignment horizontal="justify" vertical="center" wrapText="1"/>
    </xf>
    <xf numFmtId="0" fontId="33" fillId="0" borderId="28" xfId="0" applyFont="1" applyFill="1" applyBorder="1" applyAlignment="1">
      <alignment horizontal="justify" vertical="center" wrapText="1"/>
    </xf>
    <xf numFmtId="0" fontId="33" fillId="23" borderId="29" xfId="0" applyFont="1" applyFill="1" applyBorder="1" applyAlignment="1">
      <alignment horizontal="center" vertical="center"/>
    </xf>
    <xf numFmtId="0" fontId="29" fillId="23" borderId="28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/>
    </xf>
    <xf numFmtId="0" fontId="27" fillId="23" borderId="27" xfId="0" applyFont="1" applyFill="1" applyBorder="1" applyAlignment="1">
      <alignment horizontal="right" vertical="center"/>
    </xf>
    <xf numFmtId="0" fontId="27" fillId="28" borderId="29" xfId="0" applyFont="1" applyFill="1" applyBorder="1" applyAlignment="1">
      <alignment horizontal="right" vertical="center"/>
    </xf>
    <xf numFmtId="4" fontId="27" fillId="28" borderId="32" xfId="0" applyNumberFormat="1" applyFont="1" applyFill="1" applyBorder="1" applyAlignment="1">
      <alignment horizontal="right" vertical="center"/>
    </xf>
    <xf numFmtId="0" fontId="33" fillId="0" borderId="27" xfId="0" applyFont="1" applyFill="1" applyBorder="1" applyAlignment="1">
      <alignment horizontal="left" vertical="center"/>
    </xf>
    <xf numFmtId="0" fontId="33" fillId="0" borderId="28" xfId="0" applyFont="1" applyFill="1" applyBorder="1" applyAlignment="1">
      <alignment horizontal="left" vertical="center"/>
    </xf>
    <xf numFmtId="0" fontId="29" fillId="23" borderId="27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4" fontId="27" fillId="0" borderId="28" xfId="0" applyNumberFormat="1" applyFont="1" applyBorder="1" applyAlignment="1">
      <alignment horizontal="right" vertical="center"/>
    </xf>
    <xf numFmtId="4" fontId="27" fillId="0" borderId="28" xfId="0" applyNumberFormat="1" applyFont="1" applyBorder="1" applyAlignment="1">
      <alignment horizontal="center" vertical="center"/>
    </xf>
    <xf numFmtId="4" fontId="27" fillId="0" borderId="28" xfId="0" applyNumberFormat="1" applyFont="1" applyBorder="1" applyAlignment="1" applyProtection="1">
      <alignment horizontal="right" vertical="center"/>
      <protection locked="0"/>
    </xf>
    <xf numFmtId="4" fontId="27" fillId="0" borderId="28" xfId="0" applyNumberFormat="1" applyFont="1" applyBorder="1" applyAlignment="1">
      <alignment horizontal="right" vertical="center" wrapText="1"/>
    </xf>
    <xf numFmtId="0" fontId="27" fillId="23" borderId="27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left" vertical="center" wrapText="1"/>
    </xf>
    <xf numFmtId="0" fontId="32" fillId="0" borderId="28" xfId="0" applyFont="1" applyFill="1" applyBorder="1" applyAlignment="1">
      <alignment horizontal="left" vertical="center" wrapText="1"/>
    </xf>
    <xf numFmtId="0" fontId="33" fillId="23" borderId="27" xfId="0" applyFont="1" applyFill="1" applyBorder="1" applyAlignment="1">
      <alignment horizontal="center" vertical="center" wrapText="1"/>
    </xf>
    <xf numFmtId="0" fontId="33" fillId="23" borderId="28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4" fontId="34" fillId="0" borderId="28" xfId="0" applyNumberFormat="1" applyFont="1" applyFill="1" applyBorder="1" applyAlignment="1">
      <alignment horizontal="right" vertical="center" wrapText="1"/>
    </xf>
    <xf numFmtId="0" fontId="34" fillId="23" borderId="27" xfId="0" applyFont="1" applyFill="1" applyBorder="1" applyAlignment="1">
      <alignment horizontal="right" vertical="center" wrapText="1"/>
    </xf>
    <xf numFmtId="4" fontId="34" fillId="23" borderId="28" xfId="0" applyNumberFormat="1" applyFont="1" applyFill="1" applyBorder="1" applyAlignment="1">
      <alignment horizontal="right" vertical="center" wrapText="1"/>
    </xf>
    <xf numFmtId="0" fontId="48" fillId="28" borderId="27" xfId="0" applyFont="1" applyFill="1" applyBorder="1" applyAlignment="1">
      <alignment horizontal="center" vertical="center" wrapText="1"/>
    </xf>
    <xf numFmtId="0" fontId="48" fillId="28" borderId="28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left" vertical="center"/>
    </xf>
    <xf numFmtId="0" fontId="39" fillId="0" borderId="28" xfId="0" applyFont="1" applyFill="1" applyBorder="1" applyAlignment="1">
      <alignment horizontal="left" vertical="center"/>
    </xf>
    <xf numFmtId="0" fontId="29" fillId="23" borderId="28" xfId="0" applyFont="1" applyFill="1" applyBorder="1" applyAlignment="1">
      <alignment horizontal="center" vertical="center"/>
    </xf>
    <xf numFmtId="0" fontId="27" fillId="28" borderId="27" xfId="0" applyFont="1" applyFill="1" applyBorder="1" applyAlignment="1">
      <alignment horizontal="right" vertical="center"/>
    </xf>
    <xf numFmtId="0" fontId="27" fillId="28" borderId="28" xfId="0" applyFont="1" applyFill="1" applyBorder="1" applyAlignment="1">
      <alignment horizontal="right" vertical="center"/>
    </xf>
    <xf numFmtId="0" fontId="39" fillId="0" borderId="27" xfId="0" applyFont="1" applyFill="1" applyBorder="1" applyAlignment="1">
      <alignment horizontal="left" vertical="center" wrapText="1"/>
    </xf>
    <xf numFmtId="0" fontId="39" fillId="0" borderId="28" xfId="0" applyFont="1" applyFill="1" applyBorder="1" applyAlignment="1">
      <alignment horizontal="left" vertical="center" wrapText="1"/>
    </xf>
    <xf numFmtId="0" fontId="29" fillId="0" borderId="27" xfId="0" applyFont="1" applyFill="1" applyBorder="1" applyAlignment="1">
      <alignment horizontal="justify" vertical="center" wrapText="1"/>
    </xf>
    <xf numFmtId="0" fontId="29" fillId="0" borderId="28" xfId="0" applyFont="1" applyFill="1" applyBorder="1" applyAlignment="1">
      <alignment horizontal="justify" vertical="center" wrapText="1"/>
    </xf>
    <xf numFmtId="0" fontId="29" fillId="28" borderId="27" xfId="0" applyFont="1" applyFill="1" applyBorder="1" applyAlignment="1">
      <alignment horizontal="justify" vertical="center" wrapText="1"/>
    </xf>
    <xf numFmtId="0" fontId="29" fillId="28" borderId="28" xfId="0" applyFont="1" applyFill="1" applyBorder="1" applyAlignment="1">
      <alignment horizontal="justify" vertical="center" wrapText="1"/>
    </xf>
    <xf numFmtId="0" fontId="41" fillId="0" borderId="27" xfId="0" applyFont="1" applyFill="1" applyBorder="1" applyAlignment="1">
      <alignment horizontal="right" vertical="center" wrapText="1"/>
    </xf>
    <xf numFmtId="4" fontId="39" fillId="0" borderId="28" xfId="0" applyNumberFormat="1" applyFont="1" applyFill="1" applyBorder="1" applyAlignment="1">
      <alignment horizontal="right" vertical="center" wrapText="1"/>
    </xf>
    <xf numFmtId="0" fontId="53" fillId="28" borderId="27" xfId="0" applyFont="1" applyFill="1" applyBorder="1" applyAlignment="1">
      <alignment horizontal="justify" vertical="center" wrapText="1"/>
    </xf>
    <xf numFmtId="0" fontId="53" fillId="28" borderId="28" xfId="0" applyFont="1" applyFill="1" applyBorder="1" applyAlignment="1">
      <alignment horizontal="justify" vertical="center" wrapText="1"/>
    </xf>
    <xf numFmtId="0" fontId="29" fillId="0" borderId="27" xfId="0" applyFont="1" applyFill="1" applyBorder="1" applyAlignment="1">
      <alignment horizontal="left" vertical="center" wrapText="1"/>
    </xf>
    <xf numFmtId="0" fontId="29" fillId="0" borderId="28" xfId="0" applyFont="1" applyFill="1" applyBorder="1" applyAlignment="1">
      <alignment horizontal="left" vertical="center" wrapText="1"/>
    </xf>
    <xf numFmtId="0" fontId="29" fillId="23" borderId="27" xfId="0" applyFont="1" applyFill="1" applyBorder="1" applyAlignment="1">
      <alignment horizontal="center"/>
    </xf>
    <xf numFmtId="0" fontId="29" fillId="23" borderId="28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 vertical="center"/>
    </xf>
    <xf numFmtId="0" fontId="34" fillId="28" borderId="27" xfId="0" applyFont="1" applyFill="1" applyBorder="1" applyAlignment="1">
      <alignment horizontal="right" vertical="center"/>
    </xf>
    <xf numFmtId="0" fontId="34" fillId="28" borderId="28" xfId="0" applyFont="1" applyFill="1" applyBorder="1" applyAlignment="1">
      <alignment horizontal="right" vertical="center"/>
    </xf>
    <xf numFmtId="0" fontId="33" fillId="23" borderId="27" xfId="0" applyFont="1" applyFill="1" applyBorder="1" applyAlignment="1">
      <alignment horizontal="center" vertical="center"/>
    </xf>
    <xf numFmtId="4" fontId="33" fillId="23" borderId="28" xfId="0" applyNumberFormat="1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4" fontId="34" fillId="0" borderId="28" xfId="0" applyNumberFormat="1" applyFont="1" applyFill="1" applyBorder="1" applyAlignment="1">
      <alignment horizontal="right" vertical="center"/>
    </xf>
    <xf numFmtId="0" fontId="34" fillId="0" borderId="27" xfId="0" applyFont="1" applyFill="1" applyBorder="1" applyAlignment="1">
      <alignment horizontal="right" vertical="center"/>
    </xf>
    <xf numFmtId="0" fontId="48" fillId="28" borderId="27" xfId="0" applyFont="1" applyFill="1" applyBorder="1" applyAlignment="1">
      <alignment horizontal="right" vertical="center"/>
    </xf>
    <xf numFmtId="0" fontId="48" fillId="28" borderId="28" xfId="0" applyFont="1" applyFill="1" applyBorder="1" applyAlignment="1">
      <alignment horizontal="right" vertical="center"/>
    </xf>
    <xf numFmtId="0" fontId="34" fillId="0" borderId="27" xfId="0" applyFont="1" applyFill="1" applyBorder="1" applyAlignment="1">
      <alignment horizontal="center" vertical="center" wrapText="1"/>
    </xf>
    <xf numFmtId="0" fontId="34" fillId="23" borderId="27" xfId="0" applyFont="1" applyFill="1" applyBorder="1" applyAlignment="1">
      <alignment horizontal="right" vertical="center" wrapText="1"/>
    </xf>
    <xf numFmtId="4" fontId="34" fillId="23" borderId="28" xfId="0" applyNumberFormat="1" applyFont="1" applyFill="1" applyBorder="1" applyAlignment="1">
      <alignment horizontal="right" vertical="center"/>
    </xf>
    <xf numFmtId="4" fontId="27" fillId="27" borderId="28" xfId="0" applyNumberFormat="1" applyFont="1" applyFill="1" applyBorder="1" applyAlignment="1">
      <alignment horizontal="right" vertical="center" wrapText="1"/>
    </xf>
    <xf numFmtId="4" fontId="27" fillId="23" borderId="28" xfId="0" applyNumberFormat="1" applyFont="1" applyFill="1" applyBorder="1" applyAlignment="1">
      <alignment horizontal="right" vertical="center" wrapText="1"/>
    </xf>
    <xf numFmtId="0" fontId="40" fillId="28" borderId="27" xfId="0" applyFont="1" applyFill="1" applyBorder="1" applyAlignment="1">
      <alignment horizontal="center" vertical="center"/>
    </xf>
    <xf numFmtId="0" fontId="40" fillId="28" borderId="28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left" vertical="center"/>
    </xf>
    <xf numFmtId="0" fontId="18" fillId="0" borderId="28" xfId="0" applyFont="1" applyFill="1" applyBorder="1" applyAlignment="1">
      <alignment horizontal="left" vertical="center"/>
    </xf>
    <xf numFmtId="0" fontId="40" fillId="28" borderId="29" xfId="0" applyFont="1" applyFill="1" applyBorder="1" applyAlignment="1">
      <alignment horizontal="center" vertical="center"/>
    </xf>
    <xf numFmtId="0" fontId="0" fillId="28" borderId="32" xfId="0" applyFill="1" applyBorder="1" applyAlignment="1">
      <alignment horizontal="center" vertical="center"/>
    </xf>
    <xf numFmtId="4" fontId="29" fillId="23" borderId="28" xfId="0" applyNumberFormat="1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justify" vertical="center" wrapText="1"/>
    </xf>
    <xf numFmtId="4" fontId="28" fillId="0" borderId="28" xfId="0" applyNumberFormat="1" applyFont="1" applyFill="1" applyBorder="1" applyAlignment="1">
      <alignment horizontal="right" vertical="center"/>
    </xf>
    <xf numFmtId="0" fontId="39" fillId="0" borderId="27" xfId="0" applyFont="1" applyFill="1" applyBorder="1" applyAlignment="1">
      <alignment horizontal="center" vertical="center"/>
    </xf>
    <xf numFmtId="4" fontId="27" fillId="0" borderId="28" xfId="0" applyNumberFormat="1" applyFont="1" applyFill="1" applyBorder="1" applyAlignment="1">
      <alignment/>
    </xf>
    <xf numFmtId="4" fontId="27" fillId="0" borderId="28" xfId="0" applyNumberFormat="1" applyFont="1" applyFill="1" applyBorder="1" applyAlignment="1">
      <alignment horizontal="center"/>
    </xf>
    <xf numFmtId="0" fontId="28" fillId="0" borderId="27" xfId="0" applyFont="1" applyFill="1" applyBorder="1" applyAlignment="1">
      <alignment horizontal="right" vertical="center" wrapText="1"/>
    </xf>
    <xf numFmtId="4" fontId="28" fillId="0" borderId="28" xfId="0" applyNumberFormat="1" applyFont="1" applyBorder="1" applyAlignment="1">
      <alignment horizontal="right" vertical="center"/>
    </xf>
    <xf numFmtId="0" fontId="28" fillId="0" borderId="33" xfId="0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left" vertical="center"/>
    </xf>
    <xf numFmtId="0" fontId="51" fillId="0" borderId="26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left" vertical="center"/>
    </xf>
    <xf numFmtId="0" fontId="60" fillId="28" borderId="29" xfId="0" applyFont="1" applyFill="1" applyBorder="1" applyAlignment="1">
      <alignment vertical="center"/>
    </xf>
    <xf numFmtId="0" fontId="60" fillId="28" borderId="28" xfId="0" applyFont="1" applyFill="1" applyBorder="1" applyAlignment="1">
      <alignment vertical="center"/>
    </xf>
    <xf numFmtId="0" fontId="18" fillId="0" borderId="27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27" fillId="23" borderId="28" xfId="0" applyFont="1" applyFill="1" applyBorder="1" applyAlignment="1">
      <alignment horizontal="center" vertical="center" wrapText="1"/>
    </xf>
    <xf numFmtId="49" fontId="27" fillId="0" borderId="27" xfId="0" applyNumberFormat="1" applyFont="1" applyBorder="1" applyAlignment="1">
      <alignment horizontal="center" vertical="center" wrapText="1"/>
    </xf>
    <xf numFmtId="49" fontId="27" fillId="23" borderId="29" xfId="0" applyNumberFormat="1" applyFont="1" applyFill="1" applyBorder="1" applyAlignment="1">
      <alignment horizontal="right" vertical="center" wrapText="1"/>
    </xf>
    <xf numFmtId="49" fontId="27" fillId="0" borderId="29" xfId="0" applyNumberFormat="1" applyFont="1" applyBorder="1" applyAlignment="1">
      <alignment horizontal="center" vertical="center" wrapText="1"/>
    </xf>
    <xf numFmtId="49" fontId="61" fillId="0" borderId="27" xfId="0" applyNumberFormat="1" applyFont="1" applyFill="1" applyBorder="1" applyAlignment="1">
      <alignment horizontal="justify" vertical="center" wrapText="1"/>
    </xf>
    <xf numFmtId="49" fontId="61" fillId="0" borderId="28" xfId="0" applyNumberFormat="1" applyFont="1" applyFill="1" applyBorder="1" applyAlignment="1">
      <alignment horizontal="justify" vertical="center" wrapText="1"/>
    </xf>
    <xf numFmtId="49" fontId="27" fillId="28" borderId="27" xfId="0" applyNumberFormat="1" applyFont="1" applyFill="1" applyBorder="1" applyAlignment="1">
      <alignment horizontal="left" vertical="center" wrapText="1"/>
    </xf>
    <xf numFmtId="49" fontId="27" fillId="28" borderId="28" xfId="0" applyNumberFormat="1" applyFont="1" applyFill="1" applyBorder="1" applyAlignment="1">
      <alignment horizontal="left" vertical="center" wrapText="1"/>
    </xf>
    <xf numFmtId="0" fontId="27" fillId="0" borderId="25" xfId="0" applyFont="1" applyFill="1" applyBorder="1" applyAlignment="1">
      <alignment horizontal="left" vertical="center" wrapText="1"/>
    </xf>
    <xf numFmtId="164" fontId="28" fillId="26" borderId="26" xfId="0" applyNumberFormat="1" applyFont="1" applyFill="1" applyBorder="1" applyAlignment="1">
      <alignment horizontal="left"/>
    </xf>
    <xf numFmtId="0" fontId="29" fillId="0" borderId="25" xfId="0" applyFont="1" applyBorder="1" applyAlignment="1">
      <alignment horizontal="left" vertical="center" wrapText="1"/>
    </xf>
    <xf numFmtId="0" fontId="29" fillId="0" borderId="26" xfId="0" applyFont="1" applyBorder="1" applyAlignment="1">
      <alignment horizontal="left" vertical="center" wrapText="1"/>
    </xf>
    <xf numFmtId="0" fontId="27" fillId="23" borderId="27" xfId="0" applyFont="1" applyFill="1" applyBorder="1" applyAlignment="1">
      <alignment horizontal="center" vertical="center" wrapText="1"/>
    </xf>
    <xf numFmtId="0" fontId="27" fillId="23" borderId="28" xfId="0" applyFont="1" applyFill="1" applyBorder="1" applyAlignment="1">
      <alignment horizontal="center" vertical="center" wrapText="1"/>
    </xf>
    <xf numFmtId="0" fontId="27" fillId="0" borderId="27" xfId="0" applyFont="1" applyBorder="1" applyAlignment="1">
      <alignment horizontal="justify" vertical="center" wrapText="1"/>
    </xf>
    <xf numFmtId="4" fontId="27" fillId="0" borderId="28" xfId="0" applyNumberFormat="1" applyFont="1" applyBorder="1" applyAlignment="1">
      <alignment horizontal="center" vertical="center" wrapText="1"/>
    </xf>
    <xf numFmtId="0" fontId="27" fillId="29" borderId="27" xfId="0" applyFont="1" applyFill="1" applyBorder="1" applyAlignment="1">
      <alignment horizontal="justify" vertical="center" wrapText="1"/>
    </xf>
    <xf numFmtId="4" fontId="27" fillId="29" borderId="28" xfId="0" applyNumberFormat="1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justify" vertical="center" wrapText="1"/>
    </xf>
    <xf numFmtId="4" fontId="27" fillId="0" borderId="28" xfId="0" applyNumberFormat="1" applyFont="1" applyFill="1" applyBorder="1" applyAlignment="1">
      <alignment horizontal="center" vertical="center" wrapText="1"/>
    </xf>
    <xf numFmtId="0" fontId="27" fillId="0" borderId="27" xfId="0" applyFont="1" applyBorder="1" applyAlignment="1">
      <alignment wrapText="1"/>
    </xf>
    <xf numFmtId="0" fontId="39" fillId="23" borderId="27" xfId="0" applyFont="1" applyFill="1" applyBorder="1" applyAlignment="1">
      <alignment horizontal="right" vertical="center"/>
    </xf>
    <xf numFmtId="4" fontId="30" fillId="23" borderId="28" xfId="0" applyNumberFormat="1" applyFont="1" applyFill="1" applyBorder="1" applyAlignment="1">
      <alignment horizontal="center" vertical="center"/>
    </xf>
    <xf numFmtId="0" fontId="27" fillId="28" borderId="35" xfId="0" applyFont="1" applyFill="1" applyBorder="1" applyAlignment="1">
      <alignment horizontal="right" vertical="center"/>
    </xf>
    <xf numFmtId="0" fontId="27" fillId="28" borderId="36" xfId="0" applyFont="1" applyFill="1" applyBorder="1" applyAlignment="1">
      <alignment horizontal="right" vertical="center"/>
    </xf>
    <xf numFmtId="0" fontId="18" fillId="0" borderId="33" xfId="0" applyFont="1" applyFill="1" applyBorder="1" applyAlignment="1">
      <alignment horizontal="justify" vertical="center" wrapText="1"/>
    </xf>
    <xf numFmtId="0" fontId="18" fillId="0" borderId="31" xfId="0" applyFont="1" applyFill="1" applyBorder="1" applyAlignment="1">
      <alignment horizontal="justify" vertical="center" wrapText="1"/>
    </xf>
    <xf numFmtId="0" fontId="27" fillId="28" borderId="27" xfId="0" applyFont="1" applyFill="1" applyBorder="1" applyAlignment="1">
      <alignment horizontal="left"/>
    </xf>
    <xf numFmtId="0" fontId="27" fillId="28" borderId="28" xfId="0" applyFont="1" applyFill="1" applyBorder="1" applyAlignment="1">
      <alignment horizontal="left"/>
    </xf>
    <xf numFmtId="0" fontId="40" fillId="0" borderId="27" xfId="0" applyFont="1" applyFill="1" applyBorder="1" applyAlignment="1">
      <alignment horizontal="left" vertical="center" wrapText="1"/>
    </xf>
    <xf numFmtId="166" fontId="62" fillId="0" borderId="28" xfId="0" applyNumberFormat="1" applyFont="1" applyFill="1" applyBorder="1" applyAlignment="1">
      <alignment horizontal="center" vertical="center" wrapText="1"/>
    </xf>
    <xf numFmtId="0" fontId="40" fillId="28" borderId="37" xfId="0" applyFont="1" applyFill="1" applyBorder="1" applyAlignment="1">
      <alignment horizontal="center"/>
    </xf>
    <xf numFmtId="0" fontId="40" fillId="28" borderId="38" xfId="0" applyFont="1" applyFill="1" applyBorder="1" applyAlignment="1">
      <alignment horizontal="center"/>
    </xf>
    <xf numFmtId="0" fontId="40" fillId="0" borderId="27" xfId="0" applyFont="1" applyBorder="1" applyAlignment="1">
      <alignment horizontal="left" vertical="center" wrapText="1"/>
    </xf>
    <xf numFmtId="0" fontId="62" fillId="0" borderId="28" xfId="0" applyNumberFormat="1" applyFont="1" applyBorder="1" applyAlignment="1">
      <alignment horizontal="center" vertical="center" wrapText="1"/>
    </xf>
    <xf numFmtId="0" fontId="40" fillId="28" borderId="29" xfId="0" applyFont="1" applyFill="1" applyBorder="1" applyAlignment="1">
      <alignment horizontal="left" vertical="center" wrapText="1"/>
    </xf>
    <xf numFmtId="0" fontId="40" fillId="28" borderId="32" xfId="0" applyFont="1" applyFill="1" applyBorder="1" applyAlignment="1">
      <alignment horizontal="left" vertical="center" wrapText="1"/>
    </xf>
    <xf numFmtId="0" fontId="40" fillId="0" borderId="27" xfId="0" applyFont="1" applyBorder="1" applyAlignment="1">
      <alignment horizontal="justify" vertical="center" wrapText="1"/>
    </xf>
    <xf numFmtId="166" fontId="62" fillId="0" borderId="28" xfId="0" applyNumberFormat="1" applyFont="1" applyFill="1" applyBorder="1" applyAlignment="1">
      <alignment horizontal="center" vertical="center"/>
    </xf>
    <xf numFmtId="0" fontId="27" fillId="28" borderId="27" xfId="0" applyFont="1" applyFill="1" applyBorder="1" applyAlignment="1">
      <alignment horizontal="justify" vertical="center" wrapText="1"/>
    </xf>
    <xf numFmtId="0" fontId="27" fillId="28" borderId="28" xfId="0" applyFont="1" applyFill="1" applyBorder="1" applyAlignment="1">
      <alignment horizontal="justify" vertical="center" wrapText="1"/>
    </xf>
    <xf numFmtId="0" fontId="27" fillId="30" borderId="27" xfId="0" applyFont="1" applyFill="1" applyBorder="1" applyAlignment="1">
      <alignment horizontal="justify" vertical="top"/>
    </xf>
    <xf numFmtId="0" fontId="27" fillId="30" borderId="28" xfId="0" applyFont="1" applyFill="1" applyBorder="1" applyAlignment="1">
      <alignment horizontal="justify" vertical="top"/>
    </xf>
    <xf numFmtId="0" fontId="27" fillId="0" borderId="30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left"/>
    </xf>
    <xf numFmtId="0" fontId="27" fillId="30" borderId="28" xfId="0" applyFont="1" applyFill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7" fillId="0" borderId="27" xfId="0" applyFont="1" applyBorder="1" applyAlignment="1">
      <alignment horizontal="justify" wrapText="1"/>
    </xf>
    <xf numFmtId="0" fontId="27" fillId="28" borderId="27" xfId="0" applyFont="1" applyFill="1" applyBorder="1" applyAlignment="1">
      <alignment horizontal="center"/>
    </xf>
    <xf numFmtId="0" fontId="27" fillId="28" borderId="28" xfId="0" applyFont="1" applyFill="1" applyBorder="1" applyAlignment="1">
      <alignment horizontal="center"/>
    </xf>
    <xf numFmtId="0" fontId="27" fillId="30" borderId="29" xfId="0" applyFont="1" applyFill="1" applyBorder="1" applyAlignment="1">
      <alignment horizontal="justify" vertical="top"/>
    </xf>
    <xf numFmtId="0" fontId="27" fillId="0" borderId="27" xfId="0" applyFont="1" applyBorder="1" applyAlignment="1">
      <alignment horizontal="center" vertical="center" wrapText="1"/>
    </xf>
    <xf numFmtId="0" fontId="36" fillId="27" borderId="27" xfId="0" applyFont="1" applyFill="1" applyBorder="1" applyAlignment="1">
      <alignment horizontal="center"/>
    </xf>
    <xf numFmtId="0" fontId="27" fillId="27" borderId="28" xfId="0" applyFont="1" applyFill="1" applyBorder="1" applyAlignment="1">
      <alignment horizontal="center" vertical="center" wrapText="1"/>
    </xf>
    <xf numFmtId="0" fontId="27" fillId="27" borderId="27" xfId="0" applyFont="1" applyFill="1" applyBorder="1" applyAlignment="1">
      <alignment horizontal="left"/>
    </xf>
    <xf numFmtId="0" fontId="27" fillId="27" borderId="39" xfId="0" applyFont="1" applyFill="1" applyBorder="1" applyAlignment="1">
      <alignment horizontal="justify" wrapText="1"/>
    </xf>
    <xf numFmtId="0" fontId="27" fillId="27" borderId="40" xfId="0" applyFont="1" applyFill="1" applyBorder="1" applyAlignment="1">
      <alignment horizontal="justify" wrapText="1"/>
    </xf>
    <xf numFmtId="0" fontId="27" fillId="27" borderId="40" xfId="0" applyFont="1" applyFill="1" applyBorder="1" applyAlignment="1">
      <alignment horizontal="center" vertical="center" wrapText="1"/>
    </xf>
    <xf numFmtId="0" fontId="27" fillId="27" borderId="41" xfId="0" applyFont="1" applyFill="1" applyBorder="1" applyAlignment="1">
      <alignment horizontal="center" vertical="center" wrapText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Bom 1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Incorreto" xfId="45"/>
    <cellStyle name="Currency" xfId="46"/>
    <cellStyle name="Currency [0]" xfId="47"/>
    <cellStyle name="Neutra" xfId="48"/>
    <cellStyle name="Normal 10" xfId="49"/>
    <cellStyle name="Nota" xfId="50"/>
    <cellStyle name="Nota 1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1 1" xfId="59"/>
    <cellStyle name="Título 2" xfId="60"/>
    <cellStyle name="Título 2 1" xfId="61"/>
    <cellStyle name="Título 3" xfId="62"/>
    <cellStyle name="Título 4" xfId="63"/>
    <cellStyle name="Título 5" xfId="64"/>
    <cellStyle name="Total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8000"/>
      <rgbColor rgb="00800080"/>
      <rgbColor rgb="00006B6B"/>
      <rgbColor rgb="00C0C0C0"/>
      <rgbColor rgb="00808080"/>
      <rgbColor rgb="009999FF"/>
      <rgbColor rgb="00FF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33"/>
      <rgbColor rgb="000000CC"/>
      <rgbColor rgb="0000A933"/>
      <rgbColor rgb="00FFE994"/>
      <rgbColor rgb="00CCFFCC"/>
      <rgbColor rgb="00FFFF99"/>
      <rgbColor rgb="0099CCFF"/>
      <rgbColor rgb="00FF99CC"/>
      <rgbColor rgb="00CC99FF"/>
      <rgbColor rgb="00FFCC99"/>
      <rgbColor rgb="003333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99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18"/>
  <sheetViews>
    <sheetView tabSelected="1" view="pageBreakPreview" zoomScale="80" zoomScaleSheetLayoutView="80" zoomScalePageLayoutView="0" workbookViewId="0" topLeftCell="A28">
      <selection activeCell="L9" sqref="L9"/>
    </sheetView>
  </sheetViews>
  <sheetFormatPr defaultColWidth="9.00390625" defaultRowHeight="12.75"/>
  <cols>
    <col min="1" max="1" width="15.140625" style="1" customWidth="1"/>
    <col min="2" max="2" width="11.00390625" style="1" customWidth="1"/>
    <col min="3" max="3" width="13.140625" style="1" customWidth="1"/>
    <col min="4" max="4" width="10.00390625" style="1" customWidth="1"/>
    <col min="5" max="5" width="12.28125" style="1" customWidth="1"/>
    <col min="6" max="6" width="11.140625" style="1" customWidth="1"/>
    <col min="7" max="7" width="9.7109375" style="1" customWidth="1"/>
    <col min="8" max="8" width="11.140625" style="1" customWidth="1"/>
    <col min="9" max="9" width="14.421875" style="2" customWidth="1"/>
    <col min="10" max="10" width="10.57421875" style="1" customWidth="1"/>
    <col min="11" max="11" width="11.00390625" style="1" customWidth="1"/>
    <col min="12" max="12" width="7.28125" style="1" customWidth="1"/>
    <col min="13" max="13" width="6.421875" style="1" customWidth="1"/>
    <col min="14" max="15" width="9.140625" style="1" customWidth="1"/>
    <col min="16" max="16384" width="9.00390625" style="1" customWidth="1"/>
  </cols>
  <sheetData>
    <row r="1" ht="12.75" thickBot="1"/>
    <row r="2" spans="1:9" ht="32.25" customHeight="1">
      <c r="A2" s="194" t="s">
        <v>205</v>
      </c>
      <c r="B2" s="195"/>
      <c r="C2" s="195"/>
      <c r="D2" s="195"/>
      <c r="E2" s="195"/>
      <c r="F2" s="195"/>
      <c r="G2" s="195"/>
      <c r="H2" s="195"/>
      <c r="I2" s="196"/>
    </row>
    <row r="3" spans="1:9" ht="41.25" customHeight="1">
      <c r="A3" s="197" t="s">
        <v>199</v>
      </c>
      <c r="B3" s="192"/>
      <c r="C3" s="192"/>
      <c r="D3" s="192"/>
      <c r="E3" s="192"/>
      <c r="F3" s="192"/>
      <c r="G3" s="192"/>
      <c r="H3" s="192"/>
      <c r="I3" s="198"/>
    </row>
    <row r="4" spans="1:9" ht="15.75" customHeight="1">
      <c r="A4" s="199" t="s">
        <v>200</v>
      </c>
      <c r="B4" s="190"/>
      <c r="C4" s="190"/>
      <c r="D4" s="190"/>
      <c r="E4" s="190"/>
      <c r="F4" s="193" t="s">
        <v>201</v>
      </c>
      <c r="G4" s="193"/>
      <c r="H4" s="193"/>
      <c r="I4" s="200"/>
    </row>
    <row r="5" spans="1:9" ht="15.75" customHeight="1">
      <c r="A5" s="199" t="s">
        <v>203</v>
      </c>
      <c r="B5" s="190"/>
      <c r="C5" s="190"/>
      <c r="D5" s="190"/>
      <c r="E5" s="190"/>
      <c r="F5" s="193" t="s">
        <v>202</v>
      </c>
      <c r="G5" s="193"/>
      <c r="H5" s="193"/>
      <c r="I5" s="200"/>
    </row>
    <row r="6" spans="1:9" ht="14.25" customHeight="1">
      <c r="A6" s="199" t="s">
        <v>204</v>
      </c>
      <c r="B6" s="190"/>
      <c r="C6" s="190"/>
      <c r="D6" s="190"/>
      <c r="E6" s="190"/>
      <c r="F6" s="190"/>
      <c r="G6" s="190"/>
      <c r="H6" s="190"/>
      <c r="I6" s="201"/>
    </row>
    <row r="7" spans="1:9" ht="20.25" customHeight="1">
      <c r="A7" s="202" t="s">
        <v>0</v>
      </c>
      <c r="B7" s="99"/>
      <c r="C7" s="99"/>
      <c r="D7" s="99"/>
      <c r="E7" s="99"/>
      <c r="F7" s="99"/>
      <c r="G7" s="99"/>
      <c r="H7" s="99"/>
      <c r="I7" s="203"/>
    </row>
    <row r="8" spans="1:9" ht="15.75" customHeight="1">
      <c r="A8" s="204" t="s">
        <v>1</v>
      </c>
      <c r="B8" s="117" t="s">
        <v>2</v>
      </c>
      <c r="C8" s="117"/>
      <c r="D8" s="117"/>
      <c r="E8" s="117"/>
      <c r="F8" s="117"/>
      <c r="G8" s="117"/>
      <c r="H8" s="191" t="s">
        <v>3</v>
      </c>
      <c r="I8" s="205"/>
    </row>
    <row r="9" spans="1:9" ht="15.75" customHeight="1">
      <c r="A9" s="204" t="s">
        <v>4</v>
      </c>
      <c r="B9" s="117" t="s">
        <v>5</v>
      </c>
      <c r="C9" s="117"/>
      <c r="D9" s="117"/>
      <c r="E9" s="117"/>
      <c r="F9" s="117"/>
      <c r="G9" s="117"/>
      <c r="H9" s="186" t="s">
        <v>6</v>
      </c>
      <c r="I9" s="206"/>
    </row>
    <row r="10" spans="1:9" ht="19.5" customHeight="1">
      <c r="A10" s="204" t="s">
        <v>7</v>
      </c>
      <c r="B10" s="117" t="s">
        <v>8</v>
      </c>
      <c r="C10" s="117"/>
      <c r="D10" s="117"/>
      <c r="E10" s="117"/>
      <c r="F10" s="117"/>
      <c r="G10" s="117"/>
      <c r="H10" s="186" t="s">
        <v>9</v>
      </c>
      <c r="I10" s="206"/>
    </row>
    <row r="11" spans="1:11" ht="15.75" customHeight="1">
      <c r="A11" s="204" t="s">
        <v>10</v>
      </c>
      <c r="B11" s="117" t="s">
        <v>11</v>
      </c>
      <c r="C11" s="117"/>
      <c r="D11" s="117"/>
      <c r="E11" s="117"/>
      <c r="F11" s="117"/>
      <c r="G11" s="117"/>
      <c r="H11" s="186">
        <v>12</v>
      </c>
      <c r="I11" s="206"/>
      <c r="K11" s="3"/>
    </row>
    <row r="12" spans="1:9" ht="21" customHeight="1">
      <c r="A12" s="207" t="s">
        <v>12</v>
      </c>
      <c r="B12" s="187"/>
      <c r="C12" s="187"/>
      <c r="D12" s="187"/>
      <c r="E12" s="187"/>
      <c r="F12" s="187"/>
      <c r="G12" s="187"/>
      <c r="H12" s="187"/>
      <c r="I12" s="208"/>
    </row>
    <row r="13" spans="1:9" ht="50.25" customHeight="1">
      <c r="A13" s="209" t="s">
        <v>13</v>
      </c>
      <c r="B13" s="188"/>
      <c r="C13" s="188"/>
      <c r="D13" s="188"/>
      <c r="E13" s="188"/>
      <c r="F13" s="93" t="s">
        <v>14</v>
      </c>
      <c r="G13" s="93"/>
      <c r="H13" s="189" t="s">
        <v>15</v>
      </c>
      <c r="I13" s="210"/>
    </row>
    <row r="14" spans="1:9" ht="12.75" customHeight="1">
      <c r="A14" s="211" t="s">
        <v>16</v>
      </c>
      <c r="B14" s="117"/>
      <c r="C14" s="117"/>
      <c r="D14" s="117"/>
      <c r="E14" s="117"/>
      <c r="F14" s="55" t="s">
        <v>17</v>
      </c>
      <c r="G14" s="55"/>
      <c r="H14" s="180" t="s">
        <v>18</v>
      </c>
      <c r="I14" s="212"/>
    </row>
    <row r="15" spans="1:9" ht="12.75" customHeight="1">
      <c r="A15" s="213" t="s">
        <v>19</v>
      </c>
      <c r="B15" s="183"/>
      <c r="C15" s="183"/>
      <c r="D15" s="183"/>
      <c r="E15" s="183"/>
      <c r="F15" s="184" t="s">
        <v>17</v>
      </c>
      <c r="G15" s="184"/>
      <c r="H15" s="185">
        <v>2</v>
      </c>
      <c r="I15" s="214"/>
    </row>
    <row r="16" spans="1:9" ht="12.75" customHeight="1">
      <c r="A16" s="215" t="s">
        <v>20</v>
      </c>
      <c r="B16" s="107"/>
      <c r="C16" s="107"/>
      <c r="D16" s="107"/>
      <c r="E16" s="107"/>
      <c r="F16" s="181" t="s">
        <v>17</v>
      </c>
      <c r="G16" s="181"/>
      <c r="H16" s="182"/>
      <c r="I16" s="216"/>
    </row>
    <row r="17" spans="1:9" ht="12.75" customHeight="1">
      <c r="A17" s="215" t="s">
        <v>21</v>
      </c>
      <c r="B17" s="107"/>
      <c r="C17" s="107"/>
      <c r="D17" s="107"/>
      <c r="E17" s="107"/>
      <c r="F17" s="181" t="s">
        <v>17</v>
      </c>
      <c r="G17" s="181"/>
      <c r="H17" s="182"/>
      <c r="I17" s="216"/>
    </row>
    <row r="18" spans="1:9" ht="12.75" customHeight="1">
      <c r="A18" s="211" t="s">
        <v>22</v>
      </c>
      <c r="B18" s="117"/>
      <c r="C18" s="117"/>
      <c r="D18" s="117"/>
      <c r="E18" s="117"/>
      <c r="F18" s="55" t="s">
        <v>17</v>
      </c>
      <c r="G18" s="55"/>
      <c r="H18" s="180" t="s">
        <v>18</v>
      </c>
      <c r="I18" s="212"/>
    </row>
    <row r="19" spans="1:9" ht="12.75" customHeight="1">
      <c r="A19" s="211" t="s">
        <v>23</v>
      </c>
      <c r="B19" s="117"/>
      <c r="C19" s="117"/>
      <c r="D19" s="117"/>
      <c r="E19" s="117"/>
      <c r="F19" s="55" t="s">
        <v>17</v>
      </c>
      <c r="G19" s="55"/>
      <c r="H19" s="180" t="s">
        <v>18</v>
      </c>
      <c r="I19" s="212"/>
    </row>
    <row r="20" spans="1:9" ht="12.75" customHeight="1">
      <c r="A20" s="217" t="s">
        <v>24</v>
      </c>
      <c r="B20" s="176"/>
      <c r="C20" s="176"/>
      <c r="D20" s="176"/>
      <c r="E20" s="176"/>
      <c r="F20" s="176"/>
      <c r="G20" s="176"/>
      <c r="H20" s="177">
        <f>SUM(H14:H19)</f>
        <v>2</v>
      </c>
      <c r="I20" s="218"/>
    </row>
    <row r="21" spans="1:9" ht="8.25" customHeight="1">
      <c r="A21" s="219"/>
      <c r="B21" s="143"/>
      <c r="C21" s="143"/>
      <c r="D21" s="143"/>
      <c r="E21" s="143"/>
      <c r="F21" s="143"/>
      <c r="G21" s="143"/>
      <c r="H21" s="143"/>
      <c r="I21" s="220"/>
    </row>
    <row r="22" spans="1:12" ht="60.75" customHeight="1">
      <c r="A22" s="221" t="s">
        <v>25</v>
      </c>
      <c r="B22" s="178"/>
      <c r="C22" s="178"/>
      <c r="D22" s="178"/>
      <c r="E22" s="178"/>
      <c r="F22" s="178"/>
      <c r="G22" s="178"/>
      <c r="H22" s="178"/>
      <c r="I22" s="222"/>
      <c r="J22" s="5"/>
      <c r="K22" s="6"/>
      <c r="L22" s="7"/>
    </row>
    <row r="23" spans="1:12" ht="7.5" customHeight="1">
      <c r="A23" s="223"/>
      <c r="B23" s="141"/>
      <c r="C23" s="141"/>
      <c r="D23" s="141"/>
      <c r="E23" s="141"/>
      <c r="F23" s="141"/>
      <c r="G23" s="141"/>
      <c r="H23" s="141"/>
      <c r="I23" s="224"/>
      <c r="J23" s="5"/>
      <c r="K23" s="6"/>
      <c r="L23" s="7"/>
    </row>
    <row r="24" spans="1:12" ht="51.75" customHeight="1">
      <c r="A24" s="225" t="s">
        <v>26</v>
      </c>
      <c r="B24" s="179"/>
      <c r="C24" s="179"/>
      <c r="D24" s="179"/>
      <c r="E24" s="179"/>
      <c r="F24" s="179"/>
      <c r="G24" s="179"/>
      <c r="H24" s="179"/>
      <c r="I24" s="226"/>
      <c r="J24" s="5"/>
      <c r="K24" s="6"/>
      <c r="L24" s="7"/>
    </row>
    <row r="25" spans="1:12" ht="9.75" customHeight="1">
      <c r="A25" s="227"/>
      <c r="B25" s="175"/>
      <c r="C25" s="175"/>
      <c r="D25" s="175"/>
      <c r="E25" s="175"/>
      <c r="F25" s="175"/>
      <c r="G25" s="175"/>
      <c r="H25" s="175"/>
      <c r="I25" s="228"/>
      <c r="J25" s="5"/>
      <c r="K25" s="6"/>
      <c r="L25" s="7"/>
    </row>
    <row r="26" spans="1:256" s="8" customFormat="1" ht="21.75" customHeight="1">
      <c r="A26" s="202" t="s">
        <v>27</v>
      </c>
      <c r="B26" s="99"/>
      <c r="C26" s="99"/>
      <c r="D26" s="99"/>
      <c r="E26" s="99"/>
      <c r="F26" s="99"/>
      <c r="G26" s="99"/>
      <c r="H26" s="99"/>
      <c r="I26" s="203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2"/>
      <c r="DE26" s="172"/>
      <c r="DF26" s="172"/>
      <c r="DG26" s="172"/>
      <c r="DH26" s="172"/>
      <c r="DI26" s="172"/>
      <c r="DJ26" s="172"/>
      <c r="DK26" s="172"/>
      <c r="DL26" s="172"/>
      <c r="DM26" s="172"/>
      <c r="DN26" s="172"/>
      <c r="DO26" s="172"/>
      <c r="DP26" s="172"/>
      <c r="DQ26" s="172"/>
      <c r="DR26" s="172"/>
      <c r="DS26" s="172"/>
      <c r="DT26" s="172"/>
      <c r="DU26" s="172"/>
      <c r="DV26" s="172"/>
      <c r="DW26" s="172"/>
      <c r="DX26" s="172"/>
      <c r="DY26" s="172"/>
      <c r="DZ26" s="172"/>
      <c r="EA26" s="172"/>
      <c r="EB26" s="172"/>
      <c r="EC26" s="172"/>
      <c r="ED26" s="172"/>
      <c r="EE26" s="172"/>
      <c r="EF26" s="172"/>
      <c r="EG26" s="172"/>
      <c r="EH26" s="172"/>
      <c r="EI26" s="172"/>
      <c r="EJ26" s="172"/>
      <c r="EK26" s="172"/>
      <c r="EL26" s="172"/>
      <c r="EM26" s="172"/>
      <c r="EN26" s="172"/>
      <c r="EO26" s="172"/>
      <c r="EP26" s="172"/>
      <c r="EQ26" s="172"/>
      <c r="ER26" s="172"/>
      <c r="ES26" s="172"/>
      <c r="ET26" s="172"/>
      <c r="EU26" s="172"/>
      <c r="EV26" s="172"/>
      <c r="EW26" s="172"/>
      <c r="EX26" s="172"/>
      <c r="EY26" s="172"/>
      <c r="EZ26" s="172"/>
      <c r="FA26" s="172"/>
      <c r="FB26" s="172"/>
      <c r="FC26" s="172"/>
      <c r="FD26" s="172"/>
      <c r="FE26" s="172"/>
      <c r="FF26" s="172"/>
      <c r="FG26" s="172"/>
      <c r="FH26" s="172"/>
      <c r="FI26" s="172"/>
      <c r="FJ26" s="172"/>
      <c r="FK26" s="172"/>
      <c r="FL26" s="172"/>
      <c r="FM26" s="172"/>
      <c r="FN26" s="172"/>
      <c r="FO26" s="172"/>
      <c r="FP26" s="172"/>
      <c r="FQ26" s="172"/>
      <c r="FR26" s="172"/>
      <c r="FS26" s="172"/>
      <c r="FT26" s="172"/>
      <c r="FU26" s="172"/>
      <c r="FV26" s="172"/>
      <c r="FW26" s="172"/>
      <c r="FX26" s="172"/>
      <c r="FY26" s="172"/>
      <c r="FZ26" s="172"/>
      <c r="GA26" s="172"/>
      <c r="GB26" s="172"/>
      <c r="GC26" s="172"/>
      <c r="GD26" s="172"/>
      <c r="GE26" s="172"/>
      <c r="GF26" s="172"/>
      <c r="GG26" s="172"/>
      <c r="GH26" s="172"/>
      <c r="GI26" s="172"/>
      <c r="GJ26" s="172"/>
      <c r="GK26" s="172"/>
      <c r="GL26" s="172"/>
      <c r="GM26" s="172"/>
      <c r="GN26" s="172"/>
      <c r="GO26" s="172"/>
      <c r="GP26" s="172"/>
      <c r="GQ26" s="172"/>
      <c r="GR26" s="172"/>
      <c r="GS26" s="172"/>
      <c r="GT26" s="172"/>
      <c r="GU26" s="172"/>
      <c r="GV26" s="172"/>
      <c r="GW26" s="172"/>
      <c r="GX26" s="172"/>
      <c r="GY26" s="172"/>
      <c r="GZ26" s="172"/>
      <c r="HA26" s="172"/>
      <c r="HB26" s="172"/>
      <c r="HC26" s="172"/>
      <c r="HD26" s="172"/>
      <c r="HE26" s="172"/>
      <c r="HF26" s="172"/>
      <c r="HG26" s="172"/>
      <c r="HH26" s="172"/>
      <c r="HI26" s="172"/>
      <c r="HJ26" s="172"/>
      <c r="HK26" s="172"/>
      <c r="HL26" s="172"/>
      <c r="HM26" s="172"/>
      <c r="HN26" s="172"/>
      <c r="HO26" s="172"/>
      <c r="HP26" s="172"/>
      <c r="HQ26" s="172"/>
      <c r="HR26" s="172"/>
      <c r="HS26" s="172"/>
      <c r="HT26" s="172"/>
      <c r="HU26" s="172"/>
      <c r="HV26" s="172"/>
      <c r="HW26" s="172"/>
      <c r="HX26" s="172"/>
      <c r="HY26" s="172"/>
      <c r="HZ26" s="172"/>
      <c r="IA26" s="172"/>
      <c r="IB26" s="172"/>
      <c r="IC26" s="172"/>
      <c r="ID26" s="172"/>
      <c r="IE26" s="172"/>
      <c r="IF26" s="172"/>
      <c r="IG26" s="172"/>
      <c r="IH26" s="172"/>
      <c r="II26" s="172"/>
      <c r="IJ26" s="172"/>
      <c r="IK26" s="172"/>
      <c r="IL26" s="172"/>
      <c r="IM26" s="172"/>
      <c r="IN26" s="172"/>
      <c r="IO26" s="172"/>
      <c r="IP26" s="172"/>
      <c r="IQ26" s="172"/>
      <c r="IR26" s="172"/>
      <c r="IS26" s="172"/>
      <c r="IT26" s="172"/>
      <c r="IU26" s="172"/>
      <c r="IV26" s="172"/>
    </row>
    <row r="27" spans="1:9" ht="27" customHeight="1">
      <c r="A27" s="204">
        <v>1</v>
      </c>
      <c r="B27" s="117" t="s">
        <v>28</v>
      </c>
      <c r="C27" s="117"/>
      <c r="D27" s="117"/>
      <c r="E27" s="117"/>
      <c r="F27" s="117"/>
      <c r="G27" s="117"/>
      <c r="H27" s="173" t="s">
        <v>29</v>
      </c>
      <c r="I27" s="229"/>
    </row>
    <row r="28" spans="1:9" ht="19.5" customHeight="1">
      <c r="A28" s="230">
        <v>2</v>
      </c>
      <c r="B28" s="164" t="s">
        <v>30</v>
      </c>
      <c r="C28" s="164"/>
      <c r="D28" s="164"/>
      <c r="E28" s="164"/>
      <c r="F28" s="164"/>
      <c r="G28" s="164"/>
      <c r="H28" s="174" t="s">
        <v>31</v>
      </c>
      <c r="I28" s="231"/>
    </row>
    <row r="29" spans="1:9" ht="15.75" customHeight="1">
      <c r="A29" s="204">
        <v>3</v>
      </c>
      <c r="B29" s="117" t="s">
        <v>32</v>
      </c>
      <c r="C29" s="117"/>
      <c r="D29" s="117"/>
      <c r="E29" s="117"/>
      <c r="F29" s="117"/>
      <c r="G29" s="117"/>
      <c r="H29" s="169">
        <v>1590.6</v>
      </c>
      <c r="I29" s="232"/>
    </row>
    <row r="30" spans="1:9" ht="15.75" customHeight="1">
      <c r="A30" s="204">
        <v>4</v>
      </c>
      <c r="B30" s="117" t="s">
        <v>33</v>
      </c>
      <c r="C30" s="117"/>
      <c r="D30" s="117"/>
      <c r="E30" s="117"/>
      <c r="F30" s="117"/>
      <c r="G30" s="117"/>
      <c r="H30" s="170" t="s">
        <v>34</v>
      </c>
      <c r="I30" s="233"/>
    </row>
    <row r="31" spans="1:9" ht="15.75" customHeight="1">
      <c r="A31" s="204">
        <v>5</v>
      </c>
      <c r="B31" s="117" t="s">
        <v>35</v>
      </c>
      <c r="C31" s="117"/>
      <c r="D31" s="117"/>
      <c r="E31" s="117"/>
      <c r="F31" s="117"/>
      <c r="G31" s="117"/>
      <c r="H31" s="171" t="s">
        <v>36</v>
      </c>
      <c r="I31" s="234"/>
    </row>
    <row r="32" spans="1:256" ht="27" customHeight="1">
      <c r="A32" s="235">
        <v>6</v>
      </c>
      <c r="B32" s="147" t="s">
        <v>37</v>
      </c>
      <c r="C32" s="147"/>
      <c r="D32" s="147"/>
      <c r="E32" s="147"/>
      <c r="F32" s="147"/>
      <c r="G32" s="147"/>
      <c r="H32" s="165">
        <f>ROUND((H29/220),2)</f>
        <v>7.23</v>
      </c>
      <c r="I32" s="236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3.25" customHeight="1">
      <c r="A33" s="235">
        <v>7</v>
      </c>
      <c r="B33" s="147" t="s">
        <v>38</v>
      </c>
      <c r="C33" s="147"/>
      <c r="D33" s="147"/>
      <c r="E33" s="147"/>
      <c r="F33" s="147"/>
      <c r="G33" s="147"/>
      <c r="H33" s="168">
        <f>ROUND(H32*1.5,2)</f>
        <v>10.85</v>
      </c>
      <c r="I33" s="237"/>
      <c r="J33"/>
      <c r="K33">
        <f>H32+H32*0.5</f>
        <v>10.845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6.25" customHeight="1">
      <c r="A34" s="235">
        <v>8</v>
      </c>
      <c r="B34" s="147" t="s">
        <v>39</v>
      </c>
      <c r="C34" s="147"/>
      <c r="D34" s="147"/>
      <c r="E34" s="147"/>
      <c r="F34" s="147"/>
      <c r="G34" s="147"/>
      <c r="H34" s="165">
        <f>ROUND(H32*0.2,2)</f>
        <v>1.45</v>
      </c>
      <c r="I34" s="236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6.5" customHeight="1">
      <c r="A35" s="235">
        <v>9</v>
      </c>
      <c r="B35" s="147" t="s">
        <v>40</v>
      </c>
      <c r="C35" s="147"/>
      <c r="D35" s="147"/>
      <c r="E35" s="147"/>
      <c r="F35" s="147"/>
      <c r="G35" s="147"/>
      <c r="H35" s="165">
        <f>ROUND(H32/6,2)</f>
        <v>1.21</v>
      </c>
      <c r="I35" s="236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.75" customHeight="1">
      <c r="A36" s="235">
        <v>10</v>
      </c>
      <c r="B36" s="166" t="s">
        <v>41</v>
      </c>
      <c r="C36" s="166"/>
      <c r="D36" s="166"/>
      <c r="E36" s="166"/>
      <c r="F36" s="166"/>
      <c r="G36" s="166"/>
      <c r="H36" s="167">
        <v>2</v>
      </c>
      <c r="I36" s="238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9" ht="9" customHeight="1">
      <c r="A37" s="223"/>
      <c r="B37" s="141"/>
      <c r="C37" s="141"/>
      <c r="D37" s="141"/>
      <c r="E37" s="141"/>
      <c r="F37" s="141"/>
      <c r="G37" s="141"/>
      <c r="H37" s="141"/>
      <c r="I37" s="224"/>
    </row>
    <row r="38" spans="1:9" ht="28.5" customHeight="1">
      <c r="A38" s="239" t="s">
        <v>42</v>
      </c>
      <c r="B38" s="142"/>
      <c r="C38" s="142"/>
      <c r="D38" s="142"/>
      <c r="E38" s="142"/>
      <c r="F38" s="142"/>
      <c r="G38" s="142"/>
      <c r="H38" s="142"/>
      <c r="I38" s="240"/>
    </row>
    <row r="39" spans="1:9" ht="9" customHeight="1">
      <c r="A39" s="241"/>
      <c r="B39" s="162"/>
      <c r="C39" s="162"/>
      <c r="D39" s="162"/>
      <c r="E39" s="162"/>
      <c r="F39" s="162"/>
      <c r="G39" s="162"/>
      <c r="H39" s="162"/>
      <c r="I39" s="242"/>
    </row>
    <row r="40" spans="1:9" ht="20.25" customHeight="1">
      <c r="A40" s="243" t="s">
        <v>43</v>
      </c>
      <c r="B40" s="163"/>
      <c r="C40" s="163"/>
      <c r="D40" s="163"/>
      <c r="E40" s="163"/>
      <c r="F40" s="163"/>
      <c r="G40" s="163"/>
      <c r="H40" s="163"/>
      <c r="I40" s="244"/>
    </row>
    <row r="41" spans="1:9" s="10" customFormat="1" ht="29.25" customHeight="1">
      <c r="A41" s="245">
        <v>1</v>
      </c>
      <c r="B41" s="123" t="s">
        <v>44</v>
      </c>
      <c r="C41" s="123"/>
      <c r="D41" s="123"/>
      <c r="E41" s="123"/>
      <c r="F41" s="123"/>
      <c r="G41" s="123"/>
      <c r="H41" s="9" t="s">
        <v>45</v>
      </c>
      <c r="I41" s="246" t="s">
        <v>46</v>
      </c>
    </row>
    <row r="42" spans="1:9" ht="14.25" customHeight="1">
      <c r="A42" s="204" t="s">
        <v>1</v>
      </c>
      <c r="B42" s="117" t="s">
        <v>47</v>
      </c>
      <c r="C42" s="117"/>
      <c r="D42" s="117"/>
      <c r="E42" s="117"/>
      <c r="F42" s="117"/>
      <c r="G42" s="117"/>
      <c r="H42" s="117"/>
      <c r="I42" s="247">
        <f>H29*2</f>
        <v>3181.2</v>
      </c>
    </row>
    <row r="43" spans="1:9" ht="72.75" customHeight="1">
      <c r="A43" s="204" t="s">
        <v>10</v>
      </c>
      <c r="B43" s="164" t="s">
        <v>48</v>
      </c>
      <c r="C43" s="164"/>
      <c r="D43" s="164"/>
      <c r="E43" s="164"/>
      <c r="F43" s="164"/>
      <c r="G43" s="164"/>
      <c r="H43" s="164"/>
      <c r="I43" s="248" t="s">
        <v>49</v>
      </c>
    </row>
    <row r="44" spans="1:9" ht="41.25" customHeight="1">
      <c r="A44" s="204" t="s">
        <v>50</v>
      </c>
      <c r="B44" s="117" t="s">
        <v>51</v>
      </c>
      <c r="C44" s="117"/>
      <c r="D44" s="117"/>
      <c r="E44" s="117"/>
      <c r="F44" s="117"/>
      <c r="G44" s="117"/>
      <c r="H44" s="117"/>
      <c r="I44" s="247">
        <f>ROUND(SUM(I43:I43)*0.2,2)</f>
        <v>0</v>
      </c>
    </row>
    <row r="45" spans="1:9" ht="24.75" customHeight="1">
      <c r="A45" s="204" t="s">
        <v>52</v>
      </c>
      <c r="B45" s="80" t="s">
        <v>53</v>
      </c>
      <c r="C45" s="80"/>
      <c r="D45" s="80"/>
      <c r="E45" s="80"/>
      <c r="F45" s="80"/>
      <c r="G45" s="80"/>
      <c r="H45" s="11">
        <v>0.3</v>
      </c>
      <c r="I45" s="247">
        <f>ROUND(H45*SUM(I42:I44),2)</f>
        <v>954.36</v>
      </c>
    </row>
    <row r="46" spans="1:9" ht="18.75" customHeight="1">
      <c r="A46" s="204" t="s">
        <v>54</v>
      </c>
      <c r="B46" s="117" t="s">
        <v>55</v>
      </c>
      <c r="C46" s="117"/>
      <c r="D46" s="117"/>
      <c r="E46" s="117"/>
      <c r="F46" s="117"/>
      <c r="G46" s="117"/>
      <c r="H46" s="117"/>
      <c r="I46" s="249" t="s">
        <v>18</v>
      </c>
    </row>
    <row r="47" spans="1:9" ht="27.75" customHeight="1">
      <c r="A47" s="250" t="s">
        <v>56</v>
      </c>
      <c r="B47" s="161"/>
      <c r="C47" s="161"/>
      <c r="D47" s="161"/>
      <c r="E47" s="161"/>
      <c r="F47" s="161"/>
      <c r="G47" s="161"/>
      <c r="H47" s="161"/>
      <c r="I47" s="251">
        <f>SUM(I42:I46)</f>
        <v>4135.5599999999995</v>
      </c>
    </row>
    <row r="48" spans="1:9" ht="9.75" customHeight="1">
      <c r="A48" s="252"/>
      <c r="B48" s="158"/>
      <c r="C48" s="158"/>
      <c r="D48" s="158"/>
      <c r="E48" s="158"/>
      <c r="F48" s="158"/>
      <c r="G48" s="158"/>
      <c r="H48" s="158"/>
      <c r="I48" s="253"/>
    </row>
    <row r="49" spans="1:12" ht="29.25" customHeight="1">
      <c r="A49" s="204" t="s">
        <v>57</v>
      </c>
      <c r="B49" s="117" t="s">
        <v>58</v>
      </c>
      <c r="C49" s="117"/>
      <c r="D49" s="117"/>
      <c r="E49" s="117"/>
      <c r="F49" s="117"/>
      <c r="G49" s="117"/>
      <c r="H49" s="117"/>
      <c r="I49" s="247">
        <f>ROUND(H33*15*H36*0.5,2)</f>
        <v>162.75</v>
      </c>
      <c r="L49" s="12"/>
    </row>
    <row r="50" spans="1:9" ht="32.25" customHeight="1">
      <c r="A50" s="250" t="s">
        <v>59</v>
      </c>
      <c r="B50" s="161"/>
      <c r="C50" s="161"/>
      <c r="D50" s="161"/>
      <c r="E50" s="161"/>
      <c r="F50" s="161"/>
      <c r="G50" s="161"/>
      <c r="H50" s="161"/>
      <c r="I50" s="251">
        <f>I49</f>
        <v>162.75</v>
      </c>
    </row>
    <row r="51" spans="1:9" ht="15.75" customHeight="1">
      <c r="A51" s="219"/>
      <c r="B51" s="143"/>
      <c r="C51" s="143"/>
      <c r="D51" s="143"/>
      <c r="E51" s="143"/>
      <c r="F51" s="143"/>
      <c r="G51" s="143"/>
      <c r="H51" s="143"/>
      <c r="I51" s="220"/>
    </row>
    <row r="52" spans="1:9" ht="45" customHeight="1">
      <c r="A52" s="254" t="s">
        <v>60</v>
      </c>
      <c r="B52" s="157"/>
      <c r="C52" s="157"/>
      <c r="D52" s="157"/>
      <c r="E52" s="157"/>
      <c r="F52" s="157"/>
      <c r="G52" s="157"/>
      <c r="H52" s="157"/>
      <c r="I52" s="255">
        <f>I47+I50</f>
        <v>4298.3099999999995</v>
      </c>
    </row>
    <row r="53" spans="1:9" ht="9" customHeight="1">
      <c r="A53" s="252"/>
      <c r="B53" s="158"/>
      <c r="C53" s="158"/>
      <c r="D53" s="158"/>
      <c r="E53" s="158"/>
      <c r="F53" s="158"/>
      <c r="G53" s="158"/>
      <c r="H53" s="158"/>
      <c r="I53" s="253"/>
    </row>
    <row r="54" spans="1:9" ht="17.25" customHeight="1">
      <c r="A54" s="256" t="s">
        <v>61</v>
      </c>
      <c r="B54" s="159"/>
      <c r="C54" s="159"/>
      <c r="D54" s="159"/>
      <c r="E54" s="159"/>
      <c r="F54" s="159"/>
      <c r="G54" s="159"/>
      <c r="H54" s="159"/>
      <c r="I54" s="257"/>
    </row>
    <row r="55" spans="1:9" ht="8.25" customHeight="1">
      <c r="A55" s="258"/>
      <c r="B55" s="160"/>
      <c r="C55" s="160"/>
      <c r="D55" s="160"/>
      <c r="E55" s="160"/>
      <c r="F55" s="160"/>
      <c r="G55" s="160"/>
      <c r="H55" s="160"/>
      <c r="I55" s="259"/>
    </row>
    <row r="56" spans="1:9" ht="27" customHeight="1">
      <c r="A56" s="260" t="s">
        <v>62</v>
      </c>
      <c r="B56" s="127"/>
      <c r="C56" s="127"/>
      <c r="D56" s="127"/>
      <c r="E56" s="127"/>
      <c r="F56" s="127"/>
      <c r="G56" s="127"/>
      <c r="H56" s="127"/>
      <c r="I56" s="261"/>
    </row>
    <row r="57" spans="1:9" ht="27" customHeight="1">
      <c r="A57" s="262" t="s">
        <v>63</v>
      </c>
      <c r="B57" s="152"/>
      <c r="C57" s="152"/>
      <c r="D57" s="152"/>
      <c r="E57" s="152"/>
      <c r="F57" s="152"/>
      <c r="G57" s="152"/>
      <c r="H57" s="152"/>
      <c r="I57" s="263"/>
    </row>
    <row r="58" spans="1:9" ht="22.5" customHeight="1">
      <c r="A58" s="264" t="s">
        <v>64</v>
      </c>
      <c r="B58" s="153" t="s">
        <v>65</v>
      </c>
      <c r="C58" s="153"/>
      <c r="D58" s="153"/>
      <c r="E58" s="153"/>
      <c r="F58" s="153"/>
      <c r="G58" s="153"/>
      <c r="H58" s="153"/>
      <c r="I58" s="265" t="s">
        <v>66</v>
      </c>
    </row>
    <row r="59" spans="1:9" ht="27" customHeight="1">
      <c r="A59" s="264" t="s">
        <v>1</v>
      </c>
      <c r="B59" s="132" t="s">
        <v>67</v>
      </c>
      <c r="C59" s="132"/>
      <c r="D59" s="132"/>
      <c r="E59" s="132"/>
      <c r="F59" s="132"/>
      <c r="G59" s="132"/>
      <c r="H59" s="13">
        <v>0.0833</v>
      </c>
      <c r="I59" s="266">
        <f>ROUND(I47*H59,2)</f>
        <v>344.49</v>
      </c>
    </row>
    <row r="60" spans="1:9" ht="37.5" customHeight="1">
      <c r="A60" s="264" t="s">
        <v>4</v>
      </c>
      <c r="B60" s="154" t="s">
        <v>68</v>
      </c>
      <c r="C60" s="154"/>
      <c r="D60" s="154"/>
      <c r="E60" s="154"/>
      <c r="F60" s="154"/>
      <c r="G60" s="154"/>
      <c r="H60" s="13">
        <v>0.0278</v>
      </c>
      <c r="I60" s="266">
        <f>ROUND(I47*H60,2)</f>
        <v>114.97</v>
      </c>
    </row>
    <row r="61" spans="1:9" ht="15.75" customHeight="1">
      <c r="A61" s="267" t="s">
        <v>69</v>
      </c>
      <c r="B61" s="155"/>
      <c r="C61" s="155"/>
      <c r="D61" s="155"/>
      <c r="E61" s="155"/>
      <c r="F61" s="155"/>
      <c r="G61" s="155"/>
      <c r="H61" s="155"/>
      <c r="I61" s="268">
        <f>SUM(I59+I60)</f>
        <v>459.46000000000004</v>
      </c>
    </row>
    <row r="62" spans="1:9" ht="7.5" customHeight="1">
      <c r="A62" s="269"/>
      <c r="B62" s="156"/>
      <c r="C62" s="156"/>
      <c r="D62" s="156"/>
      <c r="E62" s="156"/>
      <c r="F62" s="156"/>
      <c r="G62" s="156"/>
      <c r="H62" s="156"/>
      <c r="I62" s="270"/>
    </row>
    <row r="63" spans="1:9" ht="97.5" customHeight="1">
      <c r="A63" s="271" t="s">
        <v>70</v>
      </c>
      <c r="B63" s="133"/>
      <c r="C63" s="133"/>
      <c r="D63" s="133"/>
      <c r="E63" s="133"/>
      <c r="F63" s="133"/>
      <c r="G63" s="133"/>
      <c r="H63" s="133"/>
      <c r="I63" s="272"/>
    </row>
    <row r="64" spans="1:9" ht="7.5" customHeight="1">
      <c r="A64" s="273"/>
      <c r="B64" s="150"/>
      <c r="C64" s="150"/>
      <c r="D64" s="150"/>
      <c r="E64" s="150"/>
      <c r="F64" s="150"/>
      <c r="G64" s="150"/>
      <c r="H64" s="150"/>
      <c r="I64" s="274"/>
    </row>
    <row r="65" spans="1:9" s="14" customFormat="1" ht="32.25" customHeight="1">
      <c r="A65" s="275" t="s">
        <v>71</v>
      </c>
      <c r="B65" s="151"/>
      <c r="C65" s="151"/>
      <c r="D65" s="151"/>
      <c r="E65" s="151"/>
      <c r="F65" s="151"/>
      <c r="G65" s="151"/>
      <c r="H65" s="151"/>
      <c r="I65" s="276"/>
    </row>
    <row r="66" spans="1:9" s="14" customFormat="1" ht="27" customHeight="1">
      <c r="A66" s="277" t="s">
        <v>72</v>
      </c>
      <c r="B66" s="145" t="s">
        <v>73</v>
      </c>
      <c r="C66" s="145"/>
      <c r="D66" s="145"/>
      <c r="E66" s="145"/>
      <c r="F66" s="145"/>
      <c r="G66" s="145"/>
      <c r="H66" s="4" t="s">
        <v>45</v>
      </c>
      <c r="I66" s="278" t="s">
        <v>74</v>
      </c>
    </row>
    <row r="67" spans="1:9" s="14" customFormat="1" ht="18.75" customHeight="1">
      <c r="A67" s="279" t="s">
        <v>1</v>
      </c>
      <c r="B67" s="107" t="s">
        <v>75</v>
      </c>
      <c r="C67" s="107"/>
      <c r="D67" s="107"/>
      <c r="E67" s="107"/>
      <c r="F67" s="107"/>
      <c r="G67" s="107"/>
      <c r="H67" s="15">
        <v>0.2</v>
      </c>
      <c r="I67" s="248">
        <f>ROUND((I47+I61)*H67,2)</f>
        <v>919</v>
      </c>
    </row>
    <row r="68" spans="1:9" s="14" customFormat="1" ht="18.75" customHeight="1">
      <c r="A68" s="279" t="s">
        <v>4</v>
      </c>
      <c r="B68" s="107" t="s">
        <v>76</v>
      </c>
      <c r="C68" s="107"/>
      <c r="D68" s="107"/>
      <c r="E68" s="107"/>
      <c r="F68" s="107"/>
      <c r="G68" s="107"/>
      <c r="H68" s="16">
        <v>0.025</v>
      </c>
      <c r="I68" s="248">
        <f>ROUND((I47+I61)*H68,2)</f>
        <v>114.88</v>
      </c>
    </row>
    <row r="69" spans="1:9" s="14" customFormat="1" ht="75" customHeight="1">
      <c r="A69" s="279" t="s">
        <v>7</v>
      </c>
      <c r="B69" s="149" t="s">
        <v>77</v>
      </c>
      <c r="C69" s="149"/>
      <c r="D69" s="17" t="s">
        <v>78</v>
      </c>
      <c r="E69" s="18">
        <v>0.03</v>
      </c>
      <c r="F69" s="17" t="s">
        <v>79</v>
      </c>
      <c r="G69" s="19">
        <v>1</v>
      </c>
      <c r="H69" s="20">
        <f>ROUND((E69*G69),6)</f>
        <v>0.03</v>
      </c>
      <c r="I69" s="248">
        <f>ROUND((I47+I61)*H69,2)</f>
        <v>137.85</v>
      </c>
    </row>
    <row r="70" spans="1:9" s="14" customFormat="1" ht="15.75" customHeight="1">
      <c r="A70" s="279" t="s">
        <v>10</v>
      </c>
      <c r="B70" s="107" t="s">
        <v>80</v>
      </c>
      <c r="C70" s="107"/>
      <c r="D70" s="107"/>
      <c r="E70" s="107"/>
      <c r="F70" s="107"/>
      <c r="G70" s="107"/>
      <c r="H70" s="15">
        <v>0.015</v>
      </c>
      <c r="I70" s="248">
        <f>ROUND((I47+I61)*H70,2)</f>
        <v>68.93</v>
      </c>
    </row>
    <row r="71" spans="1:9" s="14" customFormat="1" ht="15.75" customHeight="1">
      <c r="A71" s="279" t="s">
        <v>50</v>
      </c>
      <c r="B71" s="107" t="s">
        <v>81</v>
      </c>
      <c r="C71" s="107"/>
      <c r="D71" s="107"/>
      <c r="E71" s="107"/>
      <c r="F71" s="107"/>
      <c r="G71" s="107"/>
      <c r="H71" s="15">
        <v>0.01</v>
      </c>
      <c r="I71" s="248">
        <f>ROUND((I47+I61)*H71,2)</f>
        <v>45.95</v>
      </c>
    </row>
    <row r="72" spans="1:9" s="14" customFormat="1" ht="15.75" customHeight="1">
      <c r="A72" s="279" t="s">
        <v>52</v>
      </c>
      <c r="B72" s="117" t="s">
        <v>82</v>
      </c>
      <c r="C72" s="117"/>
      <c r="D72" s="117"/>
      <c r="E72" s="117"/>
      <c r="F72" s="117"/>
      <c r="G72" s="117"/>
      <c r="H72" s="16">
        <v>0.006</v>
      </c>
      <c r="I72" s="248">
        <f>ROUND((I47+I61)*H72,2)</f>
        <v>27.57</v>
      </c>
    </row>
    <row r="73" spans="1:9" s="14" customFormat="1" ht="15.75" customHeight="1">
      <c r="A73" s="279" t="s">
        <v>54</v>
      </c>
      <c r="B73" s="107" t="s">
        <v>83</v>
      </c>
      <c r="C73" s="107"/>
      <c r="D73" s="107"/>
      <c r="E73" s="107"/>
      <c r="F73" s="107"/>
      <c r="G73" s="107"/>
      <c r="H73" s="15">
        <v>0.002</v>
      </c>
      <c r="I73" s="248">
        <f>ROUND((I47+I61)*H73,2)</f>
        <v>9.19</v>
      </c>
    </row>
    <row r="74" spans="1:9" ht="15.75" customHeight="1">
      <c r="A74" s="279" t="s">
        <v>57</v>
      </c>
      <c r="B74" s="117" t="s">
        <v>84</v>
      </c>
      <c r="C74" s="117"/>
      <c r="D74" s="117"/>
      <c r="E74" s="117"/>
      <c r="F74" s="117"/>
      <c r="G74" s="117"/>
      <c r="H74" s="16">
        <v>0.08</v>
      </c>
      <c r="I74" s="248">
        <f>ROUND((I47+I61)*H74,2)</f>
        <v>367.6</v>
      </c>
    </row>
    <row r="75" spans="1:9" ht="15.75" customHeight="1">
      <c r="A75" s="280" t="s">
        <v>69</v>
      </c>
      <c r="B75" s="108"/>
      <c r="C75" s="108"/>
      <c r="D75" s="108"/>
      <c r="E75" s="108"/>
      <c r="F75" s="108"/>
      <c r="G75" s="108"/>
      <c r="H75" s="21">
        <f>SUM(H67:H74)</f>
        <v>0.36800000000000005</v>
      </c>
      <c r="I75" s="268">
        <f>SUM(I67:I74)</f>
        <v>1690.9700000000003</v>
      </c>
    </row>
    <row r="76" spans="1:9" ht="8.25" customHeight="1">
      <c r="A76" s="281"/>
      <c r="B76" s="22"/>
      <c r="C76" s="22"/>
      <c r="D76" s="22"/>
      <c r="E76" s="22"/>
      <c r="F76" s="22"/>
      <c r="G76" s="22"/>
      <c r="H76" s="23"/>
      <c r="I76" s="282"/>
    </row>
    <row r="77" spans="1:9" ht="63.75" customHeight="1">
      <c r="A77" s="239" t="s">
        <v>85</v>
      </c>
      <c r="B77" s="142"/>
      <c r="C77" s="142"/>
      <c r="D77" s="142"/>
      <c r="E77" s="142"/>
      <c r="F77" s="142"/>
      <c r="G77" s="142"/>
      <c r="H77" s="142"/>
      <c r="I77" s="240"/>
    </row>
    <row r="78" spans="1:9" ht="9.75" customHeight="1">
      <c r="A78" s="223"/>
      <c r="B78" s="141"/>
      <c r="C78" s="141"/>
      <c r="D78" s="141"/>
      <c r="E78" s="141"/>
      <c r="F78" s="141"/>
      <c r="G78" s="141"/>
      <c r="H78" s="141"/>
      <c r="I78" s="224"/>
    </row>
    <row r="79" spans="1:9" ht="20.25" customHeight="1">
      <c r="A79" s="283" t="s">
        <v>86</v>
      </c>
      <c r="B79" s="129"/>
      <c r="C79" s="129"/>
      <c r="D79" s="129"/>
      <c r="E79" s="129"/>
      <c r="F79" s="129"/>
      <c r="G79" s="129"/>
      <c r="H79" s="129"/>
      <c r="I79" s="284"/>
    </row>
    <row r="80" spans="1:9" ht="27" customHeight="1">
      <c r="A80" s="285" t="s">
        <v>87</v>
      </c>
      <c r="B80" s="123" t="s">
        <v>88</v>
      </c>
      <c r="C80" s="123"/>
      <c r="D80" s="123"/>
      <c r="E80" s="123"/>
      <c r="F80" s="123"/>
      <c r="G80" s="123"/>
      <c r="H80" s="123"/>
      <c r="I80" s="278" t="s">
        <v>66</v>
      </c>
    </row>
    <row r="81" spans="1:11" ht="23.25" customHeight="1">
      <c r="A81" s="286" t="s">
        <v>1</v>
      </c>
      <c r="B81" s="146" t="s">
        <v>89</v>
      </c>
      <c r="C81" s="146"/>
      <c r="D81" s="146"/>
      <c r="E81" s="146"/>
      <c r="F81" s="146"/>
      <c r="G81" s="146"/>
      <c r="H81" s="146"/>
      <c r="I81" s="287">
        <f>IF(ROUND((H82*H84*H83)-(I42*H85),2)&lt;0,0,ROUND((H82*H84*H83)-(I42*H85),2))</f>
        <v>94.13</v>
      </c>
      <c r="K81" s="1">
        <f>1/12</f>
        <v>0.08333333333333333</v>
      </c>
    </row>
    <row r="82" spans="1:9" ht="25.5" customHeight="1">
      <c r="A82" s="286"/>
      <c r="B82" s="146" t="s">
        <v>90</v>
      </c>
      <c r="C82" s="146"/>
      <c r="D82" s="146"/>
      <c r="E82" s="146"/>
      <c r="F82" s="146"/>
      <c r="G82" s="146"/>
      <c r="H82" s="24">
        <v>4.75</v>
      </c>
      <c r="I82" s="288" t="s">
        <v>18</v>
      </c>
    </row>
    <row r="83" spans="1:9" ht="19.5" customHeight="1">
      <c r="A83" s="286"/>
      <c r="B83" s="117" t="s">
        <v>91</v>
      </c>
      <c r="C83" s="117"/>
      <c r="D83" s="117"/>
      <c r="E83" s="117"/>
      <c r="F83" s="117"/>
      <c r="G83" s="117"/>
      <c r="H83" s="25">
        <v>2</v>
      </c>
      <c r="I83" s="288" t="s">
        <v>18</v>
      </c>
    </row>
    <row r="84" spans="1:9" ht="19.5" customHeight="1">
      <c r="A84" s="286"/>
      <c r="B84" s="147" t="s">
        <v>92</v>
      </c>
      <c r="C84" s="147"/>
      <c r="D84" s="147"/>
      <c r="E84" s="147"/>
      <c r="F84" s="147"/>
      <c r="G84" s="147"/>
      <c r="H84" s="26">
        <v>30</v>
      </c>
      <c r="I84" s="288"/>
    </row>
    <row r="85" spans="1:9" ht="24" customHeight="1">
      <c r="A85" s="286"/>
      <c r="B85" s="147" t="s">
        <v>93</v>
      </c>
      <c r="C85" s="147"/>
      <c r="D85" s="147"/>
      <c r="E85" s="147"/>
      <c r="F85" s="147"/>
      <c r="G85" s="147"/>
      <c r="H85" s="27">
        <v>0.06</v>
      </c>
      <c r="I85" s="288"/>
    </row>
    <row r="86" spans="1:9" ht="14.25" customHeight="1">
      <c r="A86" s="286" t="s">
        <v>4</v>
      </c>
      <c r="B86" s="146" t="s">
        <v>94</v>
      </c>
      <c r="C86" s="146"/>
      <c r="D86" s="146"/>
      <c r="E86" s="146"/>
      <c r="F86" s="146"/>
      <c r="G86" s="146"/>
      <c r="H86" s="146"/>
      <c r="I86" s="289">
        <f>ROUND(H88*H87*(1-H89),2)*1+ROUND(21.726*6*(1-H89),2)*0</f>
        <v>590.4</v>
      </c>
    </row>
    <row r="87" spans="1:9" ht="15.75" customHeight="1">
      <c r="A87" s="286"/>
      <c r="B87" s="146" t="s">
        <v>95</v>
      </c>
      <c r="C87" s="146"/>
      <c r="D87" s="146"/>
      <c r="E87" s="146"/>
      <c r="F87" s="146"/>
      <c r="G87" s="146"/>
      <c r="H87" s="24">
        <v>24.6</v>
      </c>
      <c r="I87" s="288" t="s">
        <v>18</v>
      </c>
    </row>
    <row r="88" spans="1:9" ht="29.25" customHeight="1">
      <c r="A88" s="286"/>
      <c r="B88" s="146" t="s">
        <v>96</v>
      </c>
      <c r="C88" s="146"/>
      <c r="D88" s="146"/>
      <c r="E88" s="146"/>
      <c r="F88" s="146"/>
      <c r="G88" s="146"/>
      <c r="H88" s="26">
        <v>30</v>
      </c>
      <c r="I88" s="288"/>
    </row>
    <row r="89" spans="1:9" ht="25.5" customHeight="1">
      <c r="A89" s="286"/>
      <c r="B89" s="147" t="s">
        <v>97</v>
      </c>
      <c r="C89" s="147"/>
      <c r="D89" s="147"/>
      <c r="E89" s="147"/>
      <c r="F89" s="147"/>
      <c r="G89" s="147"/>
      <c r="H89" s="27">
        <v>0.2</v>
      </c>
      <c r="I89" s="288"/>
    </row>
    <row r="90" spans="1:9" ht="15.75" customHeight="1">
      <c r="A90" s="286" t="s">
        <v>7</v>
      </c>
      <c r="B90" s="146" t="s">
        <v>98</v>
      </c>
      <c r="C90" s="146"/>
      <c r="D90" s="146"/>
      <c r="E90" s="146"/>
      <c r="F90" s="146"/>
      <c r="G90" s="146"/>
      <c r="H90" s="146"/>
      <c r="I90" s="287">
        <v>0</v>
      </c>
    </row>
    <row r="91" spans="1:9" ht="53.25" customHeight="1">
      <c r="A91" s="286" t="s">
        <v>10</v>
      </c>
      <c r="B91" s="146" t="s">
        <v>99</v>
      </c>
      <c r="C91" s="146"/>
      <c r="D91" s="146"/>
      <c r="E91" s="146"/>
      <c r="F91" s="146"/>
      <c r="G91" s="146"/>
      <c r="H91" s="146"/>
      <c r="I91" s="248">
        <f>124066.8*0.0078%</f>
        <v>9.6772104</v>
      </c>
    </row>
    <row r="92" spans="1:9" s="14" customFormat="1" ht="48" customHeight="1">
      <c r="A92" s="286" t="s">
        <v>50</v>
      </c>
      <c r="B92" s="117" t="s">
        <v>100</v>
      </c>
      <c r="C92" s="117"/>
      <c r="D92" s="117"/>
      <c r="E92" s="117"/>
      <c r="F92" s="117"/>
      <c r="G92" s="117"/>
      <c r="H92" s="117"/>
      <c r="I92" s="248">
        <f>5175*0.0078%</f>
        <v>0.40365</v>
      </c>
    </row>
    <row r="93" spans="1:9" s="14" customFormat="1" ht="15.75" customHeight="1">
      <c r="A93" s="286" t="s">
        <v>52</v>
      </c>
      <c r="B93" s="148" t="s">
        <v>101</v>
      </c>
      <c r="C93" s="148"/>
      <c r="D93" s="148"/>
      <c r="E93" s="148"/>
      <c r="F93" s="148"/>
      <c r="G93" s="148"/>
      <c r="H93" s="148"/>
      <c r="I93" s="290">
        <v>0</v>
      </c>
    </row>
    <row r="94" spans="1:9" s="14" customFormat="1" ht="18" customHeight="1">
      <c r="A94" s="291"/>
      <c r="B94" s="140" t="s">
        <v>69</v>
      </c>
      <c r="C94" s="140"/>
      <c r="D94" s="140"/>
      <c r="E94" s="140"/>
      <c r="F94" s="140"/>
      <c r="G94" s="140"/>
      <c r="H94" s="140"/>
      <c r="I94" s="268">
        <f>SUM(I81:I93)</f>
        <v>694.6108604</v>
      </c>
    </row>
    <row r="95" spans="1:9" s="14" customFormat="1" ht="9" customHeight="1">
      <c r="A95" s="223"/>
      <c r="B95" s="141"/>
      <c r="C95" s="141"/>
      <c r="D95" s="141"/>
      <c r="E95" s="141"/>
      <c r="F95" s="141"/>
      <c r="G95" s="141"/>
      <c r="H95" s="141"/>
      <c r="I95" s="224"/>
    </row>
    <row r="96" spans="1:9" s="14" customFormat="1" ht="42" customHeight="1">
      <c r="A96" s="239" t="s">
        <v>102</v>
      </c>
      <c r="B96" s="142"/>
      <c r="C96" s="142"/>
      <c r="D96" s="142"/>
      <c r="E96" s="142"/>
      <c r="F96" s="142"/>
      <c r="G96" s="142"/>
      <c r="H96" s="142"/>
      <c r="I96" s="240"/>
    </row>
    <row r="97" spans="1:9" s="14" customFormat="1" ht="8.25" customHeight="1">
      <c r="A97" s="219"/>
      <c r="B97" s="143"/>
      <c r="C97" s="143"/>
      <c r="D97" s="143"/>
      <c r="E97" s="143"/>
      <c r="F97" s="143"/>
      <c r="G97" s="143"/>
      <c r="H97" s="143"/>
      <c r="I97" s="220"/>
    </row>
    <row r="98" spans="1:9" s="14" customFormat="1" ht="17.25" customHeight="1">
      <c r="A98" s="292" t="s">
        <v>103</v>
      </c>
      <c r="B98" s="144"/>
      <c r="C98" s="144"/>
      <c r="D98" s="144"/>
      <c r="E98" s="144"/>
      <c r="F98" s="144"/>
      <c r="G98" s="144"/>
      <c r="H98" s="144"/>
      <c r="I98" s="293"/>
    </row>
    <row r="99" spans="1:9" s="14" customFormat="1" ht="15.75" customHeight="1">
      <c r="A99" s="294">
        <v>2</v>
      </c>
      <c r="B99" s="145" t="s">
        <v>104</v>
      </c>
      <c r="C99" s="145"/>
      <c r="D99" s="145"/>
      <c r="E99" s="145"/>
      <c r="F99" s="145"/>
      <c r="G99" s="145"/>
      <c r="H99" s="145"/>
      <c r="I99" s="295" t="s">
        <v>66</v>
      </c>
    </row>
    <row r="100" spans="1:9" s="14" customFormat="1" ht="14.25" customHeight="1">
      <c r="A100" s="296" t="s">
        <v>64</v>
      </c>
      <c r="B100" s="137" t="s">
        <v>105</v>
      </c>
      <c r="C100" s="137"/>
      <c r="D100" s="137"/>
      <c r="E100" s="137"/>
      <c r="F100" s="137"/>
      <c r="G100" s="137"/>
      <c r="H100" s="137"/>
      <c r="I100" s="297">
        <f>I61</f>
        <v>459.46000000000004</v>
      </c>
    </row>
    <row r="101" spans="1:9" s="14" customFormat="1" ht="14.25" customHeight="1">
      <c r="A101" s="296" t="s">
        <v>72</v>
      </c>
      <c r="B101" s="137" t="s">
        <v>73</v>
      </c>
      <c r="C101" s="137"/>
      <c r="D101" s="137"/>
      <c r="E101" s="137"/>
      <c r="F101" s="137"/>
      <c r="G101" s="137"/>
      <c r="H101" s="137"/>
      <c r="I101" s="297">
        <f>I75</f>
        <v>1690.9700000000003</v>
      </c>
    </row>
    <row r="102" spans="1:9" s="14" customFormat="1" ht="14.25" customHeight="1">
      <c r="A102" s="296" t="s">
        <v>87</v>
      </c>
      <c r="B102" s="137" t="s">
        <v>88</v>
      </c>
      <c r="C102" s="137"/>
      <c r="D102" s="137"/>
      <c r="E102" s="137"/>
      <c r="F102" s="137"/>
      <c r="G102" s="137"/>
      <c r="H102" s="137"/>
      <c r="I102" s="297">
        <f>I94</f>
        <v>694.6108604</v>
      </c>
    </row>
    <row r="103" spans="1:9" s="14" customFormat="1" ht="14.25" customHeight="1">
      <c r="A103" s="298" t="s">
        <v>69</v>
      </c>
      <c r="B103" s="138"/>
      <c r="C103" s="138"/>
      <c r="D103" s="138"/>
      <c r="E103" s="138"/>
      <c r="F103" s="138"/>
      <c r="G103" s="138"/>
      <c r="H103" s="138"/>
      <c r="I103" s="299">
        <f>SUM(I100+I101+I102)</f>
        <v>2845.0408604000004</v>
      </c>
    </row>
    <row r="104" spans="1:9" s="14" customFormat="1" ht="8.25" customHeight="1">
      <c r="A104" s="300"/>
      <c r="B104" s="139"/>
      <c r="C104" s="139"/>
      <c r="D104" s="139"/>
      <c r="E104" s="139"/>
      <c r="F104" s="139"/>
      <c r="G104" s="139"/>
      <c r="H104" s="139"/>
      <c r="I104" s="301"/>
    </row>
    <row r="105" spans="1:9" s="14" customFormat="1" ht="20.25" customHeight="1">
      <c r="A105" s="302" t="s">
        <v>106</v>
      </c>
      <c r="B105" s="113"/>
      <c r="C105" s="113"/>
      <c r="D105" s="113"/>
      <c r="E105" s="113"/>
      <c r="F105" s="113"/>
      <c r="G105" s="113"/>
      <c r="H105" s="113"/>
      <c r="I105" s="303"/>
    </row>
    <row r="106" spans="1:9" s="14" customFormat="1" ht="15">
      <c r="A106" s="285">
        <v>3</v>
      </c>
      <c r="B106" s="114" t="s">
        <v>107</v>
      </c>
      <c r="C106" s="114"/>
      <c r="D106" s="114"/>
      <c r="E106" s="114"/>
      <c r="F106" s="114"/>
      <c r="G106" s="114"/>
      <c r="H106" s="114"/>
      <c r="I106" s="304" t="s">
        <v>66</v>
      </c>
    </row>
    <row r="107" spans="1:9" s="14" customFormat="1" ht="60" customHeight="1">
      <c r="A107" s="286" t="s">
        <v>1</v>
      </c>
      <c r="B107" s="84" t="s">
        <v>108</v>
      </c>
      <c r="C107" s="84"/>
      <c r="D107" s="84"/>
      <c r="E107" s="84"/>
      <c r="F107" s="84"/>
      <c r="G107" s="84"/>
      <c r="H107" s="84"/>
      <c r="I107" s="248">
        <f>ROUND(((I47/12)+($I$59/12)+(I47/12/12)+($I$60/12))*(30/30)*0.05,2)</f>
        <v>20.58</v>
      </c>
    </row>
    <row r="108" spans="1:9" s="14" customFormat="1" ht="14.25" customHeight="1">
      <c r="A108" s="286" t="s">
        <v>4</v>
      </c>
      <c r="B108" s="136" t="s">
        <v>109</v>
      </c>
      <c r="C108" s="136"/>
      <c r="D108" s="136"/>
      <c r="E108" s="136"/>
      <c r="F108" s="136"/>
      <c r="G108" s="136"/>
      <c r="H108" s="136"/>
      <c r="I108" s="248">
        <f>ROUND($H$74*I107,2)</f>
        <v>1.65</v>
      </c>
    </row>
    <row r="109" spans="1:9" s="14" customFormat="1" ht="42.75" customHeight="1">
      <c r="A109" s="286" t="s">
        <v>7</v>
      </c>
      <c r="B109" s="107" t="s">
        <v>110</v>
      </c>
      <c r="C109" s="107"/>
      <c r="D109" s="107"/>
      <c r="E109" s="107"/>
      <c r="F109" s="107"/>
      <c r="G109" s="107"/>
      <c r="H109" s="107"/>
      <c r="I109" s="248">
        <f>ROUND(((7/30)/$H$11)*I47*1,2)</f>
        <v>80.41</v>
      </c>
    </row>
    <row r="110" spans="1:9" s="14" customFormat="1" ht="19.5" customHeight="1">
      <c r="A110" s="286" t="s">
        <v>10</v>
      </c>
      <c r="B110" s="136" t="s">
        <v>111</v>
      </c>
      <c r="C110" s="136"/>
      <c r="D110" s="136"/>
      <c r="E110" s="136"/>
      <c r="F110" s="136"/>
      <c r="G110" s="136"/>
      <c r="H110" s="136"/>
      <c r="I110" s="248">
        <f>ROUND($H$75*I109,2)</f>
        <v>29.59</v>
      </c>
    </row>
    <row r="111" spans="1:9" s="14" customFormat="1" ht="36.75" customHeight="1">
      <c r="A111" s="286" t="s">
        <v>50</v>
      </c>
      <c r="B111" s="107" t="s">
        <v>112</v>
      </c>
      <c r="C111" s="107"/>
      <c r="D111" s="107"/>
      <c r="E111" s="107"/>
      <c r="F111" s="107"/>
      <c r="G111" s="107"/>
      <c r="H111" s="28">
        <v>0.04</v>
      </c>
      <c r="I111" s="248">
        <f>ROUND(I47*H111,2)</f>
        <v>165.42</v>
      </c>
    </row>
    <row r="112" spans="1:9" s="14" customFormat="1" ht="15.75" customHeight="1">
      <c r="A112" s="280" t="s">
        <v>113</v>
      </c>
      <c r="B112" s="108"/>
      <c r="C112" s="108"/>
      <c r="D112" s="108"/>
      <c r="E112" s="108"/>
      <c r="F112" s="108"/>
      <c r="G112" s="108"/>
      <c r="H112" s="108"/>
      <c r="I112" s="268">
        <f>SUM(I107:I111)</f>
        <v>297.65</v>
      </c>
    </row>
    <row r="113" spans="1:9" s="14" customFormat="1" ht="9" customHeight="1">
      <c r="A113" s="305"/>
      <c r="B113" s="97"/>
      <c r="C113" s="97"/>
      <c r="D113" s="97"/>
      <c r="E113" s="97"/>
      <c r="F113" s="97"/>
      <c r="G113" s="97"/>
      <c r="H113" s="97"/>
      <c r="I113" s="306"/>
    </row>
    <row r="114" spans="1:9" ht="24" customHeight="1">
      <c r="A114" s="307" t="s">
        <v>114</v>
      </c>
      <c r="B114" s="122"/>
      <c r="C114" s="122"/>
      <c r="D114" s="122"/>
      <c r="E114" s="122"/>
      <c r="F114" s="122"/>
      <c r="G114" s="122"/>
      <c r="H114" s="122"/>
      <c r="I114" s="308"/>
    </row>
    <row r="115" spans="1:9" ht="24.75" customHeight="1">
      <c r="A115" s="271" t="s">
        <v>115</v>
      </c>
      <c r="B115" s="133"/>
      <c r="C115" s="133"/>
      <c r="D115" s="133"/>
      <c r="E115" s="133"/>
      <c r="F115" s="133"/>
      <c r="G115" s="133"/>
      <c r="H115" s="133"/>
      <c r="I115" s="272"/>
    </row>
    <row r="116" spans="1:9" ht="42.75" customHeight="1">
      <c r="A116" s="309" t="s">
        <v>116</v>
      </c>
      <c r="B116" s="134"/>
      <c r="C116" s="134"/>
      <c r="D116" s="134"/>
      <c r="E116" s="134"/>
      <c r="F116" s="134"/>
      <c r="G116" s="134"/>
      <c r="H116" s="134"/>
      <c r="I116" s="310"/>
    </row>
    <row r="117" spans="1:9" ht="7.5" customHeight="1">
      <c r="A117" s="311"/>
      <c r="B117" s="135"/>
      <c r="C117" s="135"/>
      <c r="D117" s="135"/>
      <c r="E117" s="135"/>
      <c r="F117" s="135"/>
      <c r="G117" s="135"/>
      <c r="H117" s="135"/>
      <c r="I117" s="312"/>
    </row>
    <row r="118" spans="1:9" ht="42" customHeight="1">
      <c r="A118" s="313" t="s">
        <v>117</v>
      </c>
      <c r="B118" s="30">
        <f>I47</f>
        <v>4135.5599999999995</v>
      </c>
      <c r="C118" s="31"/>
      <c r="D118" s="29" t="s">
        <v>118</v>
      </c>
      <c r="E118" s="30">
        <f>I103-I81-I86</f>
        <v>2160.5108604</v>
      </c>
      <c r="F118" s="32"/>
      <c r="G118" s="29" t="s">
        <v>119</v>
      </c>
      <c r="H118" s="30">
        <f>I112</f>
        <v>297.65</v>
      </c>
      <c r="I118" s="314">
        <f>B118+E118+H118</f>
        <v>6593.720860399999</v>
      </c>
    </row>
    <row r="119" spans="1:9" ht="7.5" customHeight="1">
      <c r="A119" s="315"/>
      <c r="B119" s="130"/>
      <c r="C119" s="130"/>
      <c r="D119" s="130"/>
      <c r="E119" s="130"/>
      <c r="F119" s="130"/>
      <c r="G119" s="130"/>
      <c r="H119" s="130"/>
      <c r="I119" s="316"/>
    </row>
    <row r="120" spans="1:9" ht="24" customHeight="1">
      <c r="A120" s="317" t="s">
        <v>120</v>
      </c>
      <c r="B120" s="131"/>
      <c r="C120" s="131"/>
      <c r="D120" s="131"/>
      <c r="E120" s="131"/>
      <c r="F120" s="131"/>
      <c r="G120" s="131"/>
      <c r="H120" s="131"/>
      <c r="I120" s="318"/>
    </row>
    <row r="121" spans="1:9" ht="24" customHeight="1">
      <c r="A121" s="319" t="s">
        <v>121</v>
      </c>
      <c r="B121" s="114" t="s">
        <v>122</v>
      </c>
      <c r="C121" s="114"/>
      <c r="D121" s="114"/>
      <c r="E121" s="114"/>
      <c r="F121" s="114"/>
      <c r="G121" s="114"/>
      <c r="H121" s="114"/>
      <c r="I121" s="320" t="s">
        <v>66</v>
      </c>
    </row>
    <row r="122" spans="1:9" ht="17.25" customHeight="1">
      <c r="A122" s="321" t="s">
        <v>1</v>
      </c>
      <c r="B122" s="132" t="s">
        <v>123</v>
      </c>
      <c r="C122" s="132"/>
      <c r="D122" s="132"/>
      <c r="E122" s="132"/>
      <c r="F122" s="132"/>
      <c r="G122" s="132"/>
      <c r="H122" s="132"/>
      <c r="I122" s="248">
        <f>ROUND(I118/12,2)</f>
        <v>549.48</v>
      </c>
    </row>
    <row r="123" spans="1:9" ht="33.75" customHeight="1">
      <c r="A123" s="286" t="s">
        <v>4</v>
      </c>
      <c r="B123" s="107" t="s">
        <v>124</v>
      </c>
      <c r="C123" s="107"/>
      <c r="D123" s="107"/>
      <c r="E123" s="107"/>
      <c r="F123" s="107"/>
      <c r="G123" s="107"/>
      <c r="H123" s="107"/>
      <c r="I123" s="248">
        <f>ROUND((1/30)/12*(I118),2)</f>
        <v>18.32</v>
      </c>
    </row>
    <row r="124" spans="1:9" ht="25.5" customHeight="1">
      <c r="A124" s="286" t="s">
        <v>7</v>
      </c>
      <c r="B124" s="107" t="s">
        <v>125</v>
      </c>
      <c r="C124" s="107"/>
      <c r="D124" s="107"/>
      <c r="E124" s="107"/>
      <c r="F124" s="107"/>
      <c r="G124" s="107"/>
      <c r="H124" s="107"/>
      <c r="I124" s="248">
        <f>ROUND((5/30)/12*0.015*(I118),2)</f>
        <v>1.37</v>
      </c>
    </row>
    <row r="125" spans="1:9" ht="24" customHeight="1">
      <c r="A125" s="286" t="s">
        <v>10</v>
      </c>
      <c r="B125" s="107" t="s">
        <v>126</v>
      </c>
      <c r="C125" s="107"/>
      <c r="D125" s="107"/>
      <c r="E125" s="107"/>
      <c r="F125" s="107"/>
      <c r="G125" s="107"/>
      <c r="H125" s="107"/>
      <c r="I125" s="248">
        <f>ROUND(((15/30)/12)*0.0078*(I118),2)</f>
        <v>2.14</v>
      </c>
    </row>
    <row r="126" spans="1:9" ht="24.75" customHeight="1">
      <c r="A126" s="286" t="s">
        <v>50</v>
      </c>
      <c r="B126" s="117" t="s">
        <v>127</v>
      </c>
      <c r="C126" s="117"/>
      <c r="D126" s="117"/>
      <c r="E126" s="117"/>
      <c r="F126" s="117"/>
      <c r="G126" s="117"/>
      <c r="H126" s="117"/>
      <c r="I126" s="248">
        <f>ROUND(((((I47+I47/3)/12)+(I75+I94-I81-I86+I112))*4/12)*0.02,2)</f>
        <v>16.39</v>
      </c>
    </row>
    <row r="127" spans="1:9" ht="27" customHeight="1">
      <c r="A127" s="286" t="s">
        <v>52</v>
      </c>
      <c r="B127" s="107" t="s">
        <v>128</v>
      </c>
      <c r="C127" s="107"/>
      <c r="D127" s="107"/>
      <c r="E127" s="107"/>
      <c r="F127" s="107"/>
      <c r="G127" s="107"/>
      <c r="H127" s="107"/>
      <c r="I127" s="248">
        <f>ROUND(((3/30)/12)*(I118),2)</f>
        <v>54.95</v>
      </c>
    </row>
    <row r="128" spans="1:9" ht="15.75" customHeight="1">
      <c r="A128" s="280" t="s">
        <v>69</v>
      </c>
      <c r="B128" s="108"/>
      <c r="C128" s="108"/>
      <c r="D128" s="108"/>
      <c r="E128" s="108"/>
      <c r="F128" s="108"/>
      <c r="G128" s="108"/>
      <c r="H128" s="108"/>
      <c r="I128" s="268">
        <f>SUM(I122:I127)</f>
        <v>642.6500000000001</v>
      </c>
    </row>
    <row r="129" spans="1:9" ht="9" customHeight="1">
      <c r="A129" s="322"/>
      <c r="B129" s="128"/>
      <c r="C129" s="128"/>
      <c r="D129" s="128"/>
      <c r="E129" s="128"/>
      <c r="F129" s="128"/>
      <c r="G129" s="128"/>
      <c r="H129" s="128"/>
      <c r="I129" s="323"/>
    </row>
    <row r="130" spans="1:9" ht="15.75" customHeight="1">
      <c r="A130" s="283" t="s">
        <v>129</v>
      </c>
      <c r="B130" s="129"/>
      <c r="C130" s="129"/>
      <c r="D130" s="129"/>
      <c r="E130" s="129"/>
      <c r="F130" s="129"/>
      <c r="G130" s="129"/>
      <c r="H130" s="129"/>
      <c r="I130" s="284"/>
    </row>
    <row r="131" spans="1:9" ht="15.75" customHeight="1">
      <c r="A131" s="324" t="s">
        <v>130</v>
      </c>
      <c r="B131" s="124" t="s">
        <v>131</v>
      </c>
      <c r="C131" s="124"/>
      <c r="D131" s="124"/>
      <c r="E131" s="124"/>
      <c r="F131" s="124"/>
      <c r="G131" s="124"/>
      <c r="H131" s="124"/>
      <c r="I131" s="325" t="s">
        <v>66</v>
      </c>
    </row>
    <row r="132" spans="1:9" ht="15.75" customHeight="1">
      <c r="A132" s="326" t="s">
        <v>1</v>
      </c>
      <c r="B132" s="120" t="s">
        <v>132</v>
      </c>
      <c r="C132" s="120"/>
      <c r="D132" s="120"/>
      <c r="E132" s="120"/>
      <c r="F132" s="120"/>
      <c r="G132" s="120"/>
      <c r="H132" s="120"/>
      <c r="I132" s="327">
        <v>0</v>
      </c>
    </row>
    <row r="133" spans="1:9" ht="15.75" customHeight="1">
      <c r="A133" s="328" t="s">
        <v>69</v>
      </c>
      <c r="B133" s="125"/>
      <c r="C133" s="125"/>
      <c r="D133" s="125"/>
      <c r="E133" s="125"/>
      <c r="F133" s="125"/>
      <c r="G133" s="125"/>
      <c r="H133" s="125"/>
      <c r="I133" s="327">
        <v>0</v>
      </c>
    </row>
    <row r="134" spans="1:9" ht="7.5" customHeight="1">
      <c r="A134" s="329"/>
      <c r="B134" s="126"/>
      <c r="C134" s="126"/>
      <c r="D134" s="126"/>
      <c r="E134" s="126"/>
      <c r="F134" s="126"/>
      <c r="G134" s="126"/>
      <c r="H134" s="126"/>
      <c r="I134" s="330"/>
    </row>
    <row r="135" spans="1:9" ht="23.25" customHeight="1">
      <c r="A135" s="260" t="s">
        <v>133</v>
      </c>
      <c r="B135" s="127"/>
      <c r="C135" s="127"/>
      <c r="D135" s="127"/>
      <c r="E135" s="127"/>
      <c r="F135" s="127"/>
      <c r="G135" s="127"/>
      <c r="H135" s="127"/>
      <c r="I135" s="261"/>
    </row>
    <row r="136" spans="1:9" ht="23.25" customHeight="1">
      <c r="A136" s="294">
        <v>4</v>
      </c>
      <c r="B136" s="124" t="s">
        <v>134</v>
      </c>
      <c r="C136" s="124"/>
      <c r="D136" s="124"/>
      <c r="E136" s="124"/>
      <c r="F136" s="124"/>
      <c r="G136" s="124"/>
      <c r="H136" s="124"/>
      <c r="I136" s="325" t="s">
        <v>66</v>
      </c>
    </row>
    <row r="137" spans="1:9" ht="18.75" customHeight="1">
      <c r="A137" s="331" t="s">
        <v>121</v>
      </c>
      <c r="B137" s="120" t="s">
        <v>122</v>
      </c>
      <c r="C137" s="120"/>
      <c r="D137" s="120"/>
      <c r="E137" s="120"/>
      <c r="F137" s="120"/>
      <c r="G137" s="120"/>
      <c r="H137" s="120"/>
      <c r="I137" s="327">
        <f>I128</f>
        <v>642.6500000000001</v>
      </c>
    </row>
    <row r="138" spans="1:9" ht="21.75" customHeight="1">
      <c r="A138" s="331" t="s">
        <v>135</v>
      </c>
      <c r="B138" s="120" t="s">
        <v>131</v>
      </c>
      <c r="C138" s="120"/>
      <c r="D138" s="120"/>
      <c r="E138" s="120"/>
      <c r="F138" s="120"/>
      <c r="G138" s="120"/>
      <c r="H138" s="120"/>
      <c r="I138" s="327">
        <f>I133</f>
        <v>0</v>
      </c>
    </row>
    <row r="139" spans="1:9" ht="23.25" customHeight="1">
      <c r="A139" s="332" t="s">
        <v>69</v>
      </c>
      <c r="B139" s="121"/>
      <c r="C139" s="121"/>
      <c r="D139" s="121"/>
      <c r="E139" s="121"/>
      <c r="F139" s="121"/>
      <c r="G139" s="121"/>
      <c r="H139" s="121"/>
      <c r="I139" s="333">
        <f>SUM(I137+I138)</f>
        <v>642.6500000000001</v>
      </c>
    </row>
    <row r="140" spans="1:9" ht="7.5" customHeight="1">
      <c r="A140" s="305"/>
      <c r="B140" s="97"/>
      <c r="C140" s="97"/>
      <c r="D140" s="97"/>
      <c r="E140" s="97"/>
      <c r="F140" s="97"/>
      <c r="G140" s="97"/>
      <c r="H140" s="97"/>
      <c r="I140" s="306"/>
    </row>
    <row r="141" spans="1:9" s="14" customFormat="1" ht="27.75" customHeight="1">
      <c r="A141" s="307" t="s">
        <v>136</v>
      </c>
      <c r="B141" s="122"/>
      <c r="C141" s="122"/>
      <c r="D141" s="122"/>
      <c r="E141" s="122"/>
      <c r="F141" s="122"/>
      <c r="G141" s="122"/>
      <c r="H141" s="122"/>
      <c r="I141" s="308"/>
    </row>
    <row r="142" spans="1:9" ht="27" customHeight="1">
      <c r="A142" s="285">
        <v>3</v>
      </c>
      <c r="B142" s="123" t="s">
        <v>137</v>
      </c>
      <c r="C142" s="123"/>
      <c r="D142" s="123"/>
      <c r="E142" s="123"/>
      <c r="F142" s="123"/>
      <c r="G142" s="123"/>
      <c r="H142" s="123"/>
      <c r="I142" s="304" t="s">
        <v>66</v>
      </c>
    </row>
    <row r="143" spans="1:9" ht="14.25" customHeight="1">
      <c r="A143" s="286" t="s">
        <v>1</v>
      </c>
      <c r="B143" s="116" t="s">
        <v>138</v>
      </c>
      <c r="C143" s="116"/>
      <c r="D143" s="116"/>
      <c r="E143" s="116"/>
      <c r="F143" s="116"/>
      <c r="G143" s="116"/>
      <c r="H143" s="116"/>
      <c r="I143" s="334" t="s">
        <v>49</v>
      </c>
    </row>
    <row r="144" spans="1:9" ht="15.75" customHeight="1">
      <c r="A144" s="286" t="s">
        <v>4</v>
      </c>
      <c r="B144" s="116" t="s">
        <v>139</v>
      </c>
      <c r="C144" s="116"/>
      <c r="D144" s="116"/>
      <c r="E144" s="116"/>
      <c r="F144" s="116"/>
      <c r="G144" s="116"/>
      <c r="H144" s="116"/>
      <c r="I144" s="334" t="s">
        <v>49</v>
      </c>
    </row>
    <row r="145" spans="1:9" ht="17.25" customHeight="1">
      <c r="A145" s="286" t="s">
        <v>7</v>
      </c>
      <c r="B145" s="117" t="s">
        <v>140</v>
      </c>
      <c r="C145" s="117"/>
      <c r="D145" s="117"/>
      <c r="E145" s="117"/>
      <c r="F145" s="117"/>
      <c r="G145" s="117"/>
      <c r="H145" s="117"/>
      <c r="I145" s="334" t="s">
        <v>49</v>
      </c>
    </row>
    <row r="146" spans="1:9" ht="15.75" customHeight="1">
      <c r="A146" s="280" t="s">
        <v>141</v>
      </c>
      <c r="B146" s="108"/>
      <c r="C146" s="108"/>
      <c r="D146" s="108"/>
      <c r="E146" s="108"/>
      <c r="F146" s="108"/>
      <c r="G146" s="108"/>
      <c r="H146" s="108"/>
      <c r="I146" s="335">
        <v>246.55</v>
      </c>
    </row>
    <row r="147" spans="1:9" ht="7.5" customHeight="1">
      <c r="A147" s="336"/>
      <c r="B147" s="118"/>
      <c r="C147" s="118"/>
      <c r="D147" s="118"/>
      <c r="E147" s="118"/>
      <c r="F147" s="118"/>
      <c r="G147" s="118"/>
      <c r="H147" s="118"/>
      <c r="I147" s="337"/>
    </row>
    <row r="148" spans="1:9" ht="12">
      <c r="A148" s="338" t="s">
        <v>142</v>
      </c>
      <c r="B148" s="119"/>
      <c r="C148" s="119"/>
      <c r="D148" s="119"/>
      <c r="E148" s="119"/>
      <c r="F148" s="119"/>
      <c r="G148" s="119"/>
      <c r="H148" s="119"/>
      <c r="I148" s="339"/>
    </row>
    <row r="149" spans="1:9" ht="6.75" customHeight="1">
      <c r="A149" s="340"/>
      <c r="B149" s="33"/>
      <c r="C149" s="33"/>
      <c r="D149" s="33"/>
      <c r="E149" s="33"/>
      <c r="F149" s="33"/>
      <c r="G149" s="33"/>
      <c r="H149" s="33"/>
      <c r="I149" s="341"/>
    </row>
    <row r="150" spans="1:9" ht="15.75">
      <c r="A150" s="302" t="s">
        <v>143</v>
      </c>
      <c r="B150" s="113"/>
      <c r="C150" s="113"/>
      <c r="D150" s="113"/>
      <c r="E150" s="113"/>
      <c r="F150" s="113"/>
      <c r="G150" s="113"/>
      <c r="H150" s="113"/>
      <c r="I150" s="303"/>
    </row>
    <row r="151" spans="1:9" ht="30">
      <c r="A151" s="285">
        <v>6</v>
      </c>
      <c r="B151" s="114" t="s">
        <v>144</v>
      </c>
      <c r="C151" s="114"/>
      <c r="D151" s="114"/>
      <c r="E151" s="114"/>
      <c r="F151" s="114"/>
      <c r="G151" s="114"/>
      <c r="H151" s="4" t="s">
        <v>45</v>
      </c>
      <c r="I151" s="342" t="s">
        <v>74</v>
      </c>
    </row>
    <row r="152" spans="1:9" ht="57.75" customHeight="1">
      <c r="A152" s="343" t="s">
        <v>145</v>
      </c>
      <c r="B152" s="109"/>
      <c r="C152" s="109"/>
      <c r="D152" s="109"/>
      <c r="E152" s="109"/>
      <c r="F152" s="109"/>
      <c r="G152" s="109"/>
      <c r="H152" s="34" t="s">
        <v>18</v>
      </c>
      <c r="I152" s="344">
        <f>SUM(I52+I103+I112+I139+I146)</f>
        <v>8330.200860399998</v>
      </c>
    </row>
    <row r="153" spans="1:9" ht="15.75" customHeight="1">
      <c r="A153" s="286" t="s">
        <v>1</v>
      </c>
      <c r="B153" s="115" t="s">
        <v>146</v>
      </c>
      <c r="C153" s="115"/>
      <c r="D153" s="115"/>
      <c r="E153" s="115"/>
      <c r="F153" s="115"/>
      <c r="G153" s="115"/>
      <c r="H153" s="35">
        <v>0.06</v>
      </c>
      <c r="I153" s="248">
        <f>ROUND(H153*I152,2)</f>
        <v>499.81</v>
      </c>
    </row>
    <row r="154" spans="1:9" ht="57.75" customHeight="1">
      <c r="A154" s="343" t="s">
        <v>147</v>
      </c>
      <c r="B154" s="109"/>
      <c r="C154" s="109"/>
      <c r="D154" s="109"/>
      <c r="E154" s="109"/>
      <c r="F154" s="109"/>
      <c r="G154" s="109"/>
      <c r="H154" s="36" t="s">
        <v>18</v>
      </c>
      <c r="I154" s="344">
        <f>SUM(I52+I103+I112+I139+I146+I153)</f>
        <v>8830.010860399998</v>
      </c>
    </row>
    <row r="155" spans="1:9" ht="15.75" customHeight="1">
      <c r="A155" s="286" t="s">
        <v>4</v>
      </c>
      <c r="B155" s="115" t="s">
        <v>148</v>
      </c>
      <c r="C155" s="115"/>
      <c r="D155" s="115"/>
      <c r="E155" s="115"/>
      <c r="F155" s="115"/>
      <c r="G155" s="115"/>
      <c r="H155" s="35">
        <v>0.0679</v>
      </c>
      <c r="I155" s="248">
        <f>ROUND(H155*I154,2)</f>
        <v>599.56</v>
      </c>
    </row>
    <row r="156" spans="1:9" ht="69.75" customHeight="1">
      <c r="A156" s="343" t="s">
        <v>149</v>
      </c>
      <c r="B156" s="109"/>
      <c r="C156" s="109"/>
      <c r="D156" s="109"/>
      <c r="E156" s="109"/>
      <c r="F156" s="109"/>
      <c r="G156" s="109"/>
      <c r="H156" s="36" t="s">
        <v>18</v>
      </c>
      <c r="I156" s="344">
        <f>SUM(I47+I103+I112+I139+I146+I153+I155)</f>
        <v>9266.8208604</v>
      </c>
    </row>
    <row r="157" spans="1:9" ht="16.5" customHeight="1">
      <c r="A157" s="345" t="s">
        <v>7</v>
      </c>
      <c r="B157" s="110" t="s">
        <v>150</v>
      </c>
      <c r="C157" s="110"/>
      <c r="D157" s="110"/>
      <c r="E157" s="110"/>
      <c r="F157" s="110"/>
      <c r="G157" s="110"/>
      <c r="H157" s="37" t="s">
        <v>18</v>
      </c>
      <c r="I157" s="249" t="s">
        <v>18</v>
      </c>
    </row>
    <row r="158" spans="1:9" ht="12.75">
      <c r="A158" s="286"/>
      <c r="B158" s="111" t="s">
        <v>151</v>
      </c>
      <c r="C158" s="111"/>
      <c r="D158" s="111"/>
      <c r="E158" s="111"/>
      <c r="F158" s="111"/>
      <c r="G158" s="111"/>
      <c r="H158" s="37" t="s">
        <v>18</v>
      </c>
      <c r="I158" s="249" t="s">
        <v>18</v>
      </c>
    </row>
    <row r="159" spans="1:9" ht="22.5" customHeight="1">
      <c r="A159" s="286"/>
      <c r="B159" s="112" t="s">
        <v>152</v>
      </c>
      <c r="C159" s="112"/>
      <c r="D159" s="112"/>
      <c r="E159" s="112"/>
      <c r="F159" s="112"/>
      <c r="G159" s="112"/>
      <c r="H159" s="38">
        <v>0.03</v>
      </c>
      <c r="I159" s="346">
        <f>ROUND(($I$156/(1-$H$168))*H159,2)</f>
        <v>301.03</v>
      </c>
    </row>
    <row r="160" spans="1:9" ht="22.5" customHeight="1">
      <c r="A160" s="286"/>
      <c r="B160" s="112" t="s">
        <v>153</v>
      </c>
      <c r="C160" s="112"/>
      <c r="D160" s="112"/>
      <c r="E160" s="112"/>
      <c r="F160" s="112"/>
      <c r="G160" s="112"/>
      <c r="H160" s="38">
        <v>0.0065</v>
      </c>
      <c r="I160" s="346">
        <f>ROUND(($I$156/(1-$H$168))*H160,2)</f>
        <v>65.22</v>
      </c>
    </row>
    <row r="161" spans="1:9" ht="29.25" customHeight="1">
      <c r="A161" s="286"/>
      <c r="B161" s="84" t="s">
        <v>154</v>
      </c>
      <c r="C161" s="84"/>
      <c r="D161" s="84"/>
      <c r="E161" s="84"/>
      <c r="F161" s="84"/>
      <c r="G161" s="84"/>
      <c r="H161" s="39" t="s">
        <v>18</v>
      </c>
      <c r="I161" s="249" t="s">
        <v>18</v>
      </c>
    </row>
    <row r="162" spans="1:9" ht="29.25" customHeight="1">
      <c r="A162" s="286"/>
      <c r="B162" s="84" t="s">
        <v>155</v>
      </c>
      <c r="C162" s="84"/>
      <c r="D162" s="84"/>
      <c r="E162" s="84"/>
      <c r="F162" s="84"/>
      <c r="G162" s="84"/>
      <c r="H162" s="39" t="s">
        <v>18</v>
      </c>
      <c r="I162" s="249" t="s">
        <v>18</v>
      </c>
    </row>
    <row r="163" spans="1:9" ht="14.25" customHeight="1">
      <c r="A163" s="286"/>
      <c r="B163" s="106" t="s">
        <v>156</v>
      </c>
      <c r="C163" s="106"/>
      <c r="D163" s="106"/>
      <c r="E163" s="106"/>
      <c r="F163" s="106"/>
      <c r="G163" s="106"/>
      <c r="H163" s="40" t="s">
        <v>18</v>
      </c>
      <c r="I163" s="347" t="s">
        <v>18</v>
      </c>
    </row>
    <row r="164" spans="1:9" ht="14.25" customHeight="1">
      <c r="A164" s="286"/>
      <c r="B164" s="106" t="s">
        <v>157</v>
      </c>
      <c r="C164" s="106"/>
      <c r="D164" s="106"/>
      <c r="E164" s="106"/>
      <c r="F164" s="106"/>
      <c r="G164" s="106"/>
      <c r="H164" s="40" t="s">
        <v>18</v>
      </c>
      <c r="I164" s="347" t="s">
        <v>18</v>
      </c>
    </row>
    <row r="165" spans="1:9" ht="25.5" customHeight="1">
      <c r="A165" s="286"/>
      <c r="B165" s="107" t="s">
        <v>158</v>
      </c>
      <c r="C165" s="107"/>
      <c r="D165" s="107"/>
      <c r="E165" s="107"/>
      <c r="F165" s="107"/>
      <c r="G165" s="107"/>
      <c r="H165" s="41">
        <v>0.04</v>
      </c>
      <c r="I165" s="346">
        <f>ROUND(($I$156/(1-$H$168))*H165,2)</f>
        <v>401.38</v>
      </c>
    </row>
    <row r="166" spans="1:9" ht="15.75" customHeight="1">
      <c r="A166" s="280" t="s">
        <v>113</v>
      </c>
      <c r="B166" s="108"/>
      <c r="C166" s="108"/>
      <c r="D166" s="108"/>
      <c r="E166" s="108"/>
      <c r="F166" s="108"/>
      <c r="G166" s="108"/>
      <c r="H166" s="108"/>
      <c r="I166" s="268">
        <f>SUM(I153+I155+I159+I160+I165)</f>
        <v>1867</v>
      </c>
    </row>
    <row r="167" spans="1:9" ht="6.75" customHeight="1">
      <c r="A167" s="305"/>
      <c r="B167" s="97"/>
      <c r="C167" s="97"/>
      <c r="D167" s="97"/>
      <c r="E167" s="97"/>
      <c r="F167" s="97"/>
      <c r="G167" s="97"/>
      <c r="H167" s="97"/>
      <c r="I167" s="306"/>
    </row>
    <row r="168" spans="1:9" ht="15.75" customHeight="1">
      <c r="A168" s="348" t="s">
        <v>159</v>
      </c>
      <c r="B168" s="100"/>
      <c r="C168" s="100"/>
      <c r="D168" s="100"/>
      <c r="E168" s="100"/>
      <c r="F168" s="100"/>
      <c r="G168" s="100"/>
      <c r="H168" s="42">
        <f>SUM(H159:H165)</f>
        <v>0.0765</v>
      </c>
      <c r="I168" s="349">
        <f>SUM(I159:I165)</f>
        <v>767.63</v>
      </c>
    </row>
    <row r="169" spans="1:9" ht="12.75" customHeight="1">
      <c r="A169" s="350" t="s">
        <v>160</v>
      </c>
      <c r="B169" s="101"/>
      <c r="C169" s="102" t="s">
        <v>161</v>
      </c>
      <c r="D169" s="102"/>
      <c r="E169" s="102"/>
      <c r="F169" s="102"/>
      <c r="G169" s="102"/>
      <c r="H169" s="102"/>
      <c r="I169" s="351"/>
    </row>
    <row r="170" spans="1:9" ht="12" customHeight="1">
      <c r="A170" s="350"/>
      <c r="B170" s="101"/>
      <c r="C170" s="103" t="s">
        <v>162</v>
      </c>
      <c r="D170" s="103"/>
      <c r="E170" s="103"/>
      <c r="F170" s="103"/>
      <c r="G170" s="103"/>
      <c r="H170" s="103"/>
      <c r="I170" s="352"/>
    </row>
    <row r="171" spans="1:9" ht="13.5" customHeight="1">
      <c r="A171" s="350"/>
      <c r="B171" s="101"/>
      <c r="C171" s="104" t="s">
        <v>163</v>
      </c>
      <c r="D171" s="104"/>
      <c r="E171" s="104"/>
      <c r="F171" s="104"/>
      <c r="G171" s="104"/>
      <c r="H171" s="104"/>
      <c r="I171" s="353"/>
    </row>
    <row r="172" spans="1:9" ht="6.75" customHeight="1">
      <c r="A172" s="354"/>
      <c r="B172" s="105"/>
      <c r="C172" s="105"/>
      <c r="D172" s="105"/>
      <c r="E172" s="105"/>
      <c r="F172" s="105"/>
      <c r="G172" s="105"/>
      <c r="H172" s="105"/>
      <c r="I172" s="355"/>
    </row>
    <row r="173" spans="1:9" ht="34.5" customHeight="1">
      <c r="A173" s="356" t="s">
        <v>164</v>
      </c>
      <c r="B173" s="96"/>
      <c r="C173" s="96"/>
      <c r="D173" s="96"/>
      <c r="E173" s="96"/>
      <c r="F173" s="96"/>
      <c r="G173" s="96"/>
      <c r="H173" s="96"/>
      <c r="I173" s="357"/>
    </row>
    <row r="174" spans="1:9" ht="5.25" customHeight="1">
      <c r="A174" s="305"/>
      <c r="B174" s="97"/>
      <c r="C174" s="97"/>
      <c r="D174" s="97"/>
      <c r="E174" s="97"/>
      <c r="F174" s="97"/>
      <c r="G174" s="97"/>
      <c r="H174" s="97"/>
      <c r="I174" s="306"/>
    </row>
    <row r="175" spans="1:9" ht="27.75" customHeight="1">
      <c r="A175" s="358" t="s">
        <v>165</v>
      </c>
      <c r="B175" s="98"/>
      <c r="C175" s="98"/>
      <c r="D175" s="98"/>
      <c r="E175" s="98"/>
      <c r="F175" s="98"/>
      <c r="G175" s="98"/>
      <c r="H175" s="98"/>
      <c r="I175" s="359"/>
    </row>
    <row r="176" spans="1:9" ht="15" customHeight="1">
      <c r="A176" s="202" t="s">
        <v>166</v>
      </c>
      <c r="B176" s="99"/>
      <c r="C176" s="99"/>
      <c r="D176" s="99"/>
      <c r="E176" s="99"/>
      <c r="F176" s="99"/>
      <c r="G176" s="99"/>
      <c r="H176" s="99"/>
      <c r="I176" s="360" t="s">
        <v>66</v>
      </c>
    </row>
    <row r="177" spans="1:11" ht="15" customHeight="1">
      <c r="A177" s="361" t="s">
        <v>1</v>
      </c>
      <c r="B177" s="94" t="s">
        <v>167</v>
      </c>
      <c r="C177" s="94"/>
      <c r="D177" s="94"/>
      <c r="E177" s="94"/>
      <c r="F177" s="94"/>
      <c r="G177" s="94"/>
      <c r="H177" s="94"/>
      <c r="I177" s="290">
        <f>I52</f>
        <v>4298.3099999999995</v>
      </c>
      <c r="K177" s="43"/>
    </row>
    <row r="178" spans="1:9" ht="15" customHeight="1">
      <c r="A178" s="361" t="s">
        <v>4</v>
      </c>
      <c r="B178" s="94" t="s">
        <v>168</v>
      </c>
      <c r="C178" s="94"/>
      <c r="D178" s="94"/>
      <c r="E178" s="94"/>
      <c r="F178" s="94"/>
      <c r="G178" s="94"/>
      <c r="H178" s="94"/>
      <c r="I178" s="290">
        <f>I103</f>
        <v>2845.0408604000004</v>
      </c>
    </row>
    <row r="179" spans="1:9" ht="15" customHeight="1">
      <c r="A179" s="361" t="s">
        <v>7</v>
      </c>
      <c r="B179" s="94" t="s">
        <v>169</v>
      </c>
      <c r="C179" s="94"/>
      <c r="D179" s="94"/>
      <c r="E179" s="94"/>
      <c r="F179" s="94"/>
      <c r="G179" s="94"/>
      <c r="H179" s="94"/>
      <c r="I179" s="290">
        <f>I112</f>
        <v>297.65</v>
      </c>
    </row>
    <row r="180" spans="1:9" ht="15" customHeight="1">
      <c r="A180" s="361" t="s">
        <v>10</v>
      </c>
      <c r="B180" s="94" t="s">
        <v>170</v>
      </c>
      <c r="C180" s="94"/>
      <c r="D180" s="94"/>
      <c r="E180" s="94"/>
      <c r="F180" s="94"/>
      <c r="G180" s="94"/>
      <c r="H180" s="94"/>
      <c r="I180" s="290">
        <f>I139</f>
        <v>642.6500000000001</v>
      </c>
    </row>
    <row r="181" spans="1:9" ht="15" customHeight="1">
      <c r="A181" s="361" t="s">
        <v>50</v>
      </c>
      <c r="B181" s="94" t="s">
        <v>171</v>
      </c>
      <c r="C181" s="94"/>
      <c r="D181" s="94"/>
      <c r="E181" s="94"/>
      <c r="F181" s="94"/>
      <c r="G181" s="94"/>
      <c r="H181" s="94"/>
      <c r="I181" s="290">
        <f>I146</f>
        <v>246.55</v>
      </c>
    </row>
    <row r="182" spans="1:9" ht="15" customHeight="1">
      <c r="A182" s="362" t="s">
        <v>172</v>
      </c>
      <c r="B182" s="95"/>
      <c r="C182" s="95"/>
      <c r="D182" s="95"/>
      <c r="E182" s="95"/>
      <c r="F182" s="95"/>
      <c r="G182" s="95"/>
      <c r="H182" s="95"/>
      <c r="I182" s="290">
        <f>SUM(I177:I181)</f>
        <v>8330.200860399998</v>
      </c>
    </row>
    <row r="183" spans="1:9" ht="15" customHeight="1">
      <c r="A183" s="363" t="s">
        <v>52</v>
      </c>
      <c r="B183" s="94" t="s">
        <v>143</v>
      </c>
      <c r="C183" s="94"/>
      <c r="D183" s="94"/>
      <c r="E183" s="94"/>
      <c r="F183" s="94"/>
      <c r="G183" s="94"/>
      <c r="H183" s="94"/>
      <c r="I183" s="335">
        <f>I166</f>
        <v>1867</v>
      </c>
    </row>
    <row r="184" spans="1:9" ht="15" customHeight="1">
      <c r="A184" s="362" t="s">
        <v>173</v>
      </c>
      <c r="B184" s="95"/>
      <c r="C184" s="95"/>
      <c r="D184" s="95"/>
      <c r="E184" s="95"/>
      <c r="F184" s="95"/>
      <c r="G184" s="95"/>
      <c r="H184" s="95"/>
      <c r="I184" s="290">
        <f>I182+I183</f>
        <v>10197.200860399998</v>
      </c>
    </row>
    <row r="185" spans="1:9" ht="36.75" customHeight="1">
      <c r="A185" s="364" t="s">
        <v>174</v>
      </c>
      <c r="B185" s="90"/>
      <c r="C185" s="90"/>
      <c r="D185" s="90"/>
      <c r="E185" s="90"/>
      <c r="F185" s="90"/>
      <c r="G185" s="90"/>
      <c r="H185" s="90"/>
      <c r="I185" s="365"/>
    </row>
    <row r="186" spans="1:9" ht="7.5" customHeight="1">
      <c r="A186" s="366"/>
      <c r="B186" s="91"/>
      <c r="C186" s="91"/>
      <c r="D186" s="91"/>
      <c r="E186" s="91"/>
      <c r="F186" s="91"/>
      <c r="G186" s="91"/>
      <c r="H186" s="91"/>
      <c r="I186" s="367"/>
    </row>
    <row r="187" spans="1:13" ht="15" customHeight="1" hidden="1">
      <c r="A187" s="368"/>
      <c r="B187" s="44"/>
      <c r="C187" s="44"/>
      <c r="D187" s="44"/>
      <c r="E187" s="44"/>
      <c r="F187" s="44"/>
      <c r="G187" s="44"/>
      <c r="H187" s="45"/>
      <c r="I187" s="369"/>
      <c r="J187" s="46"/>
      <c r="K187" s="47"/>
      <c r="L187" s="48"/>
      <c r="M187" s="49"/>
    </row>
    <row r="188" spans="1:9" ht="31.5" customHeight="1">
      <c r="A188" s="370" t="s">
        <v>175</v>
      </c>
      <c r="B188" s="92"/>
      <c r="C188" s="92"/>
      <c r="D188" s="92"/>
      <c r="E188" s="92"/>
      <c r="F188" s="92"/>
      <c r="G188" s="92"/>
      <c r="H188" s="92"/>
      <c r="I188" s="371"/>
    </row>
    <row r="189" spans="1:256" ht="45" customHeight="1">
      <c r="A189" s="372" t="s">
        <v>176</v>
      </c>
      <c r="B189" s="93"/>
      <c r="C189" s="93"/>
      <c r="D189" s="93"/>
      <c r="E189" s="93" t="s">
        <v>177</v>
      </c>
      <c r="F189" s="93"/>
      <c r="G189" s="4" t="s">
        <v>178</v>
      </c>
      <c r="H189" s="93" t="s">
        <v>179</v>
      </c>
      <c r="I189" s="373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43.5" customHeight="1">
      <c r="A190" s="374" t="s">
        <v>180</v>
      </c>
      <c r="B190" s="80"/>
      <c r="C190" s="80"/>
      <c r="D190" s="80"/>
      <c r="E190" s="82">
        <v>0</v>
      </c>
      <c r="F190" s="82"/>
      <c r="G190" s="50">
        <f>D190*E190</f>
        <v>0</v>
      </c>
      <c r="H190" s="82">
        <f aca="true" t="shared" si="0" ref="H190:H195">E190*G190</f>
        <v>0</v>
      </c>
      <c r="I190" s="375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42.75" customHeight="1">
      <c r="A191" s="376" t="s">
        <v>181</v>
      </c>
      <c r="B191" s="87"/>
      <c r="C191" s="87"/>
      <c r="D191" s="87"/>
      <c r="E191" s="88">
        <f>I184</f>
        <v>10197.200860399998</v>
      </c>
      <c r="F191" s="88"/>
      <c r="G191" s="51">
        <f>H15</f>
        <v>2</v>
      </c>
      <c r="H191" s="89">
        <f t="shared" si="0"/>
        <v>20394.401720799997</v>
      </c>
      <c r="I191" s="377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41.25" customHeight="1">
      <c r="A192" s="378" t="s">
        <v>182</v>
      </c>
      <c r="B192" s="84"/>
      <c r="C192" s="84"/>
      <c r="D192" s="84"/>
      <c r="E192" s="85">
        <f>I184</f>
        <v>10197.200860399998</v>
      </c>
      <c r="F192" s="85"/>
      <c r="G192" s="52">
        <f>H17</f>
        <v>0</v>
      </c>
      <c r="H192" s="86">
        <f t="shared" si="0"/>
        <v>0</v>
      </c>
      <c r="I192" s="379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41.25" customHeight="1">
      <c r="A193" s="374" t="s">
        <v>183</v>
      </c>
      <c r="B193" s="80"/>
      <c r="C193" s="80"/>
      <c r="D193" s="80"/>
      <c r="E193" s="81">
        <v>0</v>
      </c>
      <c r="F193" s="81"/>
      <c r="G193" s="50">
        <f>D193*F193</f>
        <v>0</v>
      </c>
      <c r="H193" s="82">
        <f t="shared" si="0"/>
        <v>0</v>
      </c>
      <c r="I193" s="375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39.75" customHeight="1">
      <c r="A194" s="374" t="s">
        <v>184</v>
      </c>
      <c r="B194" s="80"/>
      <c r="C194" s="80"/>
      <c r="D194" s="80"/>
      <c r="E194" s="81">
        <v>0</v>
      </c>
      <c r="F194" s="81"/>
      <c r="G194" s="50">
        <f>D194*F194</f>
        <v>0</v>
      </c>
      <c r="H194" s="82">
        <f t="shared" si="0"/>
        <v>0</v>
      </c>
      <c r="I194" s="375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35.25" customHeight="1">
      <c r="A195" s="380" t="s">
        <v>185</v>
      </c>
      <c r="B195" s="83"/>
      <c r="C195" s="83"/>
      <c r="D195" s="83"/>
      <c r="E195" s="82">
        <v>0</v>
      </c>
      <c r="F195" s="82"/>
      <c r="G195" s="50">
        <f>D195*F195</f>
        <v>0</v>
      </c>
      <c r="H195" s="82">
        <f t="shared" si="0"/>
        <v>0</v>
      </c>
      <c r="I195" s="37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20.25" customHeight="1">
      <c r="A196" s="381" t="s">
        <v>186</v>
      </c>
      <c r="B196" s="73"/>
      <c r="C196" s="73"/>
      <c r="D196" s="73"/>
      <c r="E196" s="73"/>
      <c r="F196" s="73"/>
      <c r="G196" s="53">
        <f>SUM(G190:G195)</f>
        <v>2</v>
      </c>
      <c r="H196" s="74">
        <f>SUM(H190:I195)</f>
        <v>20394.401720799997</v>
      </c>
      <c r="I196" s="382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6.75" customHeight="1">
      <c r="A197" s="383"/>
      <c r="B197" s="75"/>
      <c r="C197" s="75"/>
      <c r="D197" s="75"/>
      <c r="E197" s="75"/>
      <c r="F197" s="75"/>
      <c r="G197" s="75"/>
      <c r="H197" s="75"/>
      <c r="I197" s="384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7.25" customHeight="1">
      <c r="A198" s="385" t="s">
        <v>187</v>
      </c>
      <c r="B198" s="76"/>
      <c r="C198" s="76"/>
      <c r="D198" s="76"/>
      <c r="E198" s="76"/>
      <c r="F198" s="76"/>
      <c r="G198" s="76"/>
      <c r="H198" s="76"/>
      <c r="I198" s="386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9" ht="6.75" customHeight="1">
      <c r="A199" s="387"/>
      <c r="B199" s="77"/>
      <c r="C199" s="77"/>
      <c r="D199" s="77"/>
      <c r="E199" s="77"/>
      <c r="F199" s="77"/>
      <c r="G199" s="77"/>
      <c r="H199" s="77"/>
      <c r="I199" s="388"/>
    </row>
    <row r="200" spans="1:9" ht="18.75" customHeight="1">
      <c r="A200" s="389" t="s">
        <v>188</v>
      </c>
      <c r="B200" s="78"/>
      <c r="C200" s="78"/>
      <c r="D200" s="78"/>
      <c r="E200" s="78"/>
      <c r="F200" s="78"/>
      <c r="G200" s="79">
        <f>$H$196</f>
        <v>20394.401720799997</v>
      </c>
      <c r="H200" s="79"/>
      <c r="I200" s="390"/>
    </row>
    <row r="201" spans="1:9" ht="8.25" customHeight="1">
      <c r="A201" s="391"/>
      <c r="B201" s="67"/>
      <c r="C201" s="67"/>
      <c r="D201" s="67"/>
      <c r="E201" s="67"/>
      <c r="F201" s="67"/>
      <c r="G201" s="67"/>
      <c r="H201" s="67"/>
      <c r="I201" s="392"/>
    </row>
    <row r="202" spans="1:9" ht="19.5" customHeight="1">
      <c r="A202" s="393" t="s">
        <v>189</v>
      </c>
      <c r="B202" s="68"/>
      <c r="C202" s="68"/>
      <c r="D202" s="68"/>
      <c r="E202" s="68"/>
      <c r="F202" s="68"/>
      <c r="G202" s="69">
        <f>$H$11</f>
        <v>12</v>
      </c>
      <c r="H202" s="69"/>
      <c r="I202" s="394"/>
    </row>
    <row r="203" spans="1:9" ht="8.25" customHeight="1">
      <c r="A203" s="395"/>
      <c r="B203" s="70"/>
      <c r="C203" s="70"/>
      <c r="D203" s="70"/>
      <c r="E203" s="70"/>
      <c r="F203" s="70"/>
      <c r="G203" s="70"/>
      <c r="H203" s="70"/>
      <c r="I203" s="396"/>
    </row>
    <row r="204" spans="1:9" ht="31.5" customHeight="1">
      <c r="A204" s="397" t="s">
        <v>190</v>
      </c>
      <c r="B204" s="71"/>
      <c r="C204" s="71"/>
      <c r="D204" s="71"/>
      <c r="E204" s="71"/>
      <c r="F204" s="71"/>
      <c r="G204" s="72">
        <f>ROUND(G200*G202,2)</f>
        <v>244732.82</v>
      </c>
      <c r="H204" s="72"/>
      <c r="I204" s="398"/>
    </row>
    <row r="205" spans="1:9" ht="8.25" customHeight="1">
      <c r="A205" s="399"/>
      <c r="B205" s="63"/>
      <c r="C205" s="63"/>
      <c r="D205" s="63"/>
      <c r="E205" s="63"/>
      <c r="F205" s="63"/>
      <c r="G205" s="63"/>
      <c r="H205" s="63"/>
      <c r="I205" s="400"/>
    </row>
    <row r="206" spans="1:9" ht="29.25" customHeight="1">
      <c r="A206" s="401" t="s">
        <v>191</v>
      </c>
      <c r="B206" s="64"/>
      <c r="C206" s="64"/>
      <c r="D206" s="64"/>
      <c r="E206" s="64"/>
      <c r="F206" s="64"/>
      <c r="G206" s="64"/>
      <c r="H206" s="64"/>
      <c r="I206" s="402"/>
    </row>
    <row r="207" spans="1:9" ht="12" customHeight="1">
      <c r="A207" s="403" t="s">
        <v>192</v>
      </c>
      <c r="B207" s="65"/>
      <c r="C207" s="65"/>
      <c r="D207" s="55" t="s">
        <v>193</v>
      </c>
      <c r="E207" s="55"/>
      <c r="F207" s="55"/>
      <c r="G207" s="55"/>
      <c r="H207" s="55"/>
      <c r="I207" s="404"/>
    </row>
    <row r="208" spans="1:9" ht="12">
      <c r="A208" s="403"/>
      <c r="B208" s="65"/>
      <c r="C208" s="65"/>
      <c r="D208" s="55"/>
      <c r="E208" s="55"/>
      <c r="F208" s="55"/>
      <c r="G208" s="55"/>
      <c r="H208" s="55"/>
      <c r="I208" s="404"/>
    </row>
    <row r="209" spans="1:9" ht="14.25" customHeight="1">
      <c r="A209" s="405" t="s">
        <v>194</v>
      </c>
      <c r="B209" s="58"/>
      <c r="C209" s="58"/>
      <c r="D209" s="66" t="s">
        <v>195</v>
      </c>
      <c r="E209" s="66"/>
      <c r="F209" s="66"/>
      <c r="G209" s="66"/>
      <c r="H209" s="66"/>
      <c r="I209" s="406"/>
    </row>
    <row r="210" spans="1:9" ht="12.75" customHeight="1">
      <c r="A210" s="405"/>
      <c r="B210" s="58"/>
      <c r="C210" s="58"/>
      <c r="D210" s="59"/>
      <c r="E210" s="59"/>
      <c r="F210" s="59"/>
      <c r="G210" s="59"/>
      <c r="H210" s="59"/>
      <c r="I210" s="407"/>
    </row>
    <row r="211" spans="1:9" ht="12.75" customHeight="1">
      <c r="A211" s="408"/>
      <c r="B211" s="60"/>
      <c r="C211" s="60"/>
      <c r="D211" s="59"/>
      <c r="E211" s="59"/>
      <c r="F211" s="59"/>
      <c r="G211" s="59"/>
      <c r="H211" s="59"/>
      <c r="I211" s="407"/>
    </row>
    <row r="212" spans="1:9" ht="15" customHeight="1">
      <c r="A212" s="409"/>
      <c r="B212" s="61"/>
      <c r="C212" s="61"/>
      <c r="D212" s="61"/>
      <c r="E212" s="61"/>
      <c r="F212" s="61"/>
      <c r="G212" s="61"/>
      <c r="H212" s="61"/>
      <c r="I212" s="410"/>
    </row>
    <row r="213" spans="1:9" ht="12" hidden="1">
      <c r="A213" s="409"/>
      <c r="B213" s="61"/>
      <c r="C213" s="61"/>
      <c r="D213" s="61"/>
      <c r="E213" s="61"/>
      <c r="F213" s="61"/>
      <c r="G213" s="61"/>
      <c r="H213" s="61"/>
      <c r="I213" s="410"/>
    </row>
    <row r="214" spans="1:9" ht="27" customHeight="1">
      <c r="A214" s="411" t="s">
        <v>196</v>
      </c>
      <c r="B214" s="62"/>
      <c r="C214" s="62"/>
      <c r="D214" s="62"/>
      <c r="E214" s="62"/>
      <c r="F214" s="62"/>
      <c r="G214" s="62"/>
      <c r="H214" s="62"/>
      <c r="I214" s="402"/>
    </row>
    <row r="215" spans="1:9" ht="12.75" customHeight="1">
      <c r="A215" s="412" t="s">
        <v>197</v>
      </c>
      <c r="B215" s="55"/>
      <c r="C215" s="55"/>
      <c r="D215" s="55"/>
      <c r="E215" s="55"/>
      <c r="F215" s="55"/>
      <c r="G215" s="55"/>
      <c r="H215" s="55" t="s">
        <v>198</v>
      </c>
      <c r="I215" s="404"/>
    </row>
    <row r="216" spans="1:9" ht="15" customHeight="1">
      <c r="A216" s="413"/>
      <c r="B216" s="56"/>
      <c r="C216" s="56"/>
      <c r="D216" s="56"/>
      <c r="E216" s="56"/>
      <c r="F216" s="56"/>
      <c r="G216" s="56"/>
      <c r="H216" s="54"/>
      <c r="I216" s="414"/>
    </row>
    <row r="217" spans="1:9" ht="12.75" customHeight="1">
      <c r="A217" s="415"/>
      <c r="B217" s="57"/>
      <c r="C217" s="57"/>
      <c r="D217" s="57"/>
      <c r="E217" s="57"/>
      <c r="F217" s="57"/>
      <c r="G217" s="57"/>
      <c r="H217" s="54"/>
      <c r="I217" s="414"/>
    </row>
    <row r="218" spans="1:9" ht="12.75" customHeight="1" thickBot="1">
      <c r="A218" s="416"/>
      <c r="B218" s="417"/>
      <c r="C218" s="417"/>
      <c r="D218" s="417"/>
      <c r="E218" s="417"/>
      <c r="F218" s="417"/>
      <c r="G218" s="417"/>
      <c r="H218" s="418"/>
      <c r="I218" s="419"/>
    </row>
    <row r="228" ht="12.75" customHeight="1"/>
  </sheetData>
  <sheetProtection selectLockedCells="1" selectUnlockedCells="1"/>
  <mergeCells count="300">
    <mergeCell ref="A2:I2"/>
    <mergeCell ref="A3:I3"/>
    <mergeCell ref="A4:E4"/>
    <mergeCell ref="F4:I4"/>
    <mergeCell ref="A5:E5"/>
    <mergeCell ref="F5:I5"/>
    <mergeCell ref="A6:I6"/>
    <mergeCell ref="A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G20"/>
    <mergeCell ref="H20:I20"/>
    <mergeCell ref="A21:I21"/>
    <mergeCell ref="A22:I22"/>
    <mergeCell ref="A23:I23"/>
    <mergeCell ref="A24:I24"/>
    <mergeCell ref="A25:I25"/>
    <mergeCell ref="A26:I26"/>
    <mergeCell ref="J26:P26"/>
    <mergeCell ref="Q26:X26"/>
    <mergeCell ref="Y26:AF26"/>
    <mergeCell ref="AG26:AN26"/>
    <mergeCell ref="AO26:AV26"/>
    <mergeCell ref="AW26:BD26"/>
    <mergeCell ref="BE26:BL26"/>
    <mergeCell ref="BM26:BT26"/>
    <mergeCell ref="BU26:CB26"/>
    <mergeCell ref="CC26:CJ26"/>
    <mergeCell ref="CK26:CR26"/>
    <mergeCell ref="CS26:CZ26"/>
    <mergeCell ref="DA26:DH26"/>
    <mergeCell ref="DI26:DP26"/>
    <mergeCell ref="DQ26:DX26"/>
    <mergeCell ref="DY26:EF26"/>
    <mergeCell ref="HA26:HH26"/>
    <mergeCell ref="HI26:HP26"/>
    <mergeCell ref="HQ26:HX26"/>
    <mergeCell ref="EG26:EN26"/>
    <mergeCell ref="EO26:EV26"/>
    <mergeCell ref="EW26:FD26"/>
    <mergeCell ref="FE26:FL26"/>
    <mergeCell ref="FM26:FT26"/>
    <mergeCell ref="FU26:GB26"/>
    <mergeCell ref="HY26:IF26"/>
    <mergeCell ref="IG26:IN26"/>
    <mergeCell ref="IO26:IV26"/>
    <mergeCell ref="B27:G27"/>
    <mergeCell ref="H27:I27"/>
    <mergeCell ref="B28:G28"/>
    <mergeCell ref="H28:I28"/>
    <mergeCell ref="GC26:GJ26"/>
    <mergeCell ref="GK26:GR26"/>
    <mergeCell ref="GS26:GZ26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A37:I37"/>
    <mergeCell ref="A38:I38"/>
    <mergeCell ref="A39:I39"/>
    <mergeCell ref="A40:I40"/>
    <mergeCell ref="B41:G41"/>
    <mergeCell ref="B42:H42"/>
    <mergeCell ref="B43:H43"/>
    <mergeCell ref="B44:H44"/>
    <mergeCell ref="B45:G45"/>
    <mergeCell ref="B46:H46"/>
    <mergeCell ref="A47:H47"/>
    <mergeCell ref="A48:I48"/>
    <mergeCell ref="B49:H49"/>
    <mergeCell ref="A50:H50"/>
    <mergeCell ref="A51:I51"/>
    <mergeCell ref="A52:H52"/>
    <mergeCell ref="A53:I53"/>
    <mergeCell ref="A54:I54"/>
    <mergeCell ref="A55:I55"/>
    <mergeCell ref="A56:I56"/>
    <mergeCell ref="A57:I57"/>
    <mergeCell ref="B58:H58"/>
    <mergeCell ref="B59:G59"/>
    <mergeCell ref="B60:G60"/>
    <mergeCell ref="A61:H61"/>
    <mergeCell ref="A62:I62"/>
    <mergeCell ref="A63:I63"/>
    <mergeCell ref="A64:I64"/>
    <mergeCell ref="A65:I65"/>
    <mergeCell ref="B66:G66"/>
    <mergeCell ref="B67:G67"/>
    <mergeCell ref="B68:G68"/>
    <mergeCell ref="B69:C69"/>
    <mergeCell ref="B70:G70"/>
    <mergeCell ref="B71:G71"/>
    <mergeCell ref="B72:G72"/>
    <mergeCell ref="B73:G73"/>
    <mergeCell ref="B74:G74"/>
    <mergeCell ref="A75:G75"/>
    <mergeCell ref="A77:I77"/>
    <mergeCell ref="A78:I78"/>
    <mergeCell ref="A79:I79"/>
    <mergeCell ref="B80:H80"/>
    <mergeCell ref="B81:H81"/>
    <mergeCell ref="B82:G82"/>
    <mergeCell ref="B83:G83"/>
    <mergeCell ref="B84:G84"/>
    <mergeCell ref="B85:G85"/>
    <mergeCell ref="B86:H86"/>
    <mergeCell ref="B87:G87"/>
    <mergeCell ref="B88:G88"/>
    <mergeCell ref="B89:G89"/>
    <mergeCell ref="B90:H90"/>
    <mergeCell ref="B91:H91"/>
    <mergeCell ref="B92:H92"/>
    <mergeCell ref="B93:H93"/>
    <mergeCell ref="B94:H94"/>
    <mergeCell ref="A95:I95"/>
    <mergeCell ref="A96:I96"/>
    <mergeCell ref="A97:I97"/>
    <mergeCell ref="A98:I98"/>
    <mergeCell ref="B99:H99"/>
    <mergeCell ref="B100:H100"/>
    <mergeCell ref="B101:H101"/>
    <mergeCell ref="B102:H102"/>
    <mergeCell ref="A103:H103"/>
    <mergeCell ref="A104:I104"/>
    <mergeCell ref="A105:I105"/>
    <mergeCell ref="B106:H106"/>
    <mergeCell ref="B107:H107"/>
    <mergeCell ref="B108:H108"/>
    <mergeCell ref="B109:H109"/>
    <mergeCell ref="B110:H110"/>
    <mergeCell ref="B111:G111"/>
    <mergeCell ref="A112:H112"/>
    <mergeCell ref="A113:I113"/>
    <mergeCell ref="A114:I114"/>
    <mergeCell ref="A115:I115"/>
    <mergeCell ref="A116:I116"/>
    <mergeCell ref="A117:I117"/>
    <mergeCell ref="A119:I119"/>
    <mergeCell ref="A120:I120"/>
    <mergeCell ref="B121:H121"/>
    <mergeCell ref="B122:H122"/>
    <mergeCell ref="B123:H123"/>
    <mergeCell ref="B124:H124"/>
    <mergeCell ref="B125:H125"/>
    <mergeCell ref="B126:H126"/>
    <mergeCell ref="B127:H127"/>
    <mergeCell ref="A128:H128"/>
    <mergeCell ref="A129:I129"/>
    <mergeCell ref="A130:I130"/>
    <mergeCell ref="B131:H131"/>
    <mergeCell ref="B132:H132"/>
    <mergeCell ref="A133:H133"/>
    <mergeCell ref="A134:I134"/>
    <mergeCell ref="A135:I135"/>
    <mergeCell ref="B136:H136"/>
    <mergeCell ref="B137:H137"/>
    <mergeCell ref="B138:H138"/>
    <mergeCell ref="A139:H139"/>
    <mergeCell ref="A140:I140"/>
    <mergeCell ref="A141:I141"/>
    <mergeCell ref="B142:H142"/>
    <mergeCell ref="B143:H143"/>
    <mergeCell ref="B144:H144"/>
    <mergeCell ref="B145:H145"/>
    <mergeCell ref="A146:H146"/>
    <mergeCell ref="A147:I147"/>
    <mergeCell ref="A148:I148"/>
    <mergeCell ref="A150:I150"/>
    <mergeCell ref="B151:G151"/>
    <mergeCell ref="A152:G152"/>
    <mergeCell ref="B153:G153"/>
    <mergeCell ref="A154:G154"/>
    <mergeCell ref="B155:G155"/>
    <mergeCell ref="A156:G156"/>
    <mergeCell ref="B157:G157"/>
    <mergeCell ref="B158:G158"/>
    <mergeCell ref="B159:G159"/>
    <mergeCell ref="B160:G160"/>
    <mergeCell ref="B161:G161"/>
    <mergeCell ref="B162:G162"/>
    <mergeCell ref="B163:G163"/>
    <mergeCell ref="B164:G164"/>
    <mergeCell ref="B165:G165"/>
    <mergeCell ref="A166:H166"/>
    <mergeCell ref="A167:I167"/>
    <mergeCell ref="A168:G168"/>
    <mergeCell ref="A169:B171"/>
    <mergeCell ref="C169:I169"/>
    <mergeCell ref="C170:I170"/>
    <mergeCell ref="C171:I171"/>
    <mergeCell ref="A172:I172"/>
    <mergeCell ref="A173:I173"/>
    <mergeCell ref="A174:I174"/>
    <mergeCell ref="A175:I175"/>
    <mergeCell ref="A176:H176"/>
    <mergeCell ref="B177:H177"/>
    <mergeCell ref="B178:H178"/>
    <mergeCell ref="B179:H179"/>
    <mergeCell ref="B180:H180"/>
    <mergeCell ref="B181:H181"/>
    <mergeCell ref="A182:H182"/>
    <mergeCell ref="B183:H183"/>
    <mergeCell ref="A184:H184"/>
    <mergeCell ref="A185:I185"/>
    <mergeCell ref="A186:I186"/>
    <mergeCell ref="A188:I188"/>
    <mergeCell ref="A189:D189"/>
    <mergeCell ref="E189:F189"/>
    <mergeCell ref="H189:I189"/>
    <mergeCell ref="A190:D190"/>
    <mergeCell ref="E190:F190"/>
    <mergeCell ref="H190:I190"/>
    <mergeCell ref="A191:D191"/>
    <mergeCell ref="E191:F191"/>
    <mergeCell ref="H191:I191"/>
    <mergeCell ref="A192:D192"/>
    <mergeCell ref="E192:F192"/>
    <mergeCell ref="H192:I192"/>
    <mergeCell ref="A193:D193"/>
    <mergeCell ref="E193:F193"/>
    <mergeCell ref="H193:I193"/>
    <mergeCell ref="A194:D194"/>
    <mergeCell ref="E194:F194"/>
    <mergeCell ref="H194:I194"/>
    <mergeCell ref="A195:D195"/>
    <mergeCell ref="E195:F195"/>
    <mergeCell ref="H195:I195"/>
    <mergeCell ref="A196:F196"/>
    <mergeCell ref="H196:I196"/>
    <mergeCell ref="A197:I197"/>
    <mergeCell ref="A198:I198"/>
    <mergeCell ref="A199:I199"/>
    <mergeCell ref="A200:F200"/>
    <mergeCell ref="G200:I200"/>
    <mergeCell ref="A201:I201"/>
    <mergeCell ref="A202:F202"/>
    <mergeCell ref="G202:I202"/>
    <mergeCell ref="A203:I203"/>
    <mergeCell ref="A204:F204"/>
    <mergeCell ref="G204:I204"/>
    <mergeCell ref="A205:I205"/>
    <mergeCell ref="A206:I206"/>
    <mergeCell ref="A207:C208"/>
    <mergeCell ref="D207:I208"/>
    <mergeCell ref="A209:C209"/>
    <mergeCell ref="D209:I209"/>
    <mergeCell ref="A210:C210"/>
    <mergeCell ref="D210:I210"/>
    <mergeCell ref="A211:C211"/>
    <mergeCell ref="D211:I211"/>
    <mergeCell ref="A212:I213"/>
    <mergeCell ref="A214:I214"/>
    <mergeCell ref="A218:G218"/>
    <mergeCell ref="H218:I218"/>
    <mergeCell ref="A215:G215"/>
    <mergeCell ref="H215:I215"/>
    <mergeCell ref="A216:G216"/>
    <mergeCell ref="H216:I216"/>
    <mergeCell ref="A217:G217"/>
    <mergeCell ref="H217:I217"/>
  </mergeCells>
  <printOptions/>
  <pageMargins left="0.7" right="0.7" top="0.75" bottom="0.75" header="0.3" footer="0.3"/>
  <pageSetup horizontalDpi="300" verticalDpi="300" orientation="portrait" paperSize="9" scale="78" r:id="rId1"/>
  <rowBreaks count="5" manualBreakCount="5">
    <brk id="44" max="255" man="1"/>
    <brk id="78" max="255" man="1"/>
    <brk id="113" max="255" man="1"/>
    <brk id="173" max="255" man="1"/>
    <brk id="2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2021-08-04T13:40:41Z</cp:lastPrinted>
  <dcterms:modified xsi:type="dcterms:W3CDTF">2021-08-04T13:40:55Z</dcterms:modified>
  <cp:category/>
  <cp:version/>
  <cp:contentType/>
  <cp:contentStatus/>
</cp:coreProperties>
</file>