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1840" windowHeight="12450"/>
  </bookViews>
  <sheets>
    <sheet name="Consolidação" sheetId="1" r:id="rId1"/>
    <sheet name="12x36 DIURNO" sheetId="2" r:id="rId2"/>
    <sheet name="12x36 NOTURNO" sheetId="3" r:id="rId3"/>
    <sheet name="40H Diurno (7h_15h)" sheetId="4" r:id="rId4"/>
    <sheet name="40h Diurno (15h_23h)" sheetId="5" r:id="rId5"/>
    <sheet name="Uniformes" sheetId="6" r:id="rId6"/>
    <sheet name="Equipamentos" sheetId="7" r:id="rId7"/>
  </sheets>
  <definedNames>
    <definedName name="_xlnm.Print_Area" localSheetId="1">'12x36 DIURNO'!$A$1:$K$201</definedName>
    <definedName name="_xlnm.Print_Area" localSheetId="2">'12x36 NOTURNO'!$A$1:$AC$199</definedName>
    <definedName name="_xlnm.Print_Area" localSheetId="4">'40h Diurno (15h_23h)'!$A$1:$K$200</definedName>
    <definedName name="_xlnm.Print_Area" localSheetId="3">'40H Diurno (7h_15h)'!$A$1:$L$201</definedName>
    <definedName name="_xlnm.Print_Area" localSheetId="0">Consolidação!$A$1:$G$34</definedName>
    <definedName name="_xlnm.Print_Area" localSheetId="6">Equipamentos!$A$1:$F$55</definedName>
    <definedName name="_xlnm.Print_Area" localSheetId="5">Uniformes!$A$1:$I$18</definedName>
  </definedNames>
  <calcPr calcId="191029"/>
  <extLst>
    <ext uri="GoogleSheetsCustomDataVersion2">
      <go:sheetsCustomData xmlns:go="http://customooxmlschemas.google.com/" r:id="rId10" roundtripDataChecksum="CMN6IDNet4vHk6pWl787L2ZAp8MAMN0ivHtKmVH75z4="/>
    </ext>
  </extLst>
</workbook>
</file>

<file path=xl/calcChain.xml><?xml version="1.0" encoding="utf-8"?>
<calcChain xmlns="http://schemas.openxmlformats.org/spreadsheetml/2006/main">
  <c r="H74" i="4" l="1"/>
  <c r="H77" i="3"/>
  <c r="H76" i="2"/>
  <c r="H76" i="1"/>
  <c r="D49" i="7" l="1"/>
  <c r="C49" i="7"/>
  <c r="F37" i="7" l="1"/>
  <c r="F36" i="7"/>
  <c r="F35" i="7"/>
  <c r="F34" i="7"/>
  <c r="F38" i="7" l="1"/>
  <c r="F39" i="7" s="1"/>
  <c r="F40" i="7" s="1"/>
  <c r="I136" i="5" l="1"/>
  <c r="I132" i="4"/>
  <c r="I135" i="3"/>
  <c r="I134" i="2"/>
  <c r="F26" i="7"/>
  <c r="F25" i="7"/>
  <c r="F24" i="7"/>
  <c r="F23" i="7"/>
  <c r="F22" i="7"/>
  <c r="F21" i="7"/>
  <c r="F20" i="7"/>
  <c r="F19" i="7"/>
  <c r="F10" i="7"/>
  <c r="F11" i="7"/>
  <c r="F12" i="7"/>
  <c r="F9" i="7"/>
  <c r="F8" i="7"/>
  <c r="F7" i="7"/>
  <c r="F6" i="7"/>
  <c r="F5" i="7"/>
  <c r="F4" i="7"/>
  <c r="F3" i="7"/>
  <c r="E4" i="6"/>
  <c r="G4" i="6" s="1"/>
  <c r="E5" i="6"/>
  <c r="G5" i="6" s="1"/>
  <c r="E6" i="6"/>
  <c r="G6" i="6" s="1"/>
  <c r="E7" i="6"/>
  <c r="G7" i="6" s="1"/>
  <c r="E8" i="6"/>
  <c r="G8" i="6" s="1"/>
  <c r="E9" i="6"/>
  <c r="G9" i="6" s="1"/>
  <c r="E10" i="6"/>
  <c r="G10" i="6" s="1"/>
  <c r="E11" i="6"/>
  <c r="G11" i="6" s="1"/>
  <c r="E12" i="6"/>
  <c r="G12" i="6" s="1"/>
  <c r="E13" i="6"/>
  <c r="G13" i="6" s="1"/>
  <c r="E14" i="6"/>
  <c r="E3" i="6"/>
  <c r="G3" i="6" s="1"/>
  <c r="G187" i="5"/>
  <c r="G180" i="5"/>
  <c r="G181" i="5" s="1"/>
  <c r="H159" i="5"/>
  <c r="I129" i="5"/>
  <c r="H78" i="5"/>
  <c r="I77" i="5" s="1"/>
  <c r="H73" i="5"/>
  <c r="H60" i="5"/>
  <c r="H66" i="5" s="1"/>
  <c r="H19" i="5"/>
  <c r="H22" i="5" s="1"/>
  <c r="H14" i="5"/>
  <c r="G183" i="4"/>
  <c r="G176" i="4"/>
  <c r="G177" i="4" s="1"/>
  <c r="H155" i="4"/>
  <c r="I125" i="4"/>
  <c r="I73" i="4"/>
  <c r="H56" i="4"/>
  <c r="H62" i="4" s="1"/>
  <c r="H19" i="4"/>
  <c r="H22" i="4" s="1"/>
  <c r="I33" i="4" s="1"/>
  <c r="H14" i="4"/>
  <c r="G186" i="3"/>
  <c r="G179" i="3"/>
  <c r="G180" i="3" s="1"/>
  <c r="H158" i="3"/>
  <c r="I128" i="3"/>
  <c r="I76" i="3"/>
  <c r="H59" i="3"/>
  <c r="H65" i="3" s="1"/>
  <c r="H112" i="3" s="1"/>
  <c r="H19" i="3"/>
  <c r="I32" i="3" s="1"/>
  <c r="H14" i="3"/>
  <c r="G185" i="2"/>
  <c r="G178" i="2"/>
  <c r="G179" i="2" s="1"/>
  <c r="H157" i="2"/>
  <c r="I127" i="2"/>
  <c r="I75" i="2"/>
  <c r="H71" i="2"/>
  <c r="H58" i="2"/>
  <c r="H64" i="2" s="1"/>
  <c r="H21" i="2"/>
  <c r="H24" i="2" s="1"/>
  <c r="H25" i="2" s="1"/>
  <c r="I40" i="2" s="1"/>
  <c r="H14" i="2"/>
  <c r="D11" i="1"/>
  <c r="D16" i="1" s="1"/>
  <c r="I68" i="4" l="1"/>
  <c r="I81" i="4" s="1"/>
  <c r="I89" i="4" s="1"/>
  <c r="H24" i="4"/>
  <c r="I34" i="2"/>
  <c r="I70" i="2" s="1"/>
  <c r="I83" i="2" s="1"/>
  <c r="I91" i="2" s="1"/>
  <c r="F27" i="7"/>
  <c r="F28" i="7" s="1"/>
  <c r="F29" i="7" s="1"/>
  <c r="F13" i="7"/>
  <c r="F14" i="7" s="1"/>
  <c r="E15" i="6"/>
  <c r="G14" i="6"/>
  <c r="G15" i="6" s="1"/>
  <c r="H111" i="2"/>
  <c r="I71" i="3"/>
  <c r="I84" i="3" s="1"/>
  <c r="I92" i="3" s="1"/>
  <c r="H109" i="4"/>
  <c r="H24" i="5"/>
  <c r="I34" i="5" s="1"/>
  <c r="I33" i="5"/>
  <c r="I72" i="5" s="1"/>
  <c r="I85" i="5" s="1"/>
  <c r="I93" i="5" s="1"/>
  <c r="H23" i="5"/>
  <c r="I35" i="5" s="1"/>
  <c r="H25" i="5"/>
  <c r="I36" i="5" s="1"/>
  <c r="H26" i="2"/>
  <c r="H27" i="2"/>
  <c r="I35" i="2" s="1"/>
  <c r="H23" i="4"/>
  <c r="I38" i="4" s="1"/>
  <c r="H113" i="5"/>
  <c r="D12" i="1"/>
  <c r="H25" i="4"/>
  <c r="I34" i="4" s="1"/>
  <c r="I35" i="4" s="1"/>
  <c r="H22" i="3"/>
  <c r="I36" i="4" l="1"/>
  <c r="E47" i="7"/>
  <c r="F47" i="7" s="1"/>
  <c r="I135" i="5" s="1"/>
  <c r="E46" i="7"/>
  <c r="F46" i="7" s="1"/>
  <c r="I131" i="4" s="1"/>
  <c r="F15" i="7"/>
  <c r="I134" i="5"/>
  <c r="I130" i="4"/>
  <c r="I133" i="4" s="1"/>
  <c r="I168" i="4" s="1"/>
  <c r="I133" i="3"/>
  <c r="I132" i="2"/>
  <c r="I36" i="2"/>
  <c r="I37" i="2" s="1"/>
  <c r="I37" i="5"/>
  <c r="I42" i="5"/>
  <c r="H24" i="3"/>
  <c r="I33" i="3" s="1"/>
  <c r="H23" i="3"/>
  <c r="H25" i="3"/>
  <c r="I35" i="3" s="1"/>
  <c r="I38" i="2" l="1"/>
  <c r="I98" i="2" s="1"/>
  <c r="I99" i="2" s="1"/>
  <c r="I137" i="5"/>
  <c r="I172" i="5" s="1"/>
  <c r="E45" i="7"/>
  <c r="E48" i="7"/>
  <c r="F48" i="7" s="1"/>
  <c r="I134" i="3" s="1"/>
  <c r="I136" i="3" s="1"/>
  <c r="I171" i="3" s="1"/>
  <c r="I49" i="2"/>
  <c r="I42" i="2"/>
  <c r="I38" i="5"/>
  <c r="I40" i="5" s="1"/>
  <c r="B105" i="4"/>
  <c r="I98" i="4"/>
  <c r="I48" i="4"/>
  <c r="I109" i="4"/>
  <c r="I47" i="4"/>
  <c r="I96" i="4"/>
  <c r="I97" i="4" s="1"/>
  <c r="I40" i="4"/>
  <c r="I34" i="3"/>
  <c r="I36" i="3" s="1"/>
  <c r="I41" i="3"/>
  <c r="I49" i="4" l="1"/>
  <c r="I87" i="4" s="1"/>
  <c r="I54" i="4"/>
  <c r="I50" i="2"/>
  <c r="I51" i="2" s="1"/>
  <c r="I111" i="2"/>
  <c r="I100" i="2"/>
  <c r="B107" i="2"/>
  <c r="F45" i="7"/>
  <c r="E49" i="7"/>
  <c r="I166" i="2"/>
  <c r="I37" i="3"/>
  <c r="I39" i="3" s="1"/>
  <c r="B109" i="5"/>
  <c r="I102" i="5"/>
  <c r="I113" i="5"/>
  <c r="I52" i="5"/>
  <c r="I100" i="5"/>
  <c r="I101" i="5" s="1"/>
  <c r="I51" i="5"/>
  <c r="I44" i="5"/>
  <c r="I94" i="4"/>
  <c r="I164" i="4"/>
  <c r="I96" i="2"/>
  <c r="I60" i="4" l="1"/>
  <c r="I58" i="4"/>
  <c r="I55" i="4"/>
  <c r="I61" i="4"/>
  <c r="I57" i="4"/>
  <c r="I56" i="4"/>
  <c r="I59" i="4"/>
  <c r="I89" i="2"/>
  <c r="I61" i="2"/>
  <c r="I59" i="2"/>
  <c r="I58" i="2"/>
  <c r="I57" i="2"/>
  <c r="I63" i="2"/>
  <c r="I60" i="2"/>
  <c r="I62" i="2"/>
  <c r="I56" i="2"/>
  <c r="I133" i="2"/>
  <c r="I135" i="2" s="1"/>
  <c r="I170" i="2" s="1"/>
  <c r="F49" i="7"/>
  <c r="I99" i="3"/>
  <c r="I100" i="3" s="1"/>
  <c r="I43" i="3"/>
  <c r="B108" i="3"/>
  <c r="I101" i="3"/>
  <c r="I51" i="3"/>
  <c r="I112" i="3"/>
  <c r="I50" i="3"/>
  <c r="I53" i="5"/>
  <c r="I95" i="4"/>
  <c r="I99" i="4" s="1"/>
  <c r="I97" i="2"/>
  <c r="I101" i="2" s="1"/>
  <c r="I168" i="5"/>
  <c r="I98" i="5"/>
  <c r="I62" i="4" l="1"/>
  <c r="I88" i="4" s="1"/>
  <c r="I52" i="3"/>
  <c r="I90" i="3" s="1"/>
  <c r="I64" i="2"/>
  <c r="I90" i="2" s="1"/>
  <c r="I92" i="2" s="1"/>
  <c r="I167" i="2" s="1"/>
  <c r="H107" i="2"/>
  <c r="I168" i="2"/>
  <c r="I115" i="2"/>
  <c r="I91" i="5"/>
  <c r="I58" i="5"/>
  <c r="I61" i="5"/>
  <c r="I60" i="5"/>
  <c r="I64" i="5"/>
  <c r="I59" i="5"/>
  <c r="I62" i="5"/>
  <c r="I65" i="5"/>
  <c r="I63" i="5"/>
  <c r="I63" i="3"/>
  <c r="I167" i="3"/>
  <c r="I166" i="4"/>
  <c r="H105" i="4"/>
  <c r="I113" i="4"/>
  <c r="I99" i="5"/>
  <c r="I103" i="5" s="1"/>
  <c r="I58" i="3"/>
  <c r="I97" i="3"/>
  <c r="I60" i="3"/>
  <c r="I90" i="4" l="1"/>
  <c r="E105" i="4" s="1"/>
  <c r="I61" i="3"/>
  <c r="I64" i="3"/>
  <c r="I62" i="3"/>
  <c r="I59" i="3"/>
  <c r="I57" i="3"/>
  <c r="I65" i="3" s="1"/>
  <c r="I91" i="3" s="1"/>
  <c r="I93" i="3" s="1"/>
  <c r="I105" i="4"/>
  <c r="I110" i="4" s="1"/>
  <c r="E107" i="2"/>
  <c r="I107" i="2" s="1"/>
  <c r="I116" i="2" s="1"/>
  <c r="I66" i="5"/>
  <c r="I92" i="5" s="1"/>
  <c r="I94" i="5" s="1"/>
  <c r="I170" i="5"/>
  <c r="H109" i="5"/>
  <c r="I117" i="5"/>
  <c r="I98" i="3"/>
  <c r="I102" i="3" s="1"/>
  <c r="I165" i="4" l="1"/>
  <c r="I112" i="4"/>
  <c r="I112" i="2"/>
  <c r="I111" i="4"/>
  <c r="I114" i="4"/>
  <c r="I114" i="2"/>
  <c r="I113" i="2"/>
  <c r="H108" i="3"/>
  <c r="I169" i="3"/>
  <c r="I116" i="3"/>
  <c r="I169" i="5"/>
  <c r="E109" i="5"/>
  <c r="I109" i="5" s="1"/>
  <c r="E108" i="3"/>
  <c r="I168" i="3"/>
  <c r="I115" i="4" l="1"/>
  <c r="I124" i="4" s="1"/>
  <c r="I126" i="4" s="1"/>
  <c r="I167" i="4" s="1"/>
  <c r="I169" i="4" s="1"/>
  <c r="I108" i="3"/>
  <c r="I117" i="3" s="1"/>
  <c r="I117" i="2"/>
  <c r="I126" i="2" s="1"/>
  <c r="I128" i="2" s="1"/>
  <c r="I169" i="2" s="1"/>
  <c r="I171" i="2" s="1"/>
  <c r="I116" i="5"/>
  <c r="I114" i="5"/>
  <c r="I118" i="5"/>
  <c r="I115" i="5"/>
  <c r="I139" i="4" l="1"/>
  <c r="I140" i="4" s="1"/>
  <c r="I113" i="3"/>
  <c r="I114" i="3"/>
  <c r="I115" i="3"/>
  <c r="I141" i="2"/>
  <c r="I142" i="2" s="1"/>
  <c r="I119" i="5"/>
  <c r="I128" i="5" s="1"/>
  <c r="I130" i="5" s="1"/>
  <c r="I118" i="3" l="1"/>
  <c r="I127" i="3" s="1"/>
  <c r="I129" i="3" s="1"/>
  <c r="I170" i="3" s="1"/>
  <c r="I172" i="3" s="1"/>
  <c r="I141" i="4"/>
  <c r="I142" i="4" s="1"/>
  <c r="I143" i="2"/>
  <c r="I144" i="2" s="1"/>
  <c r="I145" i="2" s="1"/>
  <c r="I171" i="5"/>
  <c r="I173" i="5" s="1"/>
  <c r="I143" i="5"/>
  <c r="I142" i="3" l="1"/>
  <c r="I143" i="3" s="1"/>
  <c r="I154" i="2"/>
  <c r="I149" i="2"/>
  <c r="I148" i="2"/>
  <c r="I143" i="4"/>
  <c r="I144" i="5"/>
  <c r="I155" i="2" l="1"/>
  <c r="I172" i="2" s="1"/>
  <c r="I173" i="2" s="1"/>
  <c r="E178" i="2" s="1"/>
  <c r="H178" i="2" s="1"/>
  <c r="H179" i="2" s="1"/>
  <c r="G183" i="2" s="1"/>
  <c r="G187" i="2" s="1"/>
  <c r="I144" i="3"/>
  <c r="I145" i="3" s="1"/>
  <c r="I146" i="3" s="1"/>
  <c r="I152" i="4"/>
  <c r="I146" i="4"/>
  <c r="I147" i="4"/>
  <c r="I157" i="2"/>
  <c r="I145" i="5"/>
  <c r="I146" i="5" s="1"/>
  <c r="I147" i="5" s="1"/>
  <c r="E28" i="1" l="1"/>
  <c r="F28" i="1" s="1"/>
  <c r="G28" i="1" s="1"/>
  <c r="I156" i="5"/>
  <c r="I151" i="5"/>
  <c r="I150" i="5"/>
  <c r="I155" i="4"/>
  <c r="I153" i="4"/>
  <c r="I170" i="4" s="1"/>
  <c r="I171" i="4" s="1"/>
  <c r="I155" i="3"/>
  <c r="I150" i="3"/>
  <c r="I149" i="3"/>
  <c r="I156" i="3" l="1"/>
  <c r="I173" i="3" s="1"/>
  <c r="I174" i="3" s="1"/>
  <c r="E29" i="1" s="1"/>
  <c r="F29" i="1" s="1"/>
  <c r="I157" i="5"/>
  <c r="I174" i="5" s="1"/>
  <c r="I175" i="5" s="1"/>
  <c r="E180" i="5" s="1"/>
  <c r="H180" i="5" s="1"/>
  <c r="H181" i="5" s="1"/>
  <c r="G185" i="5" s="1"/>
  <c r="G189" i="5" s="1"/>
  <c r="E30" i="1"/>
  <c r="F30" i="1" s="1"/>
  <c r="G30" i="1" s="1"/>
  <c r="E176" i="4"/>
  <c r="H176" i="4" s="1"/>
  <c r="H177" i="4" s="1"/>
  <c r="G181" i="4" s="1"/>
  <c r="G185" i="4" s="1"/>
  <c r="I158" i="3"/>
  <c r="I159" i="5"/>
  <c r="E31" i="1" l="1"/>
  <c r="F31" i="1" s="1"/>
  <c r="G31" i="1" s="1"/>
  <c r="E179" i="3"/>
  <c r="H179" i="3" s="1"/>
  <c r="H180" i="3" s="1"/>
  <c r="G184" i="3" s="1"/>
  <c r="G188" i="3" s="1"/>
  <c r="G29" i="1"/>
  <c r="F32" i="1" l="1"/>
  <c r="G32" i="1"/>
</calcChain>
</file>

<file path=xl/sharedStrings.xml><?xml version="1.0" encoding="utf-8"?>
<sst xmlns="http://schemas.openxmlformats.org/spreadsheetml/2006/main" count="1244" uniqueCount="435">
  <si>
    <t>PLANILHA DE CUSTOS E FORMAÇÃO DE PREÇOS – CONTA VINCULADA</t>
  </si>
  <si>
    <t>CCT</t>
  </si>
  <si>
    <t>2023 / 2025</t>
  </si>
  <si>
    <t>REGISTRO</t>
  </si>
  <si>
    <t>RS001024/2023</t>
  </si>
  <si>
    <t>PROCESSO</t>
  </si>
  <si>
    <t>VIGÊNCIA</t>
  </si>
  <si>
    <t>01/02/2023 a 31/01/2025</t>
  </si>
  <si>
    <t>ABRANGÊNCIA</t>
  </si>
  <si>
    <t>Canoas/RS</t>
  </si>
  <si>
    <t>Salário do Vigilante (CBO 5173-30): Mensal 220h</t>
  </si>
  <si>
    <t>Salário do Vigilante (CBO 5173-30): Hora</t>
  </si>
  <si>
    <t>Adicional Noturno Hora (20%)</t>
  </si>
  <si>
    <t>Adicional de Periculosidade:</t>
  </si>
  <si>
    <t>Auxílio Alimentação:</t>
  </si>
  <si>
    <t>Auxílio Alimentação – participação do empregado</t>
  </si>
  <si>
    <t>Adicional de Troca de Uniforme</t>
  </si>
  <si>
    <t>Município de prestação dos serviços</t>
  </si>
  <si>
    <t>Decreto VT</t>
  </si>
  <si>
    <t>Alíquota do ISS</t>
  </si>
  <si>
    <t>Nº</t>
  </si>
  <si>
    <t>Valor da Tarifa</t>
  </si>
  <si>
    <t>-</t>
  </si>
  <si>
    <t>Alíquota Efetiva do COFINS</t>
  </si>
  <si>
    <t>Custos Indiretos</t>
  </si>
  <si>
    <t>Alíquota Efetiva do PIS</t>
  </si>
  <si>
    <t>Lucro</t>
  </si>
  <si>
    <t>FAP</t>
  </si>
  <si>
    <t>CONSOLIDAÇÃO DO PREÇO DOS POSTOS DE TRABALHO</t>
  </si>
  <si>
    <t>Item</t>
  </si>
  <si>
    <t>Localidade</t>
  </si>
  <si>
    <t>Jornada</t>
  </si>
  <si>
    <t>Quantidade</t>
  </si>
  <si>
    <t>Valor Unitário do Posto</t>
  </si>
  <si>
    <t>Total Mensal</t>
  </si>
  <si>
    <t>Total 12 meses</t>
  </si>
  <si>
    <t>Canoas</t>
  </si>
  <si>
    <t>12x36h Diurno</t>
  </si>
  <si>
    <t>12x36h Noturno</t>
  </si>
  <si>
    <t>44h semanais de seg a sexta (das 7h às 15h)</t>
  </si>
  <si>
    <t>44h semanais de seg a sexta (das 15h às 23)</t>
  </si>
  <si>
    <t>TOTAL</t>
  </si>
  <si>
    <r>
      <rPr>
        <sz val="15"/>
        <color theme="1"/>
        <rFont val="Arial"/>
        <family val="2"/>
      </rPr>
      <t xml:space="preserve">VIGILÂNCIA 12 x 36 DIURNA - </t>
    </r>
    <r>
      <rPr>
        <sz val="14"/>
        <color theme="1"/>
        <rFont val="Arial"/>
        <family val="2"/>
      </rPr>
      <t xml:space="preserve">Lucro Real e Presumido - </t>
    </r>
    <r>
      <rPr>
        <sz val="16"/>
        <color theme="1"/>
        <rFont val="Arial"/>
        <family val="2"/>
      </rPr>
      <t>CONTA VINCULADA</t>
    </r>
  </si>
  <si>
    <t>Nº do processo:</t>
  </si>
  <si>
    <t>Licitação nº:</t>
  </si>
  <si>
    <t>Dia: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</si>
  <si>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</si>
  <si>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</si>
  <si>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</si>
  <si>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</si>
  <si>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</si>
  <si>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</si>
  <si>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Acordo, Convenção ou Dissídio coletivo</t>
  </si>
  <si>
    <t>1º de fevereiro de 2023</t>
  </si>
  <si>
    <t>D</t>
  </si>
  <si>
    <t xml:space="preserve">Número de meses de execução contratual </t>
  </si>
  <si>
    <t>IDENTIFICAÇÃO DO SERVIÇO</t>
  </si>
  <si>
    <t xml:space="preserve">Tipo de serviço:
                  Vigilância e Segurança Armada e Desarmada                                                                                            </t>
  </si>
  <si>
    <t>Unidade
 de 
Medida</t>
  </si>
  <si>
    <t xml:space="preserve">Quantidade total a contratar (Em função da unidade de medida) </t>
  </si>
  <si>
    <t>12 x 36 horas DIURNAS - de segunda-feira a domingo</t>
  </si>
  <si>
    <t>posto</t>
  </si>
  <si>
    <t>TOTAL DE POSTOS</t>
  </si>
  <si>
    <r>
      <rPr>
        <b/>
        <sz val="15"/>
        <color theme="1"/>
        <rFont val="Arial"/>
        <family val="2"/>
      </rPr>
      <t xml:space="preserve">1. MÓDULOS 
</t>
    </r>
    <r>
      <rPr>
        <b/>
        <sz val="12"/>
        <color rgb="FF000000"/>
        <rFont val="Arial"/>
        <family val="2"/>
      </rPr>
      <t xml:space="preserve">Mão de obra
</t>
    </r>
    <r>
      <rPr>
        <b/>
        <sz val="11"/>
        <color rgb="FF000000"/>
        <rFont val="Arial"/>
        <family val="2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</si>
  <si>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</si>
  <si>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</si>
  <si>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 xml:space="preserve">Vigilância e Segurança Armada </t>
  </si>
  <si>
    <t>Classificação Brasileira de Ocupações (CBO)</t>
  </si>
  <si>
    <t>5173-30</t>
  </si>
  <si>
    <t>Salário Normativo da Categoria Profissional</t>
  </si>
  <si>
    <t xml:space="preserve">Categoria Profissional (vinculada à execução contratual) </t>
  </si>
  <si>
    <t>vigilante</t>
  </si>
  <si>
    <t xml:space="preserve">Data-Base da Categoria (dia/mês/ano) </t>
  </si>
  <si>
    <r>
      <rPr>
        <sz val="10"/>
        <color theme="1"/>
        <rFont val="Arial"/>
        <family val="2"/>
      </rPr>
      <t xml:space="preserve">Valor do salárioxhora sem periculosidade - 
</t>
    </r>
    <r>
      <rPr>
        <sz val="10"/>
        <color theme="1"/>
        <rFont val="Arial"/>
        <family val="2"/>
      </rPr>
      <t>VSH (s/peri) = (Valor do salário normativo / 220 h)</t>
    </r>
  </si>
  <si>
    <r>
      <rPr>
        <sz val="10"/>
        <color theme="1"/>
        <rFont val="Arial"/>
        <family val="2"/>
      </rPr>
      <t xml:space="preserve">Valor da hora extra sem periculosidade com 50% 
</t>
    </r>
    <r>
      <rPr>
        <sz val="10"/>
        <color theme="1"/>
        <rFont val="Arial"/>
        <family val="2"/>
      </rPr>
      <t>HE (s/peri) = valor da hora + 50%</t>
    </r>
  </si>
  <si>
    <r>
      <rPr>
        <sz val="10"/>
        <color theme="1"/>
        <rFont val="Arial"/>
        <family val="2"/>
      </rPr>
      <t xml:space="preserve">Valor da hora do adicional noturno sem periculosidade
</t>
    </r>
    <r>
      <rPr>
        <sz val="10"/>
        <color theme="1"/>
        <rFont val="Arial"/>
        <family val="2"/>
      </rPr>
      <t>AN (s/peri) = valor da hora x 20%</t>
    </r>
  </si>
  <si>
    <t>Adicional de troca de uniforme sem periculosidade</t>
  </si>
  <si>
    <t>Quantidade de vigilantes por posto de serviço</t>
  </si>
  <si>
    <t>Nota 1:  Deverá ser elaborado um quadro para cada tipo de serviço.
Nota 2: A planilha será calculada considerando o valor mensal do empregado</t>
  </si>
  <si>
    <t>Módulo 1: Composição da Remuneração (por Posto)</t>
  </si>
  <si>
    <t>Composição da Remuneração (por Posto)</t>
  </si>
  <si>
    <t>Percentual (%)</t>
  </si>
  <si>
    <t xml:space="preserve">Valor 
(R$) </t>
  </si>
  <si>
    <t>V</t>
  </si>
  <si>
    <r>
      <rPr>
        <sz val="10"/>
        <color theme="1"/>
        <rFont val="Arial"/>
        <family val="2"/>
      </rPr>
      <t xml:space="preserve">RSR (Repouso Semanal Remunerado) - </t>
    </r>
    <r>
      <rPr>
        <sz val="10"/>
        <color theme="1"/>
        <rFont val="Arial"/>
        <family val="2"/>
      </rPr>
      <t>Cálculo do valor: 20% sobre os adicionais pertinentes) -  (cláusula 32 da CCT 2023/2025)</t>
    </r>
  </si>
  <si>
    <r>
      <rPr>
        <sz val="10"/>
        <color theme="1"/>
        <rFont val="Arial"/>
        <family val="2"/>
      </rPr>
      <t>Adicional de Periculosidade</t>
    </r>
    <r>
      <rPr>
        <sz val="10"/>
        <color theme="1"/>
        <rFont val="Arial"/>
        <family val="2"/>
      </rPr>
      <t xml:space="preserve"> (Lei nº 12.740/2012)    (30% das rubricas pertinentes) (cláusula 29 da CCT 2023/2025)</t>
    </r>
  </si>
  <si>
    <t xml:space="preserve">Remuneração 1 = Total da Remuneração de verbas de natureza salarial nas quais incidem INSS + FGTS + Férias + 13º, etc.   </t>
  </si>
  <si>
    <t>H</t>
  </si>
  <si>
    <r>
      <rPr>
        <sz val="10"/>
        <color theme="1"/>
        <rFont val="Arial"/>
        <family val="2"/>
      </rPr>
      <t xml:space="preserve">Intervalo Intrajornada </t>
    </r>
    <r>
      <rPr>
        <sz val="10"/>
        <color theme="1"/>
        <rFont val="Arial"/>
        <family val="2"/>
      </rPr>
      <t>(Adicional de Intervalo)  Cálculo do valor: HE (s/peri) x 15d x2vigx0,5h) - (cláusula 69 da CCT 2023/2025)</t>
    </r>
  </si>
  <si>
    <r>
      <rPr>
        <b/>
        <sz val="14"/>
        <color theme="1"/>
        <rFont val="Arial"/>
        <family val="2"/>
      </rPr>
      <t xml:space="preserve">Remuneração 2 = Total da Remuneração que o empregado irá receber- </t>
    </r>
    <r>
      <rPr>
        <b/>
        <sz val="11"/>
        <color theme="1"/>
        <rFont val="Arial"/>
        <family val="2"/>
      </rPr>
      <t>Valor entra nos seguintes cálculos: Item 2, "A" - Quadro-Resumo do Custo por Posto de Trabalho, Custos Indiretos, Lucro e Tributos.</t>
    </r>
  </si>
  <si>
    <t>Nota1:  O Módulo 1 refere-se ao valor mensal devido ao empregado pela prestação do serviço no período de 12 meses.</t>
  </si>
  <si>
    <t>Módulo 2 : Encargos e Benefícios Anuais, Mensais e Diários</t>
  </si>
  <si>
    <r>
      <rPr>
        <b/>
        <sz val="11"/>
        <color rgb="FF000000"/>
        <rFont val="Arial"/>
        <family val="2"/>
      </rPr>
      <t xml:space="preserve">Submódulo 2.1 – 13º (décimo terceiro) Salário </t>
    </r>
    <r>
      <rPr>
        <b/>
        <sz val="11"/>
        <color rgb="FF000000"/>
        <rFont val="Arial"/>
        <family val="2"/>
      </rPr>
      <t>e Adicional de Férias</t>
    </r>
  </si>
  <si>
    <t>2.1</t>
  </si>
  <si>
    <r>
      <rPr>
        <b/>
        <sz val="11"/>
        <color rgb="FF000000"/>
        <rFont val="Arial"/>
        <family val="2"/>
      </rPr>
      <t xml:space="preserve">13º (décimo terceiro) Salário </t>
    </r>
    <r>
      <rPr>
        <b/>
        <sz val="11"/>
        <color rgb="FF000000"/>
        <rFont val="Arial"/>
        <family val="2"/>
      </rPr>
      <t>e Adicional de Férias</t>
    </r>
  </si>
  <si>
    <t>Valor (R$)</t>
  </si>
  <si>
    <r>
      <rPr>
        <sz val="10"/>
        <color theme="1"/>
        <rFont val="Arial"/>
        <family val="2"/>
      </rPr>
      <t>13º (décimo terceiro) Salário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Obrigatória a cotação de 8,33% sobre o valor do Módulo 1 – Composição da Remuneração1, conforme Anexo XII da IN 5/17</t>
    </r>
  </si>
  <si>
    <r>
      <rPr>
        <sz val="10"/>
        <color theme="1"/>
        <rFont val="Arial"/>
        <family val="2"/>
      </rPr>
      <t xml:space="preserve">Adicional de Férias </t>
    </r>
    <r>
      <rPr>
        <sz val="8"/>
        <color theme="1"/>
        <rFont val="Arial"/>
        <family val="2"/>
      </rPr>
      <t xml:space="preserve">Obrigatória a cotação de 3,025% sobre o valor do Módulo 1 – Composição da Remuneração1. </t>
    </r>
    <r>
      <rPr>
        <sz val="9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 Na hipótese de o contrato não ser prorrogado, o pagamento relativo a Férias do empregado deverá ser efetivado pela provisão feita no Submódulo 4.1.A.</t>
    </r>
  </si>
  <si>
    <t>Total</t>
  </si>
  <si>
    <r>
      <rPr>
        <sz val="9"/>
        <color rgb="FF000000"/>
        <rFont val="Arial"/>
        <family val="2"/>
      </rPr>
      <t xml:space="preserve">Nota 1:  Como a planilha de custos e formação de preços é calculada mensalmente, provisiona-se proporcionalmente 1/12 (um doze avos) dos valores referentes à gratificação natalinae adicional de férias.
</t>
    </r>
    <r>
      <rPr>
        <b/>
        <strike/>
        <sz val="9"/>
        <color rgb="FF0000FF"/>
        <rFont val="Arial"/>
        <family val="2"/>
      </rPr>
      <t xml:space="preserve">
</t>
    </r>
    <r>
      <rPr>
        <sz val="9"/>
        <color rgb="FF000000"/>
        <rFont val="Arial"/>
        <family val="2"/>
      </rPr>
      <t>Nota 2: O adicional de férias contido no Submódulo 2.1 corresponde a 3,025% do Módulo 1, em face do Anexo XII da IN nº 5/2017 exigir 12,10% no somatório de Férias + 1/3 de Férias (9,075% + 3,025%).</t>
    </r>
    <r>
      <rPr>
        <strike/>
        <sz val="9"/>
        <color rgb="FF000000"/>
        <rFont val="Arial"/>
        <family val="2"/>
      </rPr>
      <t xml:space="preserve">
</t>
    </r>
  </si>
  <si>
    <t>2.2</t>
  </si>
  <si>
    <t>GPS, FGTS e outras contribuições</t>
  </si>
  <si>
    <t>Valor
 (R$)</t>
  </si>
  <si>
    <t xml:space="preserve">INSS                                                                                                </t>
  </si>
  <si>
    <t xml:space="preserve">Salário Educação                                                                                            </t>
  </si>
  <si>
    <r>
      <rPr>
        <sz val="11"/>
        <color theme="1"/>
        <rFont val="Arial"/>
        <family val="2"/>
      </rPr>
      <t xml:space="preserve">RAT x FAP 
</t>
    </r>
    <r>
      <rPr>
        <sz val="7"/>
        <color theme="1"/>
        <rFont val="Arial"/>
        <family val="2"/>
      </rPr>
      <t>Cálculo do valor: % do RAT (Riscos Ambientais do Trabalho) x FAP (Fator Acidentário de Prevenção de cada empresa)</t>
    </r>
  </si>
  <si>
    <t>RAT =</t>
  </si>
  <si>
    <t xml:space="preserve"> FAP =</t>
  </si>
  <si>
    <t xml:space="preserve">SESC ou SESI                                                                                                 </t>
  </si>
  <si>
    <t>E</t>
  </si>
  <si>
    <t xml:space="preserve">SENAC ou SENAI                                                                                           </t>
  </si>
  <si>
    <t>F</t>
  </si>
  <si>
    <t xml:space="preserve">SEBRAE                                                                                                              </t>
  </si>
  <si>
    <t>G</t>
  </si>
  <si>
    <t xml:space="preserve">INCRA                                                                                                                  </t>
  </si>
  <si>
    <t xml:space="preserve">FGTS                                                                                                                 </t>
  </si>
  <si>
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</si>
  <si>
    <t>Submódulo 2.3 – Benefícios Mensais e Diários</t>
  </si>
  <si>
    <t>2.3</t>
  </si>
  <si>
    <t>Benefícios Mensais e Diários</t>
  </si>
  <si>
    <r>
      <rPr>
        <sz val="10"/>
        <color theme="1"/>
        <rFont val="Arial"/>
        <family val="2"/>
      </rPr>
      <t>Transporte                                                          Cálculo do valor: [(2xVTx30) – (6%xSB)]</t>
    </r>
  </si>
  <si>
    <r>
      <rPr>
        <sz val="10"/>
        <color theme="1"/>
        <rFont val="Arial"/>
        <family val="2"/>
      </rPr>
      <t xml:space="preserve">     A.2) Quantidade de passagens por dia por empregado</t>
    </r>
  </si>
  <si>
    <t xml:space="preserve">     A.3) Quantidade de dias do mês de recebimento de passagens</t>
  </si>
  <si>
    <r>
      <rPr>
        <sz val="10"/>
        <color theme="1"/>
        <rFont val="Arial"/>
        <family val="2"/>
      </rPr>
      <t xml:space="preserve">     A.4) Participação do empregado em percentual do salário-base </t>
    </r>
    <r>
      <rPr>
        <sz val="10"/>
        <color theme="1"/>
        <rFont val="Arial"/>
        <family val="2"/>
      </rPr>
      <t>(cláusula 35 da CCT 2023/2025)</t>
    </r>
  </si>
  <si>
    <r>
      <rPr>
        <sz val="10"/>
        <color theme="1"/>
        <rFont val="Arial"/>
        <family val="2"/>
      </rPr>
      <t>Auxílio-Refeição/Alimentação  Cálculo do valor = [(30xVA)x(1-0,20)]</t>
    </r>
  </si>
  <si>
    <r>
      <rPr>
        <sz val="10"/>
        <color theme="1"/>
        <rFont val="Arial"/>
        <family val="2"/>
      </rPr>
      <t xml:space="preserve">     B.2) Quantidade de dias do mês de recebimento de auxílio-alimentação</t>
    </r>
  </si>
  <si>
    <t>Assistência Médica e Familiar</t>
  </si>
  <si>
    <t>Outros (especificar)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</si>
  <si>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</si>
  <si>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</si>
  <si>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</si>
  <si>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r>
      <rPr>
        <sz val="10"/>
        <color theme="1"/>
        <rFont val="Arial"/>
        <family val="2"/>
      </rPr>
      <t xml:space="preserve">13º (décimo terceiro) Salário </t>
    </r>
    <r>
      <rPr>
        <sz val="10"/>
        <color theme="1"/>
        <rFont val="Arial"/>
        <family val="2"/>
      </rPr>
      <t>e Adicional de Férias</t>
    </r>
  </si>
  <si>
    <t>Módulo 3 - Provisão para Rescisão</t>
  </si>
  <si>
    <t>Provisão para Rescisão</t>
  </si>
  <si>
    <t>Incidência do FGTS sobre o Aviso Prévio Indenizado</t>
  </si>
  <si>
    <t>Incidência de GPS, FGTS e outras contribuições sobre o Aviso Prévio Trabalhado</t>
  </si>
  <si>
    <r>
      <rPr>
        <sz val="10"/>
        <color theme="1"/>
        <rFont val="Arial"/>
        <family val="2"/>
      </rPr>
      <t>Multa do FGTS sobre o Aviso PrévioTrabalhado e Aviso Prévio Indenizado</t>
    </r>
    <r>
      <rPr>
        <sz val="8"/>
        <color theme="1"/>
        <rFont val="Arial"/>
        <family val="2"/>
      </rPr>
      <t xml:space="preserve">Obrigatória a cotação de 4% sobre o valor do Módulo 1 – Composição da Remuneração1, conforme Anexo XII da IN Seges nº 5/2017 </t>
    </r>
  </si>
  <si>
    <t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</si>
  <si>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</si>
  <si>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t>Base de cálculo para o Custo de Reposição do Profissional Ausente (substituto): BCCPA = MÓDULO 1 (= a Rem1) + MÓDULO 2 (- VA - VT) + FÉRIAS + MÓDULO 3  - exceto o Substituto na cobertura de Férias e o Afastamento Maternidade, sendo que neste último a Rem e o 13º podem ser compensados pelo INSS, ambos com base de cálculo própria, conforme consta nesses itens de custo.</t>
  </si>
  <si>
    <t>MÓD 1                 (= a Rem1)=</t>
  </si>
  <si>
    <r>
      <rPr>
        <b/>
        <sz val="11"/>
        <color theme="1"/>
        <rFont val="Arial"/>
        <family val="2"/>
      </rPr>
      <t xml:space="preserve">MÓD 2  </t>
    </r>
    <r>
      <rPr>
        <b/>
        <sz val="10"/>
        <color theme="1"/>
        <rFont val="Arial"/>
        <family val="2"/>
      </rPr>
      <t>(sem VA e VT)</t>
    </r>
    <r>
      <rPr>
        <b/>
        <sz val="11"/>
        <color theme="1"/>
        <rFont val="Arial"/>
        <family val="2"/>
      </rPr>
      <t xml:space="preserve"> +Férias =</t>
    </r>
  </si>
  <si>
    <t>MÓD 3 =</t>
  </si>
  <si>
    <t>Submódulo 4.1 – Substituto nas Ausências Legais</t>
  </si>
  <si>
    <t>4.1</t>
  </si>
  <si>
    <t>Substituto nas Ausências Legais</t>
  </si>
  <si>
    <t>Substituto na cobertura de Férias  Obrigatória a cotação de 9,075% sobre o valor do Módulo 1 - Composição da Remuneração, mais o percentual do Submódulo 2.2 sobre o cálculo anterior, conforme Anexo XII da IN 5/17 (Férias + Adicional = 12,10% = 9,075% + 3,025%)</t>
  </si>
  <si>
    <r>
      <rPr>
        <sz val="12"/>
        <color theme="1"/>
        <rFont val="Arial"/>
        <family val="2"/>
      </rPr>
      <t xml:space="preserve">Substituto na cobertura de Ausências Legais 
</t>
    </r>
    <r>
      <rPr>
        <sz val="10"/>
        <color theme="1"/>
        <rFont val="Arial"/>
        <family val="2"/>
      </rPr>
      <t>Cálculo do valor = [(BCCPA/30)x1dia]/12</t>
    </r>
  </si>
  <si>
    <r>
      <rPr>
        <sz val="12"/>
        <color theme="1"/>
        <rFont val="Arial"/>
        <family val="2"/>
      </rPr>
      <t xml:space="preserve">Substituto na cobertura de Licença-Paternidade
</t>
    </r>
    <r>
      <rPr>
        <sz val="10"/>
        <color theme="1"/>
        <rFont val="Arial"/>
        <family val="2"/>
      </rPr>
      <t>Cálculo do valor = {[(BCCPA/30)x5dias]/12}x1,5%</t>
    </r>
  </si>
  <si>
    <r>
      <rPr>
        <sz val="12"/>
        <color theme="1"/>
        <rFont val="Arial"/>
        <family val="2"/>
      </rPr>
      <t xml:space="preserve">Substituto na cobertura de Ausência por acidente de trabalho
</t>
    </r>
    <r>
      <rPr>
        <sz val="8"/>
        <color theme="1"/>
        <rFont val="Arial"/>
        <family val="2"/>
      </rPr>
      <t>Cálculo do valor = [(BCCPA)/30x0,69dias]/12</t>
    </r>
  </si>
  <si>
    <r>
      <rPr>
        <sz val="12"/>
        <color theme="1"/>
        <rFont val="Arial"/>
        <family val="2"/>
      </rPr>
      <t xml:space="preserve">Substituto na cobertura de Afastamento Maternidade
</t>
    </r>
    <r>
      <rPr>
        <sz val="8"/>
        <color theme="1"/>
        <rFont val="Arial"/>
        <family val="2"/>
      </rPr>
      <t xml:space="preserve">Cálculo do valor = [((Férias + Férias / 3) + SUB2.2 x (Férias + Férias / 3)) x (4/12)] x 2% + [( FGTS x Rem + SUB 2.2 x 13º + SUB2.3 – VA – VT + MÓD3) x (4/12)] } x </t>
    </r>
    <r>
      <rPr>
        <b/>
        <sz val="11"/>
        <color rgb="FFFF0000"/>
        <rFont val="Arial"/>
        <family val="2"/>
      </rPr>
      <t xml:space="preserve">2% </t>
    </r>
    <r>
      <rPr>
        <sz val="8"/>
        <color theme="1"/>
        <rFont val="Arial"/>
        <family val="2"/>
      </rPr>
      <t xml:space="preserve">    
Não incide Contribuição Previdenciária Patronal (INSS + 3ªs entidades) sobre a Remuneração da empregada residente nos 4 meses de Afastamento, conforme Solução de Consulta Cosit/RFB nº 27/2023, públicada na pág. 20 da Seção 1 do DOU de 09/02/2023. A Remuneração e o 13º da empregada residente poderão ser compensados, por isso não constam da fórmula.</t>
    </r>
  </si>
  <si>
    <r>
      <rPr>
        <sz val="10"/>
        <color theme="1"/>
        <rFont val="Arial"/>
        <family val="2"/>
      </rPr>
      <t>Substituto na cobertura de Ausência por doença 
Cálculo do valor = [(BCCPA)/30)x</t>
    </r>
    <r>
      <rPr>
        <b/>
        <sz val="10"/>
        <color rgb="FFFF0000"/>
        <rFont val="Arial"/>
        <family val="2"/>
      </rPr>
      <t>3dias</t>
    </r>
    <r>
      <rPr>
        <sz val="10"/>
        <color theme="1"/>
        <rFont val="Arial"/>
        <family val="2"/>
      </rPr>
      <t xml:space="preserve">]/12 </t>
    </r>
    <r>
      <rPr>
        <sz val="8"/>
        <color theme="1"/>
        <rFont val="Arial"/>
        <family val="2"/>
      </rPr>
      <t xml:space="preserve"> Incluído por permissão da IN Seges nº 5/2017, Anexo VII-B, item 1.7, alíneas "b" e "c".5.</t>
    </r>
  </si>
  <si>
    <t>Submódulo 4.2 – Substituto na Intrajornada</t>
  </si>
  <si>
    <t xml:space="preserve">4.2 </t>
  </si>
  <si>
    <t>Substituto na Intrajornada</t>
  </si>
  <si>
    <t>Substituto na cobertura de Intervalo para repouso ou alimentação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</si>
  <si>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</si>
  <si>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</si>
  <si>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</si>
  <si>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</si>
  <si>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</si>
  <si>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 xml:space="preserve">Total </t>
  </si>
  <si>
    <t>Nota: Valores mensais por empregado</t>
  </si>
  <si>
    <t>Módulo 6 - Custos Indiretos, Lucro e Tributos</t>
  </si>
  <si>
    <t xml:space="preserve">Custos Indiretos, Lucro e Tributos </t>
  </si>
  <si>
    <t>BASE DE CÁLCULO DOS CUSTOS INDIRETOS  = 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Diversos)</t>
  </si>
  <si>
    <t>BASE DE CÁLCULO DO LUCRO =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 + Custos Indiretos)</t>
  </si>
  <si>
    <t>BASE DE CÁLCULO DOS TRIBUTOS =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</si>
  <si>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</si>
  <si>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</si>
  <si>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sz val="10"/>
        <color theme="1"/>
        <rFont val="Arial"/>
        <family val="2"/>
      </rPr>
      <t xml:space="preserve">  a) Cofins </t>
    </r>
    <r>
      <rPr>
        <sz val="8"/>
        <color theme="1"/>
        <rFont val="Arial"/>
        <family val="2"/>
      </rPr>
      <t>(depende do regime de tributação - utilizada a hipótese de Lucro Real ou Presumido)</t>
    </r>
  </si>
  <si>
    <r>
      <rPr>
        <sz val="10"/>
        <color theme="1"/>
        <rFont val="Arial"/>
        <family val="2"/>
      </rPr>
      <t xml:space="preserve">  b) PIS       </t>
    </r>
    <r>
      <rPr>
        <sz val="9"/>
        <color theme="1"/>
        <rFont val="Arial"/>
        <family val="2"/>
      </rPr>
      <t>(depende do regime de tributação - utilizada a hipótese de Lucro Real ou Presumido)</t>
    </r>
  </si>
  <si>
    <r>
      <rPr>
        <sz val="10"/>
        <color theme="1"/>
        <rFont val="Arial"/>
        <family val="2"/>
      </rPr>
      <t xml:space="preserve"> c) IRPJ -</t>
    </r>
    <r>
      <rPr>
        <sz val="9"/>
        <color theme="1"/>
        <rFont val="Arial"/>
        <family val="2"/>
      </rPr>
      <t xml:space="preserve">  Em face dos Acórdãos TCU nºs 950/2007-P e 205/2018-P, o licitante não pode cotar expressamente este tributo.</t>
    </r>
  </si>
  <si>
    <r>
      <rPr>
        <sz val="10"/>
        <color theme="1"/>
        <rFont val="Arial"/>
        <family val="2"/>
      </rPr>
      <t xml:space="preserve"> d) CSLL - </t>
    </r>
    <r>
      <rPr>
        <sz val="9"/>
        <color theme="1"/>
        <rFont val="Arial"/>
        <family val="2"/>
      </rPr>
      <t xml:space="preserve"> Em face dos Acórdãos TCU nºs 950/2007-P e 205/2018-P, o licitante não pode cotar expressamente este tributo.</t>
    </r>
  </si>
  <si>
    <t>C.2   Tributos estaduais (especificar)</t>
  </si>
  <si>
    <t>C.3   Tributos municipais (especificar):</t>
  </si>
  <si>
    <t xml:space="preserve">Percentual Total e Valor Total de Tributos  </t>
  </si>
  <si>
    <t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</si>
  <si>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</si>
  <si>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</si>
  <si>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1 - (Total de Tributos em % dividido por 100)</t>
  </si>
  <si>
    <t>Nota 1: Custos Indiretos, Lucro e Tributos por empregado.
Nota 2: O valor referente a tributos é obtido aplicando-se o percentual sobre o valor do faturamento.</t>
  </si>
  <si>
    <r>
      <rPr>
        <b/>
        <sz val="12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2. QUADRO-RESUMO DO CUSTO POR POSTO DE TRABALHO
</t>
    </r>
  </si>
  <si>
    <t>Mão de obra vinculada à execução contratual (valor por Posto de Trabalho)</t>
  </si>
  <si>
    <t>Módulo 1 -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</si>
  <si>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</si>
  <si>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</si>
  <si>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</si>
  <si>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 xml:space="preserve">Módulo 5 - Insumos Diversos </t>
  </si>
  <si>
    <t>Subtotal (A + B + C + D + E)</t>
  </si>
  <si>
    <t>Valor Total por Posto</t>
  </si>
  <si>
    <t>3.  COMPLEMENTO DOS SERVIÇOS DE VIGILÂNCIA – VALOR MENSAL DOS SERVIÇOS</t>
  </si>
  <si>
    <t>ESCALA DE TRABALHO</t>
  </si>
  <si>
    <t>PREÇO MENSAL DO POSTO  
(R$)</t>
  </si>
  <si>
    <t>NÚMERO DE POSTOS</t>
  </si>
  <si>
    <t>SUBTOTAL
(R$)</t>
  </si>
  <si>
    <t xml:space="preserve">12 horas diurnas, de segunda-feira a domingo, envolvendo 2 (dois) vigilantes em turnos de  12 (doze) por 36 (trinta e seis) horas </t>
  </si>
  <si>
    <t>TOTAL:</t>
  </si>
  <si>
    <t xml:space="preserve">Nota: Nos casos de inclusão de outros tipos de postos, observar o disposto no item 4 do Anexo VI-A, desta Instrução Normativa </t>
  </si>
  <si>
    <t>Valor mensal do serviço</t>
  </si>
  <si>
    <t>Número de meses do contrato</t>
  </si>
  <si>
    <r>
      <rPr>
        <b/>
        <sz val="14"/>
        <color theme="1"/>
        <rFont val="Arial"/>
        <family val="2"/>
      </rPr>
      <t xml:space="preserve">Valor global da proposta </t>
    </r>
    <r>
      <rPr>
        <b/>
        <sz val="10"/>
        <color theme="1"/>
        <rFont val="Arial"/>
        <family val="2"/>
      </rPr>
      <t>(valor mensal do serviço x nº de meses do contrato)</t>
    </r>
  </si>
  <si>
    <t>QUANTIDADE DE PESSOAL ALOCADO NA EXECUÇÃO CONTRATUAL (item 6.2.e do Anexo VII da IN nº 5/2017  e item 6.5.4.e do edital)</t>
  </si>
  <si>
    <t>Tipo de Mão de Obra</t>
  </si>
  <si>
    <t>Quantidade de Pessoal</t>
  </si>
  <si>
    <t>Vigilante</t>
  </si>
  <si>
    <t>MATERIAIS, MÁQUINAS E EQUIPAMENTOS ALOCADOS NA EXECUÇÃO CONTRATUAL (item 6.2.f do Anexo VII da IN nº 5/2017  e item 6.5.4.f do edital)</t>
  </si>
  <si>
    <t>Especificação dos Materiais/Máquinas/Equipamentos</t>
  </si>
  <si>
    <t xml:space="preserve">Quantidade </t>
  </si>
  <si>
    <r>
      <rPr>
        <sz val="15"/>
        <color theme="1"/>
        <rFont val="Arial"/>
        <family val="2"/>
      </rPr>
      <t xml:space="preserve">VIGILÂNCIA 12 x 36 NOTURNA - </t>
    </r>
    <r>
      <rPr>
        <sz val="14"/>
        <color theme="1"/>
        <rFont val="Arial"/>
        <family val="2"/>
      </rPr>
      <t xml:space="preserve">Lucro Real e Presumido - </t>
    </r>
    <r>
      <rPr>
        <sz val="16"/>
        <color theme="1"/>
        <rFont val="Arial"/>
        <family val="2"/>
      </rPr>
      <t>CONTA VINCULADA</t>
    </r>
  </si>
  <si>
    <t>12 x 36 horas noturnas - de segunda-feira a domingo</t>
  </si>
  <si>
    <r>
      <rPr>
        <b/>
        <sz val="15"/>
        <color theme="1"/>
        <rFont val="Arial"/>
        <family val="2"/>
      </rPr>
      <t xml:space="preserve">1. MÓDULOS 
</t>
    </r>
    <r>
      <rPr>
        <b/>
        <sz val="12"/>
        <color rgb="FF000000"/>
        <rFont val="Arial"/>
        <family val="2"/>
      </rPr>
      <t xml:space="preserve">Mão de obra
</t>
    </r>
    <r>
      <rPr>
        <b/>
        <sz val="11"/>
        <color rgb="FF000000"/>
        <rFont val="Arial"/>
        <family val="2"/>
      </rPr>
      <t>Mão de obra vinculada à execução contratual</t>
    </r>
  </si>
  <si>
    <r>
      <rPr>
        <b/>
        <sz val="10"/>
        <color rgb="FFFF0000"/>
        <rFont val="Arial"/>
        <family val="2"/>
      </rPr>
      <t xml:space="preserve">Valor do salárioxhora sem periculosidade - 
</t>
    </r>
    <r>
      <rPr>
        <b/>
        <sz val="10"/>
        <color rgb="FF0000FF"/>
        <rFont val="Arial"/>
        <family val="2"/>
      </rPr>
      <t>VSH (s/peri) = (Valor do salário normativo / 220 h)</t>
    </r>
  </si>
  <si>
    <r>
      <rPr>
        <b/>
        <sz val="10"/>
        <color rgb="FFFF0000"/>
        <rFont val="Arial"/>
        <family val="2"/>
      </rPr>
      <t xml:space="preserve">Valor da hora extra sem periculosidade com 50% 
</t>
    </r>
    <r>
      <rPr>
        <b/>
        <sz val="10"/>
        <color rgb="FF0000FF"/>
        <rFont val="Arial"/>
        <family val="2"/>
      </rPr>
      <t>HE (s/peri) = valor da hora + 50%</t>
    </r>
  </si>
  <si>
    <r>
      <rPr>
        <b/>
        <sz val="10"/>
        <color rgb="FFFF0000"/>
        <rFont val="Arial"/>
        <family val="2"/>
      </rPr>
      <t xml:space="preserve">Valor da hora do adicional noturno sem periculosidade
</t>
    </r>
    <r>
      <rPr>
        <b/>
        <sz val="10"/>
        <color rgb="FF0000FF"/>
        <rFont val="Arial"/>
        <family val="2"/>
      </rPr>
      <t>AN (s/peri) =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>valor da hora x 20%</t>
    </r>
  </si>
  <si>
    <r>
      <rPr>
        <b/>
        <sz val="10"/>
        <color theme="1"/>
        <rFont val="Arial"/>
        <family val="2"/>
      </rPr>
      <t xml:space="preserve">Adicional Noturno  sobre: 1) 7h de 60min p/dia + 2) 1,0 h reduzida noturna p/dia para o RS  </t>
    </r>
    <r>
      <rPr>
        <b/>
        <sz val="10"/>
        <color rgb="FFFF0000"/>
        <rFont val="Arial"/>
        <family val="2"/>
      </rPr>
      <t xml:space="preserve">Cálculo do valor: AN (s/peri) x </t>
    </r>
    <r>
      <rPr>
        <b/>
        <sz val="10"/>
        <color rgb="FF2300DC"/>
        <rFont val="Arial"/>
        <family val="2"/>
      </rPr>
      <t>8h)</t>
    </r>
    <r>
      <rPr>
        <b/>
        <sz val="10"/>
        <color rgb="FFFF0000"/>
        <rFont val="Arial"/>
        <family val="2"/>
      </rPr>
      <t xml:space="preserve">x15dx2vig. </t>
    </r>
    <r>
      <rPr>
        <b/>
        <sz val="10"/>
        <color rgb="FF0000FF"/>
        <rFont val="Arial"/>
        <family val="2"/>
      </rPr>
      <t>Das 22h às 5h.</t>
    </r>
    <r>
      <rPr>
        <b/>
        <sz val="10"/>
        <color theme="1"/>
        <rFont val="Arial"/>
        <family val="2"/>
      </rPr>
      <t xml:space="preserve">  (cláusulas 27 e 28 da CCT 2023/2025)</t>
    </r>
  </si>
  <si>
    <r>
      <rPr>
        <b/>
        <sz val="10"/>
        <color rgb="FF000000"/>
        <rFont val="Arial"/>
        <family val="2"/>
      </rPr>
      <t>Adicional de Hora Noturna Reduzida</t>
    </r>
    <r>
      <rPr>
        <b/>
        <sz val="10"/>
        <color rgb="FFFF0000"/>
        <rFont val="Arial"/>
        <family val="2"/>
      </rPr>
      <t xml:space="preserve"> (Hora Reduzida Noturna como Extra) </t>
    </r>
    <r>
      <rPr>
        <b/>
        <sz val="10"/>
        <color rgb="FF0000FF"/>
        <rFont val="Arial"/>
        <family val="2"/>
      </rPr>
      <t xml:space="preserve">(HRN que excedeu de 190,67h) </t>
    </r>
    <r>
      <rPr>
        <b/>
        <sz val="10"/>
        <color rgb="FFFF0000"/>
        <rFont val="Arial"/>
        <family val="2"/>
      </rPr>
      <t xml:space="preserve">Cálculo do valor: HE (s/peri) x </t>
    </r>
    <r>
      <rPr>
        <b/>
        <sz val="10"/>
        <color rgb="FF0000FF"/>
        <rFont val="Arial"/>
        <family val="2"/>
      </rPr>
      <t>4,33 h</t>
    </r>
    <r>
      <rPr>
        <b/>
        <sz val="10"/>
        <color rgb="FFFF0000"/>
        <rFont val="Arial"/>
        <family val="2"/>
      </rPr>
      <t xml:space="preserve"> x 2 vig.)  ---   [195h (=180h + </t>
    </r>
    <r>
      <rPr>
        <b/>
        <sz val="10"/>
        <color rgb="FF0000FF"/>
        <rFont val="Arial"/>
        <family val="2"/>
      </rPr>
      <t>15h</t>
    </r>
    <r>
      <rPr>
        <b/>
        <sz val="10"/>
        <color rgb="FFFF0000"/>
        <rFont val="Arial"/>
        <family val="2"/>
      </rPr>
      <t xml:space="preserve">) - 190,67 = </t>
    </r>
    <r>
      <rPr>
        <b/>
        <sz val="10"/>
        <color rgb="FF0000FF"/>
        <rFont val="Arial"/>
        <family val="2"/>
      </rPr>
      <t>4,33h</t>
    </r>
    <r>
      <rPr>
        <b/>
        <sz val="10"/>
        <color rgb="FFFF0000"/>
        <rFont val="Arial"/>
        <family val="2"/>
      </rPr>
      <t xml:space="preserve"> como horas extras, sendo  </t>
    </r>
    <r>
      <rPr>
        <b/>
        <sz val="10"/>
        <color rgb="FF0000FF"/>
        <rFont val="Arial"/>
        <family val="2"/>
      </rPr>
      <t>15</t>
    </r>
    <r>
      <rPr>
        <b/>
        <sz val="10"/>
        <color rgb="FFFF0000"/>
        <rFont val="Arial"/>
        <family val="2"/>
      </rPr>
      <t xml:space="preserve"> = 15x(7hx1,1428571 – 7h) </t>
    </r>
    <r>
      <rPr>
        <b/>
        <sz val="10"/>
        <color rgb="FF0000FF"/>
        <rFont val="Arial"/>
        <family val="2"/>
      </rPr>
      <t xml:space="preserve">Das 22h às 5h </t>
    </r>
    <r>
      <rPr>
        <b/>
        <sz val="10"/>
        <color rgb="FF000000"/>
        <rFont val="Arial"/>
        <family val="2"/>
      </rPr>
      <t>(cláusula 28 da CCT 2023/2025)</t>
    </r>
  </si>
  <si>
    <r>
      <rPr>
        <b/>
        <sz val="10"/>
        <color theme="1"/>
        <rFont val="Arial"/>
        <family val="2"/>
      </rPr>
      <t xml:space="preserve">RSR (Repouso Semanal Remunerado) - </t>
    </r>
    <r>
      <rPr>
        <b/>
        <sz val="10"/>
        <color rgb="FFFF0000"/>
        <rFont val="Arial"/>
        <family val="2"/>
      </rPr>
      <t xml:space="preserve">Cálculo do valor: 20% sobre os adicionais pertinentes) - </t>
    </r>
    <r>
      <rPr>
        <b/>
        <sz val="10"/>
        <color theme="1"/>
        <rFont val="Arial"/>
        <family val="2"/>
      </rPr>
      <t xml:space="preserve"> (cláusula 32 da CCT 2023/2025)</t>
    </r>
  </si>
  <si>
    <r>
      <rPr>
        <b/>
        <sz val="10"/>
        <color theme="1"/>
        <rFont val="Arial"/>
        <family val="2"/>
      </rPr>
      <t>Adicional de Periculosidade</t>
    </r>
    <r>
      <rPr>
        <b/>
        <sz val="10"/>
        <color rgb="FFFF0000"/>
        <rFont val="Arial"/>
        <family val="2"/>
      </rPr>
      <t xml:space="preserve"> (Lei nº 12.740/2012)    (30% das rubricas pertinentes) </t>
    </r>
    <r>
      <rPr>
        <b/>
        <sz val="10"/>
        <color theme="1"/>
        <rFont val="Arial"/>
        <family val="2"/>
      </rPr>
      <t>(cláusula 29 da CCT 2023/2025)</t>
    </r>
  </si>
  <si>
    <t xml:space="preserve">Outros (especificar)                      </t>
  </si>
  <si>
    <r>
      <rPr>
        <b/>
        <sz val="10"/>
        <color theme="1"/>
        <rFont val="Arial"/>
        <family val="2"/>
      </rPr>
      <t xml:space="preserve">Intervalo Intrajornada </t>
    </r>
    <r>
      <rPr>
        <b/>
        <sz val="10"/>
        <color rgb="FFFF0000"/>
        <rFont val="Arial"/>
        <family val="2"/>
      </rPr>
      <t>(Adicional de Intervalo)  Cálculo do valor: HE (s/peri) x 15d x2vigx</t>
    </r>
    <r>
      <rPr>
        <b/>
        <sz val="10"/>
        <color rgb="FF0000FF"/>
        <rFont val="Arial"/>
        <family val="2"/>
      </rPr>
      <t>0,5h</t>
    </r>
    <r>
      <rPr>
        <b/>
        <sz val="10"/>
        <color rgb="FFFF0000"/>
        <rFont val="Arial"/>
        <family val="2"/>
      </rPr>
      <t xml:space="preserve">) - </t>
    </r>
    <r>
      <rPr>
        <b/>
        <sz val="10"/>
        <color theme="1"/>
        <rFont val="Arial"/>
        <family val="2"/>
      </rPr>
      <t>(cláusula 69 da CCT 2023/2025)</t>
    </r>
  </si>
  <si>
    <r>
      <rPr>
        <b/>
        <sz val="14"/>
        <color theme="1"/>
        <rFont val="Arial"/>
        <family val="2"/>
      </rPr>
      <t xml:space="preserve">Remuneração 2 = Total da Remuneração que o empregado irá receber- </t>
    </r>
    <r>
      <rPr>
        <b/>
        <sz val="11"/>
        <color rgb="FF0000FF"/>
        <rFont val="Arial"/>
        <family val="2"/>
      </rPr>
      <t>Valor entra nos seguintes cálculos: Item 2, "A" - Quadro-Resumo do Custo por Posto de Trabalho, Custos Indiretos, Lucro e Tributos.</t>
    </r>
  </si>
  <si>
    <r>
      <rPr>
        <b/>
        <sz val="11"/>
        <color rgb="FF000000"/>
        <rFont val="Arial"/>
        <family val="2"/>
      </rPr>
      <t xml:space="preserve">Submódulo 2.1 – 13º (décimo terceiro) Salário </t>
    </r>
    <r>
      <rPr>
        <b/>
        <sz val="11"/>
        <color rgb="FF000000"/>
        <rFont val="Arial"/>
        <family val="2"/>
      </rPr>
      <t>e Adicional de Férias</t>
    </r>
  </si>
  <si>
    <r>
      <rPr>
        <b/>
        <sz val="11"/>
        <color rgb="FF000000"/>
        <rFont val="Arial"/>
        <family val="2"/>
      </rPr>
      <t xml:space="preserve">13º (décimo terceiro) Salário </t>
    </r>
    <r>
      <rPr>
        <b/>
        <sz val="11"/>
        <color rgb="FF000000"/>
        <rFont val="Arial"/>
        <family val="2"/>
      </rPr>
      <t>e Adicional de Férias</t>
    </r>
  </si>
  <si>
    <r>
      <rPr>
        <b/>
        <sz val="10"/>
        <color rgb="FF000000"/>
        <rFont val="Arial"/>
        <family val="2"/>
      </rPr>
      <t>13º (décimo terceiro) Salário</t>
    </r>
    <r>
      <rPr>
        <b/>
        <sz val="11"/>
        <color rgb="FF00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Obrigatória a cotação de 8,33% sobre o valor do Módulo 1 – Composição da Remuneração1, conforme Anexo XII da IN 5/17</t>
    </r>
  </si>
  <si>
    <r>
      <rPr>
        <b/>
        <sz val="10"/>
        <color rgb="FF000000"/>
        <rFont val="Arial"/>
        <family val="2"/>
      </rPr>
      <t>Adicional de Férias</t>
    </r>
    <r>
      <rPr>
        <b/>
        <sz val="10"/>
        <color rgb="FF0099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 xml:space="preserve">Obrigatória a cotação de 3,025% sobre o valor do Módulo 1 – Composição da Remuneração1. </t>
    </r>
    <r>
      <rPr>
        <b/>
        <sz val="9"/>
        <color rgb="FF0000FF"/>
        <rFont val="Arial"/>
        <family val="2"/>
      </rPr>
      <t xml:space="preserve"> 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 Na hipótese de o contrato não ser prorrogado, o pagamento relativo a Férias do empregado deverá ser efetivado pela provisão feita no Submódulo 4.1.A.</t>
    </r>
  </si>
  <si>
    <r>
      <rPr>
        <b/>
        <sz val="11"/>
        <color rgb="FF000000"/>
        <rFont val="Arial"/>
        <family val="2"/>
      </rPr>
      <t xml:space="preserve">RAT x FAP 
</t>
    </r>
    <r>
      <rPr>
        <b/>
        <sz val="7"/>
        <color rgb="FFFF0000"/>
        <rFont val="Arial"/>
        <family val="2"/>
      </rPr>
      <t>Cálculo do valor: % do RAT (Riscos Ambientais do Trabalho) x FAP (Fator Acidentário de Prevenção de cada empresa)</t>
    </r>
  </si>
  <si>
    <r>
      <rPr>
        <b/>
        <sz val="10"/>
        <color theme="1"/>
        <rFont val="Arial"/>
        <family val="2"/>
      </rPr>
      <t xml:space="preserve">Transporte                                                          </t>
    </r>
    <r>
      <rPr>
        <b/>
        <sz val="10"/>
        <color rgb="FFFF0000"/>
        <rFont val="Arial"/>
        <family val="2"/>
      </rPr>
      <t>Cálculo do valor: [(2xVTx30) – (6%xSB)]</t>
    </r>
  </si>
  <si>
    <r>
      <rPr>
        <b/>
        <sz val="10"/>
        <color theme="1"/>
        <rFont val="Arial"/>
        <family val="2"/>
      </rPr>
      <t xml:space="preserve">     </t>
    </r>
    <r>
      <rPr>
        <b/>
        <sz val="10"/>
        <color rgb="FFFF0000"/>
        <rFont val="Arial"/>
        <family val="2"/>
      </rPr>
      <t>A.2) Quantidade de passagens por dia por empregado</t>
    </r>
  </si>
  <si>
    <r>
      <rPr>
        <b/>
        <sz val="10"/>
        <color rgb="FFFF0000"/>
        <rFont val="Arial"/>
        <family val="2"/>
      </rPr>
      <t xml:space="preserve">     A.4) Participação do empregado em percentual do salário-base </t>
    </r>
    <r>
      <rPr>
        <b/>
        <sz val="10"/>
        <color rgb="FFFF0000"/>
        <rFont val="Arial"/>
        <family val="2"/>
      </rPr>
      <t>(cláusula 35 da CCT 2023/2025)</t>
    </r>
  </si>
  <si>
    <r>
      <rPr>
        <b/>
        <sz val="10"/>
        <color theme="1"/>
        <rFont val="Arial"/>
        <family val="2"/>
      </rPr>
      <t xml:space="preserve">Auxílio-Refeição/Alimentação  </t>
    </r>
    <r>
      <rPr>
        <b/>
        <sz val="10"/>
        <color rgb="FFFF0000"/>
        <rFont val="Arial"/>
        <family val="2"/>
      </rPr>
      <t>Cálculo do valor = [(30xVA)x(1-0,20)]</t>
    </r>
  </si>
  <si>
    <r>
      <rPr>
        <b/>
        <sz val="10"/>
        <color theme="1"/>
        <rFont val="Arial"/>
        <family val="2"/>
      </rPr>
      <t xml:space="preserve">     </t>
    </r>
    <r>
      <rPr>
        <b/>
        <sz val="10"/>
        <color rgb="FFFF0000"/>
        <rFont val="Arial"/>
        <family val="2"/>
      </rPr>
      <t>B.2) Quantidade de dias do mês de recebimento de auxílio-alimentação</t>
    </r>
  </si>
  <si>
    <r>
      <rPr>
        <b/>
        <sz val="10"/>
        <color theme="1"/>
        <rFont val="Arial"/>
        <family val="2"/>
      </rPr>
      <t xml:space="preserve">Seguro de Vida </t>
    </r>
    <r>
      <rPr>
        <b/>
        <sz val="9"/>
        <color rgb="FFFF0000"/>
        <rFont val="Arial"/>
        <family val="2"/>
      </rPr>
      <t xml:space="preserve">Cálculo do valor: 26 x Rem x 0,023%  </t>
    </r>
    <r>
      <rPr>
        <b/>
        <sz val="9"/>
        <color theme="1"/>
        <rFont val="Arial"/>
        <family val="2"/>
      </rPr>
      <t xml:space="preserve"> (cláusula 38 da CCT 2023/2025)</t>
    </r>
    <r>
      <rPr>
        <b/>
        <sz val="10"/>
        <color theme="1"/>
        <rFont val="Arial"/>
        <family val="2"/>
      </rPr>
      <t xml:space="preserve">
</t>
    </r>
    <r>
      <rPr>
        <b/>
        <sz val="8"/>
        <color rgb="FF0000FF"/>
        <rFont val="Arial"/>
        <family val="2"/>
      </rPr>
      <t xml:space="preserve">O valor cotado pelo licitante deve ser fixado na planilha e somente deve ser alterado mediante repactuação com comprovação do aumento. </t>
    </r>
  </si>
  <si>
    <r>
      <rPr>
        <b/>
        <sz val="10"/>
        <color theme="1"/>
        <rFont val="Arial"/>
        <family val="2"/>
      </rPr>
      <t xml:space="preserve">Auxílio-Funeral  </t>
    </r>
    <r>
      <rPr>
        <b/>
        <sz val="9"/>
        <color rgb="FFFF0000"/>
        <rFont val="Arial"/>
        <family val="2"/>
      </rPr>
      <t xml:space="preserve">Cálculo do valor: (SB x 0,52066%)/12  </t>
    </r>
    <r>
      <rPr>
        <b/>
        <sz val="9"/>
        <color theme="1"/>
        <rFont val="Arial"/>
        <family val="2"/>
      </rPr>
      <t>(cláusula 37 da CCT 2023/2025)</t>
    </r>
    <r>
      <rPr>
        <b/>
        <sz val="10"/>
        <color theme="1"/>
        <rFont val="Arial"/>
        <family val="2"/>
      </rPr>
      <t xml:space="preserve">
</t>
    </r>
    <r>
      <rPr>
        <b/>
        <sz val="8"/>
        <color rgb="FF0000FF"/>
        <rFont val="Arial"/>
        <family val="2"/>
      </rPr>
      <t xml:space="preserve">O valor cotado pelo licitante deve ser fixado na planilha e somente deve ser alterado mediante repactuação com comprovação do aumento. </t>
    </r>
  </si>
  <si>
    <r>
      <rPr>
        <b/>
        <sz val="10"/>
        <color rgb="FF000000"/>
        <rFont val="Arial"/>
        <family val="2"/>
      </rPr>
      <t xml:space="preserve">13º (décimo terceiro) Salário </t>
    </r>
    <r>
      <rPr>
        <b/>
        <strike/>
        <sz val="10"/>
        <color rgb="FFFF3300"/>
        <rFont val="Arial"/>
        <family val="2"/>
      </rPr>
      <t>(Férias???)</t>
    </r>
    <r>
      <rPr>
        <b/>
        <sz val="10"/>
        <color rgb="FF009933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e Adicional de Férias</t>
    </r>
  </si>
  <si>
    <r>
      <rPr>
        <b/>
        <sz val="10"/>
        <color theme="1"/>
        <rFont val="Arial"/>
        <family val="2"/>
      </rPr>
      <t>Multa do FGTS sobre o Aviso PrévioTrabalhado e Aviso Prévio Indenizado</t>
    </r>
    <r>
      <rPr>
        <b/>
        <sz val="8"/>
        <color rgb="FFFF0000"/>
        <rFont val="Arial"/>
        <family val="2"/>
      </rPr>
      <t xml:space="preserve">Obrigatória a cotação de 4% sobre o valor do Módulo 1 – Composição da Remuneração1, conforme Anexo XII da IN Seges nº 5/2017 </t>
    </r>
  </si>
  <si>
    <r>
      <rPr>
        <b/>
        <sz val="11"/>
        <color theme="1"/>
        <rFont val="Arial"/>
        <family val="2"/>
      </rPr>
      <t>Base de cálculo para o Custo de Reposição do Profissional Ausente (substituto): BCCPA = MÓDULO 1 (= a Rem1) + MÓDULO 2 (- VA - VT) + FÉRIAS + MÓDULO 3</t>
    </r>
    <r>
      <rPr>
        <b/>
        <sz val="11"/>
        <color rgb="FFFF0000"/>
        <rFont val="Arial"/>
        <family val="2"/>
      </rPr>
      <t xml:space="preserve">  - exceto o Substituto na cobertura de Férias e o Afastamento Maternidade, sendo que neste último a Rem e o 13º podem ser compensados pelo INSS, ambos com base de cálculo própria, conforme consta nesses itens de custo.</t>
    </r>
  </si>
  <si>
    <r>
      <rPr>
        <b/>
        <sz val="11"/>
        <color rgb="FF0000FF"/>
        <rFont val="Arial"/>
        <family val="2"/>
      </rPr>
      <t xml:space="preserve">MÓD 2  </t>
    </r>
    <r>
      <rPr>
        <b/>
        <sz val="10"/>
        <color rgb="FFFF0000"/>
        <rFont val="Arial"/>
        <family val="2"/>
      </rPr>
      <t>(sem VA e VT)</t>
    </r>
    <r>
      <rPr>
        <b/>
        <sz val="11"/>
        <color rgb="FF0000FF"/>
        <rFont val="Arial"/>
        <family val="2"/>
      </rPr>
      <t xml:space="preserve"> +Férias =</t>
    </r>
  </si>
  <si>
    <r>
      <rPr>
        <b/>
        <sz val="10"/>
        <color rgb="FF000000"/>
        <rFont val="Arial"/>
        <family val="2"/>
      </rPr>
      <t xml:space="preserve">Substituto na cobertura de Férias  </t>
    </r>
    <r>
      <rPr>
        <b/>
        <sz val="10"/>
        <color rgb="FFFF0000"/>
        <rFont val="Arial"/>
        <family val="2"/>
      </rPr>
      <t xml:space="preserve">Obrigatória a cotação de 9,075% sobre o valor do Módulo 1 - Composição da Remuneração, </t>
    </r>
    <r>
      <rPr>
        <b/>
        <sz val="10"/>
        <color rgb="FF0066CC"/>
        <rFont val="Arial"/>
        <family val="2"/>
      </rPr>
      <t xml:space="preserve">mais </t>
    </r>
    <r>
      <rPr>
        <b/>
        <sz val="10"/>
        <color rgb="FFFF0000"/>
        <rFont val="Arial"/>
        <family val="2"/>
      </rPr>
      <t>o percentual do Submódulo 2.2 sobre o cálculo anterior, conforme Anexo XII da IN 5/17 (Férias + Adicional = 12,10% = 9,075% + 3,025%)</t>
    </r>
  </si>
  <si>
    <r>
      <rPr>
        <b/>
        <sz val="12"/>
        <color rgb="FF000000"/>
        <rFont val="Arial"/>
        <family val="2"/>
      </rPr>
      <t xml:space="preserve">Substituto na cobertura de Ausências Legais 
</t>
    </r>
    <r>
      <rPr>
        <b/>
        <sz val="10"/>
        <color rgb="FFFF0000"/>
        <rFont val="Arial"/>
        <family val="2"/>
      </rPr>
      <t>Cálculo do valor = [(</t>
    </r>
    <r>
      <rPr>
        <b/>
        <sz val="10"/>
        <color rgb="FF0000FF"/>
        <rFont val="Arial"/>
        <family val="2"/>
      </rPr>
      <t>BCCPA</t>
    </r>
    <r>
      <rPr>
        <b/>
        <sz val="10"/>
        <color rgb="FFFF0000"/>
        <rFont val="Arial"/>
        <family val="2"/>
      </rPr>
      <t>/30)x1dia]/12</t>
    </r>
  </si>
  <si>
    <r>
      <rPr>
        <b/>
        <sz val="12"/>
        <color rgb="FF000000"/>
        <rFont val="Arial"/>
        <family val="2"/>
      </rPr>
      <t xml:space="preserve">Substituto na cobertura de Licença-Paternidade
</t>
    </r>
    <r>
      <rPr>
        <b/>
        <sz val="10"/>
        <color rgb="FFFF0000"/>
        <rFont val="Arial"/>
        <family val="2"/>
      </rPr>
      <t>Cálculo do valor = {[(</t>
    </r>
    <r>
      <rPr>
        <b/>
        <sz val="10"/>
        <color rgb="FF0000FF"/>
        <rFont val="Arial"/>
        <family val="2"/>
      </rPr>
      <t>BCCPA</t>
    </r>
    <r>
      <rPr>
        <b/>
        <sz val="10"/>
        <color rgb="FFFF0000"/>
        <rFont val="Arial"/>
        <family val="2"/>
      </rPr>
      <t>/30)x5dias]/12}x1,5%</t>
    </r>
  </si>
  <si>
    <r>
      <rPr>
        <b/>
        <sz val="12"/>
        <color rgb="FF000000"/>
        <rFont val="Arial"/>
        <family val="2"/>
      </rPr>
      <t xml:space="preserve">Substituto na cobertura de Ausência por acidente de trabalho
</t>
    </r>
    <r>
      <rPr>
        <b/>
        <sz val="8"/>
        <color rgb="FFFF0000"/>
        <rFont val="Arial"/>
        <family val="2"/>
      </rPr>
      <t>Cálculo do valor = [(BCCPA)/30x0,69dias]/12</t>
    </r>
  </si>
  <si>
    <r>
      <rPr>
        <b/>
        <sz val="10"/>
        <color theme="1"/>
        <rFont val="Arial"/>
        <family val="2"/>
      </rPr>
      <t>Substituto na cobertura de Ausência por doença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Cálculo do valor = [(</t>
    </r>
    <r>
      <rPr>
        <b/>
        <sz val="10"/>
        <color rgb="FF0000FF"/>
        <rFont val="Arial"/>
        <family val="2"/>
      </rPr>
      <t>BCCPA</t>
    </r>
    <r>
      <rPr>
        <b/>
        <sz val="10"/>
        <color rgb="FFFF0000"/>
        <rFont val="Arial"/>
        <family val="2"/>
      </rPr>
      <t xml:space="preserve">)/30)x3dias]/12 </t>
    </r>
    <r>
      <rPr>
        <b/>
        <sz val="8"/>
        <color rgb="FF0000FF"/>
        <rFont val="Arial"/>
        <family val="2"/>
      </rPr>
      <t xml:space="preserve"> Incluído por permissão da IN Seges nº 5/2017, Anexo VII-B, item 1.7, alíneas "b" e "c".5.</t>
    </r>
  </si>
  <si>
    <r>
      <rPr>
        <sz val="10"/>
        <color theme="1"/>
        <rFont val="Arial"/>
        <family val="2"/>
      </rPr>
      <t xml:space="preserve">  </t>
    </r>
    <r>
      <rPr>
        <b/>
        <sz val="10"/>
        <color theme="1"/>
        <rFont val="Arial"/>
        <family val="2"/>
      </rPr>
      <t xml:space="preserve">a) Cofins </t>
    </r>
    <r>
      <rPr>
        <sz val="8"/>
        <color rgb="FFFF0000"/>
        <rFont val="Arial"/>
        <family val="2"/>
      </rPr>
      <t>(depende do regime de tributação - utilizada a hipótese de Lucro Real ou Presumido)</t>
    </r>
  </si>
  <si>
    <r>
      <rPr>
        <sz val="10"/>
        <color theme="1"/>
        <rFont val="Arial"/>
        <family val="2"/>
      </rPr>
      <t xml:space="preserve">  </t>
    </r>
    <r>
      <rPr>
        <b/>
        <sz val="10"/>
        <color theme="1"/>
        <rFont val="Arial"/>
        <family val="2"/>
      </rPr>
      <t xml:space="preserve">b) PIS       </t>
    </r>
    <r>
      <rPr>
        <sz val="9"/>
        <color rgb="FFFF0000"/>
        <rFont val="Arial"/>
        <family val="2"/>
      </rPr>
      <t>(depende do regime de tributação - utilizada a hipótese de Lucro Real ou Presumido)</t>
    </r>
  </si>
  <si>
    <r>
      <rPr>
        <b/>
        <sz val="10"/>
        <color theme="1"/>
        <rFont val="Arial"/>
        <family val="2"/>
      </rPr>
      <t xml:space="preserve"> c) IRPJ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rgb="FF0000CC"/>
        <rFont val="Arial"/>
        <family val="2"/>
      </rPr>
      <t>-</t>
    </r>
    <r>
      <rPr>
        <b/>
        <sz val="9"/>
        <color rgb="FF0000CC"/>
        <rFont val="Arial"/>
        <family val="2"/>
      </rPr>
      <t xml:space="preserve">  Em face dos Acórdãos TCU nºs 950/2007-P e 205/2018-P, o licitante não pode cotar expressamente este tributo.</t>
    </r>
  </si>
  <si>
    <r>
      <rPr>
        <b/>
        <sz val="10"/>
        <color theme="1"/>
        <rFont val="Arial"/>
        <family val="2"/>
      </rPr>
      <t xml:space="preserve"> d) CSLL </t>
    </r>
    <r>
      <rPr>
        <b/>
        <sz val="10"/>
        <color rgb="FF0000CC"/>
        <rFont val="Arial"/>
        <family val="2"/>
      </rPr>
      <t xml:space="preserve">- </t>
    </r>
    <r>
      <rPr>
        <b/>
        <sz val="9"/>
        <color rgb="FF0000CC"/>
        <rFont val="Arial"/>
        <family val="2"/>
      </rPr>
      <t xml:space="preserve"> Em face dos Acórdãos TCU nºs 950/2007-P e 205/2018-P, o licitante não pode cotar expressamente este tributo.</t>
    </r>
  </si>
  <si>
    <r>
      <rPr>
        <b/>
        <sz val="12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2. QUADRO-RESUMO DO CUSTO POR POSTO DE TRABALHO
</t>
    </r>
  </si>
  <si>
    <t>Módulo 1 - Composição da Remuneração2</t>
  </si>
  <si>
    <t xml:space="preserve">12 horas noturnas, de segunda-feira a domingo, envolvendo 2 (dois) vigilantes em turnos de  12 (doze) por 36 (trinta e seis) horas </t>
  </si>
  <si>
    <r>
      <rPr>
        <b/>
        <sz val="14"/>
        <color theme="1"/>
        <rFont val="Arial"/>
        <family val="2"/>
      </rPr>
      <t xml:space="preserve">Valor global da proposta </t>
    </r>
    <r>
      <rPr>
        <b/>
        <sz val="10"/>
        <color theme="1"/>
        <rFont val="Arial"/>
        <family val="2"/>
      </rPr>
      <t>(valor mensal do serviço x nº de meses do contrato)</t>
    </r>
  </si>
  <si>
    <r>
      <rPr>
        <b/>
        <sz val="10"/>
        <color theme="1"/>
        <rFont val="Arial"/>
        <family val="2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  <family val="2"/>
      </rPr>
      <t>item 6.5.4.e do edital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</si>
  <si>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theme="1"/>
        <rFont val="Arial"/>
        <family val="2"/>
      </rPr>
      <t xml:space="preserve">MATERIAIS, MÁQUINAS E EQUIPAMENTOS ALOCADOS NA EXECUÇÃO CONTRATUAL (item 6.2.f do Anexo VII da IN nº 5/2017  e </t>
    </r>
    <r>
      <rPr>
        <b/>
        <sz val="10"/>
        <color rgb="FFFF0000"/>
        <rFont val="Arial"/>
        <family val="2"/>
      </rPr>
      <t>item 6.5.4.f do edital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</si>
  <si>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theme="1"/>
        <rFont val="Arial"/>
        <family val="2"/>
      </rPr>
      <t xml:space="preserve">40 (QUARENTA) horas semanais diurnas, de segunda a sexta-feira, </t>
    </r>
    <r>
      <rPr>
        <b/>
        <sz val="10"/>
        <color rgb="FFFF0000"/>
        <rFont val="Arial"/>
        <family val="2"/>
      </rPr>
      <t>exceto feriados</t>
    </r>
    <r>
      <rPr>
        <b/>
        <sz val="10"/>
        <color theme="1"/>
        <rFont val="Arial"/>
        <family val="2"/>
      </rPr>
      <t xml:space="preserve"> envolvendo um vigilante das 7h às 15h ininterruptas.</t>
    </r>
  </si>
  <si>
    <r>
      <rPr>
        <b/>
        <sz val="15"/>
        <color theme="1"/>
        <rFont val="Arial"/>
        <family val="2"/>
      </rPr>
      <t xml:space="preserve">1. MÓDULOS 
</t>
    </r>
    <r>
      <rPr>
        <b/>
        <sz val="12"/>
        <color rgb="FF000000"/>
        <rFont val="Arial"/>
        <family val="2"/>
      </rPr>
      <t xml:space="preserve">Mão de obra
</t>
    </r>
    <r>
      <rPr>
        <b/>
        <sz val="11"/>
        <color rgb="FF000000"/>
        <rFont val="Arial"/>
        <family val="2"/>
      </rPr>
      <t>Mão de obra vinculada à execução contratual</t>
    </r>
  </si>
  <si>
    <r>
      <rPr>
        <sz val="10"/>
        <color theme="1"/>
        <rFont val="Arial"/>
        <family val="2"/>
      </rPr>
      <t xml:space="preserve">Valor do salárioxhora sem periculosidade - 
</t>
    </r>
    <r>
      <rPr>
        <sz val="10"/>
        <color theme="1"/>
        <rFont val="Arial"/>
        <family val="2"/>
      </rPr>
      <t>VSH (s/peri) = (Valor do salário normativo / 220 h)</t>
    </r>
  </si>
  <si>
    <r>
      <rPr>
        <sz val="10"/>
        <color theme="1"/>
        <rFont val="Arial"/>
        <family val="2"/>
      </rPr>
      <t xml:space="preserve">Valor da hora extra sem periculosidade com 50% 
</t>
    </r>
    <r>
      <rPr>
        <sz val="10"/>
        <color theme="1"/>
        <rFont val="Arial"/>
        <family val="2"/>
      </rPr>
      <t>HE (s/peri) = valor da hora + 50%</t>
    </r>
  </si>
  <si>
    <r>
      <rPr>
        <sz val="10"/>
        <color theme="1"/>
        <rFont val="Arial"/>
        <family val="2"/>
      </rPr>
      <t xml:space="preserve">Valor da hora do adicional noturno sem periculosidade
</t>
    </r>
    <r>
      <rPr>
        <sz val="10"/>
        <color theme="1"/>
        <rFont val="Arial"/>
        <family val="2"/>
      </rPr>
      <t>AN (s/peri) = valor da hora x 20%</t>
    </r>
  </si>
  <si>
    <t>Número de dias de trabalho no mês</t>
  </si>
  <si>
    <r>
      <rPr>
        <b/>
        <sz val="10"/>
        <color theme="1"/>
        <rFont val="Arial"/>
        <family val="2"/>
      </rPr>
      <t>Adicional de Periculosidade</t>
    </r>
    <r>
      <rPr>
        <b/>
        <sz val="10"/>
        <color rgb="FFFF0000"/>
        <rFont val="Arial"/>
        <family val="2"/>
      </rPr>
      <t xml:space="preserve"> (Lei nº 12.740/2012)    (30% das rubricas pertinentes) </t>
    </r>
    <r>
      <rPr>
        <b/>
        <sz val="10"/>
        <color theme="1"/>
        <rFont val="Arial"/>
        <family val="2"/>
      </rPr>
      <t>(cláusula 29 da CCT 2023/2025)</t>
    </r>
  </si>
  <si>
    <r>
      <rPr>
        <sz val="10"/>
        <color theme="1"/>
        <rFont val="Arial"/>
        <family val="2"/>
      </rPr>
      <t xml:space="preserve">Intervalo Intrajornada </t>
    </r>
    <r>
      <rPr>
        <sz val="10"/>
        <color theme="1"/>
        <rFont val="Arial"/>
        <family val="2"/>
      </rPr>
      <t>(Adicional de Intervalo)  Cálculo do valor: HE (s/peri) x 22d x1vigx0,5h) - (cláusula 69 da CCT 2023/2025)</t>
    </r>
  </si>
  <si>
    <r>
      <rPr>
        <b/>
        <sz val="14"/>
        <color theme="1"/>
        <rFont val="Arial"/>
        <family val="2"/>
      </rPr>
      <t xml:space="preserve">Remuneração 2 = Total da Remuneração que o empregado irá receber- </t>
    </r>
    <r>
      <rPr>
        <b/>
        <sz val="11"/>
        <color theme="1"/>
        <rFont val="Arial"/>
        <family val="2"/>
      </rPr>
      <t>Valor entra nos seguintes cálculos: Item 2, "A" - Quadro-Resumo do Custo por Posto de Trabalho, Custos Indiretos, Lucro e Tributos.</t>
    </r>
  </si>
  <si>
    <r>
      <rPr>
        <b/>
        <sz val="11"/>
        <color rgb="FF000000"/>
        <rFont val="Arial"/>
        <family val="2"/>
      </rPr>
      <t xml:space="preserve">Submódulo 2.1 – 13º (décimo terceiro) Salário </t>
    </r>
    <r>
      <rPr>
        <b/>
        <sz val="11"/>
        <color rgb="FF000000"/>
        <rFont val="Arial"/>
        <family val="2"/>
      </rPr>
      <t>e Adicional de Férias</t>
    </r>
  </si>
  <si>
    <r>
      <rPr>
        <b/>
        <sz val="11"/>
        <color rgb="FF000000"/>
        <rFont val="Arial"/>
        <family val="2"/>
      </rPr>
      <t xml:space="preserve">13º (décimo terceiro) Salário </t>
    </r>
    <r>
      <rPr>
        <b/>
        <sz val="11"/>
        <color rgb="FF000000"/>
        <rFont val="Arial"/>
        <family val="2"/>
      </rPr>
      <t>e Adicional de Férias</t>
    </r>
  </si>
  <si>
    <r>
      <rPr>
        <sz val="10"/>
        <color theme="1"/>
        <rFont val="Arial"/>
        <family val="2"/>
      </rPr>
      <t>13º (décimo terceiro) Salário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Obrigatória a cotação de 8,33% sobre o valor do Módulo 1 – Composição da Remuneração1, conforme Anexo XII da IN 5/17</t>
    </r>
  </si>
  <si>
    <r>
      <rPr>
        <sz val="10"/>
        <color theme="1"/>
        <rFont val="Arial"/>
        <family val="2"/>
      </rPr>
      <t xml:space="preserve">Adicional de Férias </t>
    </r>
    <r>
      <rPr>
        <sz val="8"/>
        <color theme="1"/>
        <rFont val="Arial"/>
        <family val="2"/>
      </rPr>
      <t xml:space="preserve">Obrigatória a cotação de 3,025% sobre o valor do Módulo 1 – Composição da Remuneração1. </t>
    </r>
    <r>
      <rPr>
        <sz val="9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 Na hipótese de o contrato não ser prorrogado, o pagamento relativo a Férias do empregado deverá ser efetivado pela provisão feita no Submódulo 4.1.A.</t>
    </r>
  </si>
  <si>
    <r>
      <rPr>
        <sz val="9"/>
        <color rgb="FF000000"/>
        <rFont val="Arial"/>
        <family val="2"/>
      </rPr>
      <t xml:space="preserve">Nota 1:  Como a planilha de custos e formação de preços é calculada mensalmente, provisiona-se proporcionalmente 1/12 (um doze avos) dos valores referentes à gratificação natalinae adicional de férias.
</t>
    </r>
    <r>
      <rPr>
        <b/>
        <strike/>
        <sz val="9"/>
        <color rgb="FF0000FF"/>
        <rFont val="Arial"/>
        <family val="2"/>
      </rPr>
      <t xml:space="preserve">
</t>
    </r>
    <r>
      <rPr>
        <sz val="9"/>
        <color rgb="FF000000"/>
        <rFont val="Arial"/>
        <family val="2"/>
      </rPr>
      <t>Nota 2: O adicional de férias contido no Submódulo 2.1 corresponde a 3,025% do Módulo 1, em face do Anexo XII da IN nº 5/2017 exigir 12,10% no somatório de Férias + 1/3 de Férias (9,075% + 3,025%).</t>
    </r>
    <r>
      <rPr>
        <strike/>
        <sz val="9"/>
        <color rgb="FF000000"/>
        <rFont val="Arial"/>
        <family val="2"/>
      </rPr>
      <t xml:space="preserve">
</t>
    </r>
  </si>
  <si>
    <r>
      <rPr>
        <sz val="11"/>
        <color theme="1"/>
        <rFont val="Arial"/>
        <family val="2"/>
      </rPr>
      <t xml:space="preserve">RAT x FAP 
</t>
    </r>
    <r>
      <rPr>
        <sz val="7"/>
        <color theme="1"/>
        <rFont val="Arial"/>
        <family val="2"/>
      </rPr>
      <t>Cálculo do valor: % do RAT (Riscos Ambientais do Trabalho) x FAP (Fator Acidentário de Prevenção de cada empresa)</t>
    </r>
  </si>
  <si>
    <t>Transporte                                                          Cálculo do valor: [(2xVTx22) – (6%xSB)]</t>
  </si>
  <si>
    <r>
      <rPr>
        <sz val="10"/>
        <color theme="1"/>
        <rFont val="Arial"/>
        <family val="2"/>
      </rPr>
      <t xml:space="preserve">     A.2) Quantidade de passagens por dia por empregado</t>
    </r>
  </si>
  <si>
    <r>
      <rPr>
        <sz val="10"/>
        <color theme="1"/>
        <rFont val="Arial"/>
        <family val="2"/>
      </rPr>
      <t xml:space="preserve">     A.4) Participação do empregado em percentual do salário-base </t>
    </r>
    <r>
      <rPr>
        <sz val="10"/>
        <color theme="1"/>
        <rFont val="Arial"/>
        <family val="2"/>
      </rPr>
      <t>(cláusula 35 da CCT 2023/2025)</t>
    </r>
  </si>
  <si>
    <t>Auxílio-Refeição/Alimentação  Cálculo do valor = [(22xVA)x(1-0,20)]</t>
  </si>
  <si>
    <r>
      <rPr>
        <sz val="10"/>
        <color theme="1"/>
        <rFont val="Arial"/>
        <family val="2"/>
      </rPr>
      <t xml:space="preserve">     B.2) Quantidade de dias do mês de recebimento de auxílio-alimentação</t>
    </r>
  </si>
  <si>
    <r>
      <rPr>
        <sz val="10"/>
        <color theme="1"/>
        <rFont val="Arial"/>
        <family val="2"/>
      </rPr>
      <t xml:space="preserve">Seguro de Vida </t>
    </r>
    <r>
      <rPr>
        <sz val="9"/>
        <color theme="1"/>
        <rFont val="Arial"/>
        <family val="2"/>
      </rPr>
      <t>Cálculo do valor: 26 x Rem x 0,023%   (cláusula 38 da CCT 2023/2025)</t>
    </r>
    <r>
      <rPr>
        <sz val="10"/>
        <color theme="1"/>
        <rFont val="Arial"/>
        <family val="2"/>
      </rPr>
      <t xml:space="preserve">
</t>
    </r>
    <r>
      <rPr>
        <b/>
        <i/>
        <sz val="8"/>
        <color theme="1"/>
        <rFont val="Arial"/>
        <family val="2"/>
      </rPr>
      <t xml:space="preserve">O valor cotado pelo licitante deve ser fixado na planilha e somente deve ser alterado mediante repactuação com comprovação do aumento. </t>
    </r>
  </si>
  <si>
    <r>
      <rPr>
        <sz val="10"/>
        <color theme="1"/>
        <rFont val="Arial"/>
        <family val="2"/>
      </rPr>
      <t xml:space="preserve">Auxílio-Funeral  </t>
    </r>
    <r>
      <rPr>
        <sz val="9"/>
        <color theme="1"/>
        <rFont val="Arial"/>
        <family val="2"/>
      </rPr>
      <t>Cálculo do valor: (SB x 0,52066%)/12  (cláusula 37 da CCT 2023/2025)</t>
    </r>
    <r>
      <rPr>
        <sz val="10"/>
        <color theme="1"/>
        <rFont val="Arial"/>
        <family val="2"/>
      </rPr>
      <t xml:space="preserve">
</t>
    </r>
    <r>
      <rPr>
        <b/>
        <i/>
        <sz val="8"/>
        <color theme="1"/>
        <rFont val="Arial"/>
        <family val="2"/>
      </rPr>
      <t xml:space="preserve">O valor cotado pelo licitante deve ser fixado na planilha e somente deve ser alterado mediante repactuação com comprovação do aumento. </t>
    </r>
  </si>
  <si>
    <r>
      <rPr>
        <sz val="10"/>
        <color theme="1"/>
        <rFont val="Arial"/>
        <family val="2"/>
      </rPr>
      <t xml:space="preserve">13º (décimo terceiro) Salário </t>
    </r>
    <r>
      <rPr>
        <sz val="10"/>
        <color theme="1"/>
        <rFont val="Arial"/>
        <family val="2"/>
      </rPr>
      <t>e Adicional de Férias</t>
    </r>
  </si>
  <si>
    <r>
      <rPr>
        <sz val="10"/>
        <color theme="1"/>
        <rFont val="Arial"/>
        <family val="2"/>
      </rPr>
      <t>Multa do FGTS sobre o Aviso PrévioTrabalhado e Aviso Prévio Indenizado</t>
    </r>
    <r>
      <rPr>
        <sz val="8"/>
        <color theme="1"/>
        <rFont val="Arial"/>
        <family val="2"/>
      </rPr>
      <t xml:space="preserve">Obrigatória a cotação de 4% sobre o valor do Módulo 1 – Composição da Remuneração1, conforme Anexo XII da IN Seges nº 5/2017 </t>
    </r>
  </si>
  <si>
    <r>
      <rPr>
        <b/>
        <sz val="11"/>
        <color theme="1"/>
        <rFont val="Arial"/>
        <family val="2"/>
      </rPr>
      <t xml:space="preserve">MÓD 2  </t>
    </r>
    <r>
      <rPr>
        <b/>
        <sz val="10"/>
        <color theme="1"/>
        <rFont val="Arial"/>
        <family val="2"/>
      </rPr>
      <t>(sem VA e VT)</t>
    </r>
    <r>
      <rPr>
        <b/>
        <sz val="11"/>
        <color theme="1"/>
        <rFont val="Arial"/>
        <family val="2"/>
      </rPr>
      <t xml:space="preserve"> +Férias =</t>
    </r>
  </si>
  <si>
    <r>
      <rPr>
        <sz val="12"/>
        <color theme="1"/>
        <rFont val="Arial"/>
        <family val="2"/>
      </rPr>
      <t xml:space="preserve">Substituto na cobertura de Ausências Legais 
</t>
    </r>
    <r>
      <rPr>
        <sz val="10"/>
        <color theme="1"/>
        <rFont val="Arial"/>
        <family val="2"/>
      </rPr>
      <t>Cálculo do valor = [(BCCPA/30)x1dia]/12</t>
    </r>
  </si>
  <si>
    <r>
      <rPr>
        <sz val="12"/>
        <color theme="1"/>
        <rFont val="Arial"/>
        <family val="2"/>
      </rPr>
      <t xml:space="preserve">Substituto na cobertura de Licença-Paternidade
</t>
    </r>
    <r>
      <rPr>
        <sz val="10"/>
        <color theme="1"/>
        <rFont val="Arial"/>
        <family val="2"/>
      </rPr>
      <t>Cálculo do valor = {[(BCCPA/30)x5dias]/12}x1,5%</t>
    </r>
  </si>
  <si>
    <r>
      <rPr>
        <sz val="12"/>
        <color theme="1"/>
        <rFont val="Arial"/>
        <family val="2"/>
      </rPr>
      <t xml:space="preserve">Substituto na cobertura de Ausência por acidente de trabalho
</t>
    </r>
    <r>
      <rPr>
        <sz val="8"/>
        <color theme="1"/>
        <rFont val="Arial"/>
        <family val="2"/>
      </rPr>
      <t>Cálculo do valor = [(BCCPA)/30x0,69dias]/12</t>
    </r>
  </si>
  <si>
    <r>
      <rPr>
        <sz val="12"/>
        <color theme="1"/>
        <rFont val="Arial"/>
        <family val="2"/>
      </rPr>
      <t xml:space="preserve">Substituto na cobertura de Afastamento Maternidade
</t>
    </r>
    <r>
      <rPr>
        <sz val="8"/>
        <color theme="1"/>
        <rFont val="Arial"/>
        <family val="2"/>
      </rPr>
      <t>Cálculo do valor = [((Férias + Férias / 3) + SUB2.2 x (Férias + Férias / 3)) x (4/12)] x 2% + [( FGTS x Rem + SUB 2.2 x 13º + SUB2.3 – VA – VT + MÓD3) x (4/12)] } x 2%     
Não incide Contribuição Previdenciária Patronal (INSS + 3ªs entidades) sobre a Remuneração da empregada residente nos 4 meses de Afastamento, conforme Solução de Consulta Cosit/RFB nº 27/2023, públicada na pág. 20 da Seção 1 do DOU de 09/02/2023. A Remuneração e o 13º da empregada residente poderão ser compensados, por isso não constam da fórmula.</t>
    </r>
  </si>
  <si>
    <r>
      <rPr>
        <sz val="10"/>
        <color theme="1"/>
        <rFont val="Arial"/>
        <family val="2"/>
      </rPr>
      <t xml:space="preserve">Substituto na cobertura de Ausência por doença 
Cálculo do valor = [(BCCPA)/30)x3dias]/12 </t>
    </r>
    <r>
      <rPr>
        <sz val="8"/>
        <color theme="1"/>
        <rFont val="Arial"/>
        <family val="2"/>
      </rPr>
      <t xml:space="preserve"> Incluído por permissão da IN Seges nº 5/2017, Anexo VII-B, item 1.7, alíneas "b" e "c".5.</t>
    </r>
  </si>
  <si>
    <r>
      <rPr>
        <sz val="10"/>
        <color theme="1"/>
        <rFont val="Arial"/>
        <family val="2"/>
      </rPr>
      <t xml:space="preserve">  a) Cofins </t>
    </r>
    <r>
      <rPr>
        <sz val="8"/>
        <color theme="1"/>
        <rFont val="Arial"/>
        <family val="2"/>
      </rPr>
      <t>(depende do regime de tributação - utilizada a hipótese de Lucro Real ou Presumido)</t>
    </r>
  </si>
  <si>
    <r>
      <rPr>
        <sz val="10"/>
        <color theme="1"/>
        <rFont val="Arial"/>
        <family val="2"/>
      </rPr>
      <t xml:space="preserve">  b) PIS       </t>
    </r>
    <r>
      <rPr>
        <sz val="9"/>
        <color theme="1"/>
        <rFont val="Arial"/>
        <family val="2"/>
      </rPr>
      <t>(depende do regime de tributação - utilizada a hipótese de Lucro Real ou Presumido)</t>
    </r>
  </si>
  <si>
    <r>
      <rPr>
        <sz val="10"/>
        <color theme="1"/>
        <rFont val="Arial"/>
        <family val="2"/>
      </rPr>
      <t xml:space="preserve"> c) IRPJ -</t>
    </r>
    <r>
      <rPr>
        <sz val="9"/>
        <color theme="1"/>
        <rFont val="Arial"/>
        <family val="2"/>
      </rPr>
      <t xml:space="preserve">  Em face dos Acórdãos TCU nºs 950/2007-P e 205/2018-P, o licitante não pode cotar expressamente este tributo.</t>
    </r>
  </si>
  <si>
    <r>
      <rPr>
        <sz val="10"/>
        <color theme="1"/>
        <rFont val="Arial"/>
        <family val="2"/>
      </rPr>
      <t xml:space="preserve"> d) CSLL - </t>
    </r>
    <r>
      <rPr>
        <sz val="9"/>
        <color theme="1"/>
        <rFont val="Arial"/>
        <family val="2"/>
      </rPr>
      <t xml:space="preserve"> Em face dos Acórdãos TCU nºs 950/2007-P e 205/2018-P, o licitante não pode cotar expressamente este tributo.</t>
    </r>
  </si>
  <si>
    <r>
      <rPr>
        <b/>
        <sz val="12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2. QUADRO-RESUMO DO CUSTO POR POSTO DE TRABALHO
</t>
    </r>
  </si>
  <si>
    <r>
      <rPr>
        <b/>
        <sz val="14"/>
        <color theme="1"/>
        <rFont val="Arial"/>
        <family val="2"/>
      </rPr>
      <t xml:space="preserve">Valor global da proposta </t>
    </r>
    <r>
      <rPr>
        <b/>
        <sz val="10"/>
        <color theme="1"/>
        <rFont val="Arial"/>
        <family val="2"/>
      </rPr>
      <t>(valor mensal do serviço x nº de meses do contrato)</t>
    </r>
  </si>
  <si>
    <r>
      <rPr>
        <b/>
        <sz val="10"/>
        <color rgb="FFFF0000"/>
        <rFont val="Arial"/>
        <family val="2"/>
      </rPr>
      <t xml:space="preserve">Valor do salárioxhora sem periculosidade - 
</t>
    </r>
    <r>
      <rPr>
        <b/>
        <sz val="10"/>
        <color rgb="FF0000FF"/>
        <rFont val="Arial"/>
        <family val="2"/>
      </rPr>
      <t>VSH (s/peri) = (Valor do salário normativo / 220 h)</t>
    </r>
  </si>
  <si>
    <r>
      <rPr>
        <b/>
        <sz val="10"/>
        <color rgb="FFFF0000"/>
        <rFont val="Arial"/>
        <family val="2"/>
      </rPr>
      <t xml:space="preserve">Valor da hora extra sem periculosidade com 50% 
</t>
    </r>
    <r>
      <rPr>
        <b/>
        <sz val="10"/>
        <color rgb="FF0000FF"/>
        <rFont val="Arial"/>
        <family val="2"/>
      </rPr>
      <t>HE (s/peri) = valor da hora + 50%</t>
    </r>
  </si>
  <si>
    <r>
      <rPr>
        <b/>
        <sz val="10"/>
        <color rgb="FFFF0000"/>
        <rFont val="Arial"/>
        <family val="2"/>
      </rPr>
      <t xml:space="preserve">Valor da hora do adicional noturno sem periculosidade
</t>
    </r>
    <r>
      <rPr>
        <b/>
        <sz val="10"/>
        <color rgb="FF0000FF"/>
        <rFont val="Arial"/>
        <family val="2"/>
      </rPr>
      <t>AN (s/peri) =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>valor da hora x 20%</t>
    </r>
  </si>
  <si>
    <r>
      <rPr>
        <b/>
        <sz val="10"/>
        <color theme="1"/>
        <rFont val="Arial"/>
        <family val="2"/>
      </rPr>
      <t xml:space="preserve">Adicional Noturno  </t>
    </r>
    <r>
      <rPr>
        <b/>
        <sz val="9"/>
        <color theme="1"/>
        <rFont val="Arial"/>
        <family val="2"/>
      </rPr>
      <t xml:space="preserve">sobre: 1) 7h de 60min p/dia + 2) 1,0 h reduzida noturna p/dia para o RS  </t>
    </r>
    <r>
      <rPr>
        <b/>
        <sz val="9"/>
        <color rgb="FFFF0000"/>
        <rFont val="Arial"/>
        <family val="2"/>
      </rPr>
      <t xml:space="preserve">Cálculo do valor: AN (s/peri) x </t>
    </r>
    <r>
      <rPr>
        <b/>
        <sz val="9"/>
        <color rgb="FF333399"/>
        <rFont val="Arial"/>
        <family val="2"/>
      </rPr>
      <t>1h</t>
    </r>
    <r>
      <rPr>
        <b/>
        <sz val="9"/>
        <color rgb="FF2300DC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x </t>
    </r>
    <r>
      <rPr>
        <b/>
        <sz val="9"/>
        <color rgb="FF333399"/>
        <rFont val="Arial"/>
        <family val="2"/>
      </rPr>
      <t>22d</t>
    </r>
    <r>
      <rPr>
        <b/>
        <sz val="9"/>
        <color rgb="FFFF0000"/>
        <rFont val="Arial"/>
        <family val="2"/>
      </rPr>
      <t xml:space="preserve"> x 1vig. </t>
    </r>
    <r>
      <rPr>
        <b/>
        <sz val="9"/>
        <color rgb="FF0000FF"/>
        <rFont val="Arial"/>
        <family val="2"/>
      </rPr>
      <t xml:space="preserve">Das 22h às 23h </t>
    </r>
    <r>
      <rPr>
        <b/>
        <sz val="9"/>
        <color theme="1"/>
        <rFont val="Arial"/>
        <family val="2"/>
      </rPr>
      <t xml:space="preserve"> (cláusulas 27 e 28 da CCT 2023/2025)</t>
    </r>
  </si>
  <si>
    <r>
      <rPr>
        <b/>
        <sz val="10"/>
        <color rgb="FF000000"/>
        <rFont val="Arial"/>
        <family val="2"/>
      </rPr>
      <t>Adicional de Hora Noturna Reduzida</t>
    </r>
    <r>
      <rPr>
        <b/>
        <sz val="10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(Hora Reduzida Noturna como Extra) Cálculo do valor: HE (s/peri) x 1h x (60/52,5-1)x 22 dias (</t>
    </r>
    <r>
      <rPr>
        <b/>
        <sz val="9"/>
        <color rgb="FF0000FF"/>
        <rFont val="Arial"/>
        <family val="2"/>
      </rPr>
      <t xml:space="preserve">Das 22h às 23h - de segunda a sexta-feira, exceto feriados) </t>
    </r>
    <r>
      <rPr>
        <b/>
        <sz val="9"/>
        <color rgb="FF000000"/>
        <rFont val="Arial"/>
        <family val="2"/>
      </rPr>
      <t>(cláusula 28 da CCT 2023/2025)</t>
    </r>
  </si>
  <si>
    <t>RSR (Repouso semanal remunerado) Cálculo do valor: 20% sobre os adicionais pertinentes (cláusula 32 da CCT 2023/2025)</t>
  </si>
  <si>
    <r>
      <rPr>
        <b/>
        <sz val="10"/>
        <color theme="1"/>
        <rFont val="Arial"/>
        <family val="2"/>
      </rPr>
      <t>Adicional de Periculosidade</t>
    </r>
    <r>
      <rPr>
        <b/>
        <sz val="10"/>
        <color rgb="FFFF0000"/>
        <rFont val="Arial"/>
        <family val="2"/>
      </rPr>
      <t xml:space="preserve"> (Lei nº 12.740/2012)    (30% das rubricas pertinentes) </t>
    </r>
    <r>
      <rPr>
        <b/>
        <sz val="10"/>
        <color theme="1"/>
        <rFont val="Arial"/>
        <family val="2"/>
      </rPr>
      <t>(cláusula 29 da CCT 2023/2025)</t>
    </r>
  </si>
  <si>
    <r>
      <rPr>
        <b/>
        <sz val="14"/>
        <color theme="1"/>
        <rFont val="Arial"/>
        <family val="2"/>
      </rPr>
      <t xml:space="preserve">Remuneração 2 = Total da Remuneração que o empregado irá receber- </t>
    </r>
    <r>
      <rPr>
        <b/>
        <sz val="11"/>
        <color rgb="FF0000FF"/>
        <rFont val="Arial"/>
        <family val="2"/>
      </rPr>
      <t>Valor entra nos seguintes cálculos: Item 2, "A" - Quadro-Resumo do Custo por Posto de Trabalho, Custos Indiretos, Lucro e Tributos.</t>
    </r>
  </si>
  <si>
    <r>
      <rPr>
        <b/>
        <sz val="11"/>
        <color rgb="FF000000"/>
        <rFont val="Arial"/>
        <family val="2"/>
      </rPr>
      <t xml:space="preserve">Submódulo 2.1 – 13º (décimo terceiro) Salário </t>
    </r>
    <r>
      <rPr>
        <b/>
        <sz val="11"/>
        <color rgb="FF000000"/>
        <rFont val="Arial"/>
        <family val="2"/>
      </rPr>
      <t>e Adicional de Férias</t>
    </r>
  </si>
  <si>
    <r>
      <rPr>
        <b/>
        <sz val="11"/>
        <color rgb="FF000000"/>
        <rFont val="Arial"/>
        <family val="2"/>
      </rPr>
      <t xml:space="preserve">13º (décimo terceiro) Salário </t>
    </r>
    <r>
      <rPr>
        <b/>
        <sz val="11"/>
        <color rgb="FF000000"/>
        <rFont val="Arial"/>
        <family val="2"/>
      </rPr>
      <t>e Adicional de Férias</t>
    </r>
  </si>
  <si>
    <r>
      <rPr>
        <b/>
        <sz val="10"/>
        <color rgb="FF000000"/>
        <rFont val="Arial"/>
        <family val="2"/>
      </rPr>
      <t>13º (décimo terceiro) Salário</t>
    </r>
    <r>
      <rPr>
        <b/>
        <sz val="11"/>
        <color rgb="FF00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Obrigatória a cotação de 8,33% sobre o valor do Módulo 1 – Composição da Remuneração1, conforme Anexo XII da IN 5/17</t>
    </r>
  </si>
  <si>
    <r>
      <rPr>
        <sz val="9"/>
        <color theme="1"/>
        <rFont val="Arial"/>
        <family val="2"/>
      </rPr>
      <t xml:space="preserve">Nota 1:  Como a planilha de custos e formação de preços é calculada mensalmente, provisiona-se proporcionalmente 1/12 (um doze avos) dos valores referentes à gratificação natalina e adicional de férias.
</t>
    </r>
    <r>
      <rPr>
        <b/>
        <strike/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Nota 2: O adicional de férias contido no Submódulo 2.1 corresponde a 3,025% do Módulo 1, em face do Anexo XII da IN nº 5/2017 exigir 12,10% no somatório de Férias + 1/3 de Férias (9,075% + 3,025%).</t>
    </r>
    <r>
      <rPr>
        <strike/>
        <sz val="9"/>
        <color theme="1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</si>
  <si>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 xml:space="preserve">RAT x FAP 
</t>
    </r>
    <r>
      <rPr>
        <b/>
        <sz val="7"/>
        <color rgb="FFFF0000"/>
        <rFont val="Arial"/>
        <family val="2"/>
      </rPr>
      <t>Cálculo do valor: % do RAT (Riscos Ambientais do Trabalho) x FAP (Fator Acidentário de Prevenção de cada empresa)</t>
    </r>
  </si>
  <si>
    <r>
      <rPr>
        <b/>
        <sz val="10"/>
        <color theme="1"/>
        <rFont val="Arial"/>
        <family val="2"/>
      </rPr>
      <t xml:space="preserve">Transporte                                                          </t>
    </r>
    <r>
      <rPr>
        <b/>
        <sz val="10"/>
        <color rgb="FFFF0000"/>
        <rFont val="Arial"/>
        <family val="2"/>
      </rPr>
      <t>Cálculo do valor: [(2xVTx22) – (6%xSB)]</t>
    </r>
  </si>
  <si>
    <r>
      <rPr>
        <b/>
        <sz val="10"/>
        <color theme="1"/>
        <rFont val="Arial"/>
        <family val="2"/>
      </rPr>
      <t xml:space="preserve">     </t>
    </r>
    <r>
      <rPr>
        <b/>
        <sz val="10"/>
        <color rgb="FFFF0000"/>
        <rFont val="Arial"/>
        <family val="2"/>
      </rPr>
      <t>A.2) Quantidade de passagens por dia por empregado</t>
    </r>
  </si>
  <si>
    <r>
      <rPr>
        <b/>
        <sz val="10"/>
        <color rgb="FFFF0000"/>
        <rFont val="Arial"/>
        <family val="2"/>
      </rPr>
      <t xml:space="preserve">     A.4) Participação do empregado em percentual do salário-base </t>
    </r>
    <r>
      <rPr>
        <b/>
        <sz val="10"/>
        <color rgb="FFFF0000"/>
        <rFont val="Arial"/>
        <family val="2"/>
      </rPr>
      <t>(cláusula 35 da CCT 2023/2025)</t>
    </r>
  </si>
  <si>
    <r>
      <rPr>
        <b/>
        <sz val="10"/>
        <color theme="1"/>
        <rFont val="Arial"/>
        <family val="2"/>
      </rPr>
      <t xml:space="preserve">Auxílio-Refeição/Alimentação  </t>
    </r>
    <r>
      <rPr>
        <b/>
        <sz val="10"/>
        <color rgb="FFFF0000"/>
        <rFont val="Arial"/>
        <family val="2"/>
      </rPr>
      <t>Cálculo do valor = [(22xVA)x(1-0,20)]</t>
    </r>
  </si>
  <si>
    <r>
      <rPr>
        <b/>
        <sz val="10"/>
        <color theme="1"/>
        <rFont val="Arial"/>
        <family val="2"/>
      </rPr>
      <t xml:space="preserve">     </t>
    </r>
    <r>
      <rPr>
        <b/>
        <sz val="10"/>
        <color rgb="FFFF0000"/>
        <rFont val="Arial"/>
        <family val="2"/>
      </rPr>
      <t>B.2) Quantidade de dias do mês de recebimento de auxílio-alimentação</t>
    </r>
  </si>
  <si>
    <r>
      <rPr>
        <b/>
        <sz val="10"/>
        <color theme="1"/>
        <rFont val="Arial"/>
        <family val="2"/>
      </rPr>
      <t xml:space="preserve">Seguro de Vida </t>
    </r>
    <r>
      <rPr>
        <b/>
        <sz val="9"/>
        <color rgb="FFFF0000"/>
        <rFont val="Arial"/>
        <family val="2"/>
      </rPr>
      <t xml:space="preserve">Cálculo do valor: 26 x Rem x 0,023%  </t>
    </r>
    <r>
      <rPr>
        <b/>
        <sz val="9"/>
        <color theme="1"/>
        <rFont val="Arial"/>
        <family val="2"/>
      </rPr>
      <t xml:space="preserve"> (cláusula 38 da CCT 2023/2025)</t>
    </r>
    <r>
      <rPr>
        <b/>
        <sz val="10"/>
        <color theme="1"/>
        <rFont val="Arial"/>
        <family val="2"/>
      </rPr>
      <t xml:space="preserve">
</t>
    </r>
    <r>
      <rPr>
        <b/>
        <sz val="8"/>
        <color rgb="FF0000FF"/>
        <rFont val="Arial"/>
        <family val="2"/>
      </rPr>
      <t xml:space="preserve">O valor cotado pelo licitante deve ser fixado na planilha e somente deve ser alterado mediante repactuação com comprovação do aumento. </t>
    </r>
  </si>
  <si>
    <r>
      <rPr>
        <b/>
        <sz val="10"/>
        <color rgb="FF000000"/>
        <rFont val="Arial"/>
        <family val="2"/>
      </rPr>
      <t xml:space="preserve">13º (décimo terceiro) Salário </t>
    </r>
    <r>
      <rPr>
        <b/>
        <strike/>
        <sz val="10"/>
        <color rgb="FFFF3300"/>
        <rFont val="Arial"/>
        <family val="2"/>
      </rPr>
      <t>(Férias???)</t>
    </r>
    <r>
      <rPr>
        <b/>
        <sz val="10"/>
        <color rgb="FF009933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e Adicional de Férias</t>
    </r>
  </si>
  <si>
    <r>
      <rPr>
        <b/>
        <sz val="10"/>
        <color theme="1"/>
        <rFont val="Arial"/>
        <family val="2"/>
      </rPr>
      <t>Multa do FGTS sobre o Aviso PrévioTrabalhado e Aviso Prévio Indenizado</t>
    </r>
    <r>
      <rPr>
        <b/>
        <sz val="8"/>
        <color rgb="FFFF0000"/>
        <rFont val="Arial"/>
        <family val="2"/>
      </rPr>
      <t xml:space="preserve">Obrigatória a cotação de 4% sobre o valor do Módulo 1 – Composição da Remuneração1, conforme Anexo XII da IN Seges nº 5/2017 </t>
    </r>
  </si>
  <si>
    <r>
      <rPr>
        <b/>
        <sz val="11"/>
        <color theme="1"/>
        <rFont val="Arial"/>
        <family val="2"/>
      </rPr>
      <t>Base de cálculo para o Custo de Reposição do Profissional Ausente (substituto): BCCPA = MÓDULO 1 (= a Rem1) + MÓDULO 2 (- VA - VT) + FÉRIAS + MÓDULO 3</t>
    </r>
    <r>
      <rPr>
        <b/>
        <sz val="11"/>
        <color rgb="FFFF0000"/>
        <rFont val="Arial"/>
        <family val="2"/>
      </rPr>
      <t xml:space="preserve">  - exceto o Substituto na cobertura de Férias e o Afastamento Maternidade, sendo que neste último a Rem e o 13º podem ser compensados pelo INSS, ambos com base de cálculo própria, conforme consta nesses itens de custo.</t>
    </r>
  </si>
  <si>
    <r>
      <rPr>
        <b/>
        <sz val="11"/>
        <color rgb="FF0000FF"/>
        <rFont val="Arial"/>
        <family val="2"/>
      </rPr>
      <t xml:space="preserve">MÓD 2  </t>
    </r>
    <r>
      <rPr>
        <b/>
        <sz val="10"/>
        <color rgb="FFFF0000"/>
        <rFont val="Arial"/>
        <family val="2"/>
      </rPr>
      <t>(sem VA e VT)</t>
    </r>
    <r>
      <rPr>
        <b/>
        <sz val="11"/>
        <color rgb="FF0000FF"/>
        <rFont val="Arial"/>
        <family val="2"/>
      </rPr>
      <t xml:space="preserve"> +Férias =</t>
    </r>
  </si>
  <si>
    <r>
      <rPr>
        <b/>
        <sz val="10"/>
        <color rgb="FF000000"/>
        <rFont val="Arial"/>
        <family val="2"/>
      </rPr>
      <t xml:space="preserve">Substituto na cobertura de Férias  </t>
    </r>
    <r>
      <rPr>
        <b/>
        <sz val="10"/>
        <color rgb="FFFF0000"/>
        <rFont val="Arial"/>
        <family val="2"/>
      </rPr>
      <t xml:space="preserve">Obrigatória a cotação de 9,075% sobre o valor do Módulo 1 - Composição da Remuneração, </t>
    </r>
    <r>
      <rPr>
        <b/>
        <sz val="10"/>
        <color rgb="FF0066CC"/>
        <rFont val="Arial"/>
        <family val="2"/>
      </rPr>
      <t xml:space="preserve">mais </t>
    </r>
    <r>
      <rPr>
        <b/>
        <sz val="10"/>
        <color rgb="FFFF0000"/>
        <rFont val="Arial"/>
        <family val="2"/>
      </rPr>
      <t>o percentual do Submódulo 2.2 sobre o cálculo anterior, conforme Anexo XII da IN 5/17 (Férias + Adicional = 12,10% = 9,075% + 3,025%)</t>
    </r>
  </si>
  <si>
    <r>
      <rPr>
        <b/>
        <sz val="12"/>
        <color rgb="FF000000"/>
        <rFont val="Arial"/>
        <family val="2"/>
      </rPr>
      <t xml:space="preserve">Substituto na cobertura de Ausências Legais 
</t>
    </r>
    <r>
      <rPr>
        <b/>
        <sz val="10"/>
        <color rgb="FFFF0000"/>
        <rFont val="Arial"/>
        <family val="2"/>
      </rPr>
      <t>Cálculo do valor = [(</t>
    </r>
    <r>
      <rPr>
        <b/>
        <sz val="10"/>
        <color rgb="FF0000FF"/>
        <rFont val="Arial"/>
        <family val="2"/>
      </rPr>
      <t>BCCPA</t>
    </r>
    <r>
      <rPr>
        <b/>
        <sz val="10"/>
        <color rgb="FFFF0000"/>
        <rFont val="Arial"/>
        <family val="2"/>
      </rPr>
      <t>/30)x1dia]/12</t>
    </r>
  </si>
  <si>
    <r>
      <rPr>
        <b/>
        <sz val="12"/>
        <color rgb="FF000000"/>
        <rFont val="Arial"/>
        <family val="2"/>
      </rPr>
      <t xml:space="preserve">Substituto na cobertura de Licença-Paternidade
</t>
    </r>
    <r>
      <rPr>
        <b/>
        <sz val="10"/>
        <color rgb="FFFF0000"/>
        <rFont val="Arial"/>
        <family val="2"/>
      </rPr>
      <t>Cálculo do valor = {[(</t>
    </r>
    <r>
      <rPr>
        <b/>
        <sz val="10"/>
        <color rgb="FF0000FF"/>
        <rFont val="Arial"/>
        <family val="2"/>
      </rPr>
      <t>BCCPA</t>
    </r>
    <r>
      <rPr>
        <b/>
        <sz val="10"/>
        <color rgb="FFFF0000"/>
        <rFont val="Arial"/>
        <family val="2"/>
      </rPr>
      <t>/30)x5dias]/12}x1,5%</t>
    </r>
  </si>
  <si>
    <r>
      <rPr>
        <b/>
        <sz val="12"/>
        <color rgb="FF000000"/>
        <rFont val="Arial"/>
        <family val="2"/>
      </rPr>
      <t xml:space="preserve">Substituto na cobertura de Ausência por acidente de trabalho
</t>
    </r>
    <r>
      <rPr>
        <b/>
        <sz val="8"/>
        <color rgb="FFFF0000"/>
        <rFont val="Arial"/>
        <family val="2"/>
      </rPr>
      <t>Cálculo do valor = [(BCCPA)/30x0,69dias]/12</t>
    </r>
  </si>
  <si>
    <r>
      <rPr>
        <b/>
        <sz val="12"/>
        <color rgb="FF000000"/>
        <rFont val="Arial"/>
        <family val="2"/>
      </rPr>
      <t xml:space="preserve">Substituto na cobertura de Afastamento Maternidade
</t>
    </r>
    <r>
      <rPr>
        <b/>
        <sz val="8"/>
        <color rgb="FFFF0000"/>
        <rFont val="Arial"/>
        <family val="2"/>
      </rPr>
      <t>Cálculo do valor = [((Férias + Férias / 3) + SUB2.2 x (Férias + Férias / 3)) x (4/12)] x 2% + [( FGTS x Rem + SUB 2.2 x 13º</t>
    </r>
    <r>
      <rPr>
        <b/>
        <sz val="8"/>
        <color rgb="FF0000CC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 xml:space="preserve">+ SUB2.3 – VA – VT + MÓD3) x (4/12)] } x 2%     
</t>
    </r>
    <r>
      <rPr>
        <b/>
        <sz val="8"/>
        <color rgb="FF0000FF"/>
        <rFont val="Arial"/>
        <family val="2"/>
      </rPr>
      <t>Não incide Contribuição Previdenciária Patronal (INSS + 3ªs entidades) sobre a Remuneração da empregada residente nos 4 meses de Afastamento, conforme Solução de Consulta Cosit/RFB nº 27/2023, públicada na pág. 20 da Seção 1 do DOU de 09/02/2023. A Remuneração e o 13º da empregada residente poderão ser compensados, por isso não constam da fórmula.</t>
    </r>
  </si>
  <si>
    <r>
      <rPr>
        <b/>
        <sz val="10"/>
        <color theme="1"/>
        <rFont val="Arial"/>
        <family val="2"/>
      </rPr>
      <t>Substituto na cobertura de Ausência por doença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Cálculo do valor = [(</t>
    </r>
    <r>
      <rPr>
        <b/>
        <sz val="10"/>
        <color rgb="FF0000FF"/>
        <rFont val="Arial"/>
        <family val="2"/>
      </rPr>
      <t>BCCPA</t>
    </r>
    <r>
      <rPr>
        <b/>
        <sz val="10"/>
        <color rgb="FFFF0000"/>
        <rFont val="Arial"/>
        <family val="2"/>
      </rPr>
      <t xml:space="preserve">)/30)x3dias]/12 </t>
    </r>
    <r>
      <rPr>
        <b/>
        <sz val="8"/>
        <color rgb="FF0000FF"/>
        <rFont val="Arial"/>
        <family val="2"/>
      </rPr>
      <t xml:space="preserve"> Incluído por permissão da IN Seges nº 5/2017, Anexo VII-B, item 1.7, alíneas "b" e "c".5.</t>
    </r>
  </si>
  <si>
    <r>
      <rPr>
        <sz val="10"/>
        <color theme="1"/>
        <rFont val="Arial"/>
        <family val="2"/>
      </rPr>
      <t xml:space="preserve">  </t>
    </r>
    <r>
      <rPr>
        <b/>
        <sz val="10"/>
        <color theme="1"/>
        <rFont val="Arial"/>
        <family val="2"/>
      </rPr>
      <t xml:space="preserve">a) Cofins </t>
    </r>
    <r>
      <rPr>
        <sz val="8"/>
        <color rgb="FFFF0000"/>
        <rFont val="Arial"/>
        <family val="2"/>
      </rPr>
      <t>(depende do regime de tributação - utilizada a hipótese de Lucro Real ou Presumido)</t>
    </r>
  </si>
  <si>
    <r>
      <rPr>
        <sz val="10"/>
        <color theme="1"/>
        <rFont val="Arial"/>
        <family val="2"/>
      </rPr>
      <t xml:space="preserve">  </t>
    </r>
    <r>
      <rPr>
        <b/>
        <sz val="10"/>
        <color theme="1"/>
        <rFont val="Arial"/>
        <family val="2"/>
      </rPr>
      <t xml:space="preserve">b) PIS       </t>
    </r>
    <r>
      <rPr>
        <sz val="9"/>
        <color rgb="FFFF0000"/>
        <rFont val="Arial"/>
        <family val="2"/>
      </rPr>
      <t>(depende do regime de tributação - utilizada a hipótese de Lucro Real ou Presumido)</t>
    </r>
  </si>
  <si>
    <r>
      <rPr>
        <b/>
        <sz val="10"/>
        <color theme="1"/>
        <rFont val="Arial"/>
        <family val="2"/>
      </rPr>
      <t xml:space="preserve"> c) IRPJ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rgb="FF0000CC"/>
        <rFont val="Arial"/>
        <family val="2"/>
      </rPr>
      <t>-</t>
    </r>
    <r>
      <rPr>
        <b/>
        <sz val="9"/>
        <color rgb="FF0000CC"/>
        <rFont val="Arial"/>
        <family val="2"/>
      </rPr>
      <t xml:space="preserve">  Em face dos Acórdãos TCU nºs 950/2007-P e 205/2018-P, o licitante não pode cotar expressamente este tributo.</t>
    </r>
  </si>
  <si>
    <r>
      <rPr>
        <b/>
        <sz val="10"/>
        <color theme="1"/>
        <rFont val="Arial"/>
        <family val="2"/>
      </rPr>
      <t xml:space="preserve"> d) CSLL </t>
    </r>
    <r>
      <rPr>
        <b/>
        <sz val="10"/>
        <color rgb="FF0000CC"/>
        <rFont val="Arial"/>
        <family val="2"/>
      </rPr>
      <t xml:space="preserve">- </t>
    </r>
    <r>
      <rPr>
        <b/>
        <sz val="9"/>
        <color rgb="FF0000CC"/>
        <rFont val="Arial"/>
        <family val="2"/>
      </rPr>
      <t xml:space="preserve"> Em face dos Acórdãos TCU nºs 950/2007-P e 205/2018-P, o licitante não pode cotar expressamente este tributo.</t>
    </r>
  </si>
  <si>
    <r>
      <rPr>
        <b/>
        <sz val="12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2. QUADRO-RESUMO DO CUSTO POR POSTO DE TRABALHO
</t>
    </r>
  </si>
  <si>
    <r>
      <rPr>
        <b/>
        <sz val="14"/>
        <color theme="1"/>
        <rFont val="Arial"/>
        <family val="2"/>
      </rPr>
      <t xml:space="preserve">Valor global da proposta </t>
    </r>
    <r>
      <rPr>
        <b/>
        <sz val="10"/>
        <color theme="1"/>
        <rFont val="Arial"/>
        <family val="2"/>
      </rPr>
      <t>(valor mensal do serviço x nº de meses do contrato)</t>
    </r>
  </si>
  <si>
    <r>
      <rPr>
        <b/>
        <sz val="10"/>
        <color theme="1"/>
        <rFont val="Arial"/>
        <family val="2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  <family val="2"/>
      </rPr>
      <t>item 6.5.4.e do edital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</si>
  <si>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theme="1"/>
        <rFont val="Arial"/>
        <family val="2"/>
      </rPr>
      <t xml:space="preserve">MATERIAIS, MÁQUINAS E EQUIPAMENTOS ALOCADOS NA EXECUÇÃO CONTRATUAL (item 6.2.f do Anexo VII da IN nº 5/2017  e </t>
    </r>
    <r>
      <rPr>
        <b/>
        <sz val="10"/>
        <color rgb="FFFF0000"/>
        <rFont val="Arial"/>
        <family val="2"/>
      </rPr>
      <t>item 6.5.4.f do edital</t>
    </r>
    <r>
      <rPr>
        <b/>
        <sz val="10"/>
        <color rgb="FF000000"/>
        <rFont val="Arial"/>
        <family val="2"/>
      </rPr>
      <t>)</t>
    </r>
  </si>
  <si>
    <t>Tabela 1 – UNIFORMES</t>
  </si>
  <si>
    <t>Qte. por vigilante</t>
  </si>
  <si>
    <t>Valor Unitário</t>
  </si>
  <si>
    <t>Valor Total</t>
  </si>
  <si>
    <t>Calça social preta (sarja).</t>
  </si>
  <si>
    <t>Camisa social de mangas longas (algodão).</t>
  </si>
  <si>
    <t>Camisa social de mangas curtas (algodão).</t>
  </si>
  <si>
    <t>Cinto social (couro).</t>
  </si>
  <si>
    <t>Sapatos social couro (par).</t>
  </si>
  <si>
    <t>Meias algodão cor preta (par).</t>
  </si>
  <si>
    <t>Jaqueta de naylon gola alta,, forrada, com zíper de nylon, 2 bolsos embutidos externos e 1 interno.</t>
  </si>
  <si>
    <t>Capa de Chuva com Capuz, reforçada, impermeável.</t>
  </si>
  <si>
    <t>Capas para coletes balísticos</t>
  </si>
  <si>
    <t>Crachá ou Plaqueta de Identificação</t>
  </si>
  <si>
    <t>Quant.</t>
  </si>
  <si>
    <t>Depreciação (anos)</t>
  </si>
  <si>
    <t>Revólver calibre 38</t>
  </si>
  <si>
    <t>Munição (blister com 10 cartuchos)</t>
  </si>
  <si>
    <t>Coldre</t>
  </si>
  <si>
    <t>Cassetete</t>
  </si>
  <si>
    <t>Apito+cordão</t>
  </si>
  <si>
    <t>Livro de ocorrências (livro ata).</t>
  </si>
  <si>
    <t>Rádio HT (Bateria recarregável)</t>
  </si>
  <si>
    <t>Bastão de ronda + bótons.</t>
  </si>
  <si>
    <t>Forno de Microondas com capac. Mínima de 34 litros (220v).</t>
  </si>
  <si>
    <t>Custo Anual por posto</t>
  </si>
  <si>
    <t>Protetor solar fator 50 (frasco 200ml)</t>
  </si>
  <si>
    <t>Bota de borracha (PAR)</t>
  </si>
  <si>
    <t>Custo total por vigilante</t>
  </si>
  <si>
    <t>Valor Mensal</t>
  </si>
  <si>
    <t>Apropriação (ano)</t>
  </si>
  <si>
    <t xml:space="preserve">Tabela 2 – EQUIPAMENTOS (12x36) </t>
  </si>
  <si>
    <t>Valor (unitário)</t>
  </si>
  <si>
    <t>Colete Balístico Nível III-A.</t>
  </si>
  <si>
    <t>Valor (Ano)</t>
  </si>
  <si>
    <t>Cofre eletrônico para guarda de armas</t>
  </si>
  <si>
    <t>Relógio Ponto Eletrônico biométrico</t>
  </si>
  <si>
    <t>Frigobar capac. Mínima, 79 litros (220v)</t>
  </si>
  <si>
    <t xml:space="preserve">Tabela 3 – EQUIPAMENTOS (40h) </t>
  </si>
  <si>
    <t xml:space="preserve">Custo Anual </t>
  </si>
  <si>
    <t xml:space="preserve">Tabela 4 – Demais equipamentos (do contrato) </t>
  </si>
  <si>
    <t>Valor mensal por vigilante</t>
  </si>
  <si>
    <t>Custo Mensal Equipamentos</t>
  </si>
  <si>
    <r>
      <t>Outros (</t>
    </r>
    <r>
      <rPr>
        <b/>
        <sz val="10"/>
        <color rgb="FFFF0000"/>
        <rFont val="Arial"/>
        <family val="2"/>
      </rPr>
      <t>relógio ponto, cofre, frigobar e microondas</t>
    </r>
    <r>
      <rPr>
        <sz val="9"/>
        <color theme="1"/>
        <rFont val="Arial"/>
        <family val="2"/>
      </rPr>
      <t xml:space="preserve">) </t>
    </r>
    <r>
      <rPr>
        <b/>
        <sz val="9"/>
        <color theme="1"/>
        <rFont val="Arial"/>
        <family val="2"/>
      </rPr>
      <t>Cálculo:</t>
    </r>
    <r>
      <rPr>
        <sz val="9"/>
        <color theme="1"/>
        <rFont val="Arial"/>
        <family val="2"/>
      </rPr>
      <t xml:space="preserve"> </t>
    </r>
    <r>
      <rPr>
        <b/>
        <i/>
        <sz val="9"/>
        <color rgb="FFFF0000"/>
        <rFont val="Arial"/>
        <family val="2"/>
      </rPr>
      <t>Custo mensal por vigilante x 2 viglilantes.</t>
    </r>
  </si>
  <si>
    <r>
      <t>Outros (</t>
    </r>
    <r>
      <rPr>
        <b/>
        <sz val="10"/>
        <color rgb="FFFF0000"/>
        <rFont val="Arial"/>
        <family val="2"/>
      </rPr>
      <t>relógio ponto, cofre, frigobar e microondas</t>
    </r>
    <r>
      <rPr>
        <sz val="9"/>
        <color theme="1"/>
        <rFont val="Arial"/>
        <family val="2"/>
      </rPr>
      <t xml:space="preserve">) </t>
    </r>
    <r>
      <rPr>
        <b/>
        <sz val="9"/>
        <color theme="1"/>
        <rFont val="Arial"/>
        <family val="2"/>
      </rPr>
      <t>Cálculo:</t>
    </r>
    <r>
      <rPr>
        <sz val="9"/>
        <color theme="1"/>
        <rFont val="Arial"/>
        <family val="2"/>
      </rPr>
      <t xml:space="preserve"> </t>
    </r>
    <r>
      <rPr>
        <b/>
        <i/>
        <sz val="9"/>
        <color rgb="FFFF0000"/>
        <rFont val="Arial"/>
        <family val="2"/>
      </rPr>
      <t>Custo mensal por vigilante x 1 viglilante.</t>
    </r>
  </si>
  <si>
    <t xml:space="preserve">Custo Mensal por posto </t>
  </si>
  <si>
    <t>CUSTO POR VIGILANTE</t>
  </si>
  <si>
    <t>LOCAL</t>
  </si>
  <si>
    <t>JORNADA</t>
  </si>
  <si>
    <t>ESTIMADO</t>
  </si>
  <si>
    <t>APROPRIADO</t>
  </si>
  <si>
    <t>12x36 D</t>
  </si>
  <si>
    <t>12x36 N</t>
  </si>
  <si>
    <t>TOTAIS</t>
  </si>
  <si>
    <t>Nº/POSTOS</t>
  </si>
  <si>
    <t>Nº/VIGILANTES</t>
  </si>
  <si>
    <r>
      <rPr>
        <b/>
        <sz val="9"/>
        <color rgb="FF000000"/>
        <rFont val="Arial"/>
        <family val="2"/>
      </rPr>
      <t>OBS.1.:</t>
    </r>
    <r>
      <rPr>
        <sz val="9"/>
        <color rgb="FF000000"/>
        <rFont val="Arial"/>
        <family val="2"/>
      </rPr>
      <t xml:space="preserve"> os equipamentos são compartilhados entre os postos de trabalho com jornada de 12x36h Diurnos e Noturnos e posto de 40h .</t>
    </r>
  </si>
  <si>
    <t>Custo Mensal por posto</t>
  </si>
  <si>
    <r>
      <t xml:space="preserve">Materiais / Equipamentos </t>
    </r>
    <r>
      <rPr>
        <b/>
        <sz val="10"/>
        <color rgb="FF0000FF"/>
        <rFont val="Arial"/>
        <family val="2"/>
      </rPr>
      <t>(Custo por posto)</t>
    </r>
  </si>
  <si>
    <t>40h/sem (das 7h às 15h)</t>
  </si>
  <si>
    <t>40h/sem (das 15h às 23h)</t>
  </si>
  <si>
    <r>
      <rPr>
        <b/>
        <sz val="9"/>
        <color rgb="FF000000"/>
        <rFont val="Arial"/>
        <family val="2"/>
      </rPr>
      <t>OBS.2.:</t>
    </r>
    <r>
      <rPr>
        <sz val="9"/>
        <color rgb="FF000000"/>
        <rFont val="Arial"/>
        <family val="2"/>
      </rPr>
      <t xml:space="preserve"> os equipamentos da tabela de nº 4 foram provisionados para o contrato, considerando 6 (seis) vigilantes.</t>
    </r>
  </si>
  <si>
    <r>
      <t xml:space="preserve">Considerando o compartilhamento dos equipamentos do posto entre os vigilantes do turno </t>
    </r>
    <r>
      <rPr>
        <b/>
        <sz val="10"/>
        <color rgb="FF000000"/>
        <rFont val="Arial"/>
        <family val="2"/>
      </rPr>
      <t xml:space="preserve">Diurno (40h) </t>
    </r>
    <r>
      <rPr>
        <sz val="10"/>
        <color rgb="FF000000"/>
        <rFont val="Arial"/>
        <family val="2"/>
      </rPr>
      <t xml:space="preserve">o Custo Mensal por Vigilante (R$):  </t>
    </r>
  </si>
  <si>
    <r>
      <t xml:space="preserve">Considerando o compartilhamento dos equipamentos do posto entre os vigilantes do turno </t>
    </r>
    <r>
      <rPr>
        <b/>
        <sz val="10"/>
        <color rgb="FF000000"/>
        <rFont val="Arial"/>
        <family val="2"/>
      </rPr>
      <t>Diurno</t>
    </r>
    <r>
      <rPr>
        <sz val="10"/>
        <color rgb="FF000000"/>
        <rFont val="Arial"/>
        <family val="2"/>
      </rPr>
      <t xml:space="preserve"> e </t>
    </r>
    <r>
      <rPr>
        <b/>
        <sz val="10"/>
        <color rgb="FF000000"/>
        <rFont val="Arial"/>
        <family val="2"/>
      </rPr>
      <t>Noturno (12x36),</t>
    </r>
    <r>
      <rPr>
        <sz val="10"/>
        <color rgb="FF000000"/>
        <rFont val="Arial"/>
        <family val="2"/>
      </rPr>
      <t xml:space="preserve"> exceto no posto 40h, o Custo Mensal por Vigilante (R$):  </t>
    </r>
  </si>
  <si>
    <r>
      <t xml:space="preserve">Submódulo 2.2 - Encargos Previdenciários (GPS), Fundo de Garantia por Tempo de Serviço (FGTS) e outras contribuições  </t>
    </r>
    <r>
      <rPr>
        <b/>
        <sz val="11"/>
        <color rgb="FF0000FF"/>
        <rFont val="Arial"/>
        <family val="2"/>
      </rPr>
      <t xml:space="preserve">(Base de Cálculo = Módulo 1 (Rem1) + Submódulo 2.1) </t>
    </r>
  </si>
  <si>
    <r>
      <t xml:space="preserve">Submódulo 2.2 - Encargos Previdenciários (GPS), Fundo de Garantia por Tempo de Serviço (FGTS) e outras contribuições  </t>
    </r>
    <r>
      <rPr>
        <sz val="11"/>
        <color rgb="FF000000"/>
        <rFont val="Arial"/>
        <family val="2"/>
      </rPr>
      <t>(Base de Cálculo = Módulo 1 (Rem1) + Submódulo 2.1)</t>
    </r>
  </si>
  <si>
    <r>
      <t xml:space="preserve">Submódulo 2.2 - Encargos Previdenciários (GPS), Fundo de Garantia por Tempo de Serviço (FGTS) e outras contribuições  </t>
    </r>
    <r>
      <rPr>
        <b/>
        <sz val="11"/>
        <color rgb="FF0000FF"/>
        <rFont val="Arial"/>
        <family val="2"/>
      </rPr>
      <t>(Base de Cálculo = Módulo 1 (Rem1) + Submódulo 2.1)</t>
    </r>
  </si>
  <si>
    <t>Lanterna tática Cree Led (carregador bivolt)</t>
  </si>
  <si>
    <r>
      <t xml:space="preserve">Submódulo 2.2 - Encargos Previdenciários (GPS), Fundo de Garantia por Tempo de Serviço (FGTS) e outras contribuições  </t>
    </r>
    <r>
      <rPr>
        <sz val="11"/>
        <color rgb="FF000000"/>
        <rFont val="Arial"/>
        <family val="2"/>
      </rPr>
      <t>(</t>
    </r>
    <r>
      <rPr>
        <b/>
        <sz val="11"/>
        <color rgb="FFFF0000"/>
        <rFont val="Arial"/>
        <family val="2"/>
      </rPr>
      <t>Base de Cálculo</t>
    </r>
    <r>
      <rPr>
        <sz val="11"/>
        <color rgb="FF000000"/>
        <rFont val="Arial"/>
        <family val="2"/>
      </rPr>
      <t xml:space="preserve"> = Módulo 1 (Rem1) + Submódulo 2.1)</t>
    </r>
  </si>
  <si>
    <t>Verba de natureza indenizatória na qual não incide INSS, FGTS, FÉRIAS, 13º,etc.</t>
  </si>
  <si>
    <t>23361.000042/2024-22</t>
  </si>
  <si>
    <t>2/2024</t>
  </si>
  <si>
    <t>Processo n°: 23361.000042/2024-22</t>
  </si>
  <si>
    <r>
      <t xml:space="preserve">  a) ISS (Lei Ord. </t>
    </r>
    <r>
      <rPr>
        <b/>
        <sz val="10"/>
        <color rgb="FFFF0000"/>
        <rFont val="Arial"/>
        <family val="2"/>
      </rPr>
      <t>nº 4.818/2003 (Canoas/RS) - art. 3º, inc. XIV, Anexo I, Item 11.02</t>
    </r>
    <r>
      <rPr>
        <sz val="10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</si>
  <si>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 xml:space="preserve">1. MÓDULOS </t>
    </r>
    <r>
      <rPr>
        <b/>
        <sz val="14"/>
        <color theme="1"/>
        <rFont val="Arial"/>
        <family val="2"/>
      </rPr>
      <t xml:space="preserve">
</t>
    </r>
    <r>
      <rPr>
        <b/>
        <sz val="12"/>
        <color rgb="FF000000"/>
        <rFont val="Arial"/>
        <family val="2"/>
      </rPr>
      <t>Mão de obra
Mão de obra vinculada à execução contratual</t>
    </r>
  </si>
  <si>
    <r>
      <rPr>
        <b/>
        <sz val="11"/>
        <color rgb="FFFF0000"/>
        <rFont val="Arial"/>
        <family val="2"/>
        <scheme val="minor"/>
      </rPr>
      <t>Obs.:</t>
    </r>
    <r>
      <rPr>
        <sz val="11"/>
        <color rgb="FF000000"/>
        <rFont val="Arial"/>
        <family val="2"/>
        <scheme val="minor"/>
      </rPr>
      <t xml:space="preserve"> Foi publicada a CCT 2024/2025 com registro no M.T.E nº</t>
    </r>
    <r>
      <rPr>
        <b/>
        <sz val="11"/>
        <color rgb="FF000000"/>
        <rFont val="Arial"/>
        <family val="2"/>
        <scheme val="minor"/>
      </rPr>
      <t xml:space="preserve"> RS 000303/2024</t>
    </r>
    <r>
      <rPr>
        <sz val="11"/>
        <color rgb="FF000000"/>
        <rFont val="Arial"/>
        <family val="2"/>
        <scheme val="minor"/>
      </rPr>
      <t xml:space="preserve">, que reajusta o </t>
    </r>
    <r>
      <rPr>
        <b/>
        <sz val="11"/>
        <color rgb="FF000000"/>
        <rFont val="Arial"/>
        <family val="2"/>
        <scheme val="minor"/>
      </rPr>
      <t>salário base</t>
    </r>
    <r>
      <rPr>
        <sz val="11"/>
        <color rgb="FF000000"/>
        <rFont val="Arial"/>
        <family val="2"/>
        <scheme val="minor"/>
      </rPr>
      <t xml:space="preserve">, o </t>
    </r>
    <r>
      <rPr>
        <b/>
        <sz val="11"/>
        <color rgb="FF000000"/>
        <rFont val="Arial"/>
        <family val="2"/>
        <scheme val="minor"/>
      </rPr>
      <t>vale alimentação</t>
    </r>
    <r>
      <rPr>
        <sz val="11"/>
        <color rgb="FF000000"/>
        <rFont val="Arial"/>
        <family val="2"/>
        <scheme val="minor"/>
      </rPr>
      <t xml:space="preserve"> e o </t>
    </r>
    <r>
      <rPr>
        <b/>
        <sz val="11"/>
        <color rgb="FF000000"/>
        <rFont val="Arial"/>
        <family val="2"/>
        <scheme val="minor"/>
      </rPr>
      <t>adicional de troca de uniforme</t>
    </r>
    <r>
      <rPr>
        <sz val="11"/>
        <color rgb="FF000000"/>
        <rFont val="Arial"/>
        <family val="2"/>
        <scheme val="minor"/>
      </rPr>
      <t>. Portanto, permanecem válidas ambas as convenções coletivas.</t>
    </r>
  </si>
  <si>
    <r>
      <t xml:space="preserve">     B.1) Valor do Auxílio-Alimentação  (</t>
    </r>
    <r>
      <rPr>
        <b/>
        <sz val="10"/>
        <color rgb="FFFF0000"/>
        <rFont val="Arial"/>
        <family val="2"/>
      </rPr>
      <t>cláusula 11 da CCT 2024/2025</t>
    </r>
    <r>
      <rPr>
        <sz val="10"/>
        <color theme="1"/>
        <rFont val="Arial"/>
        <family val="2"/>
      </rPr>
      <t>)</t>
    </r>
  </si>
  <si>
    <r>
      <t xml:space="preserve">     B.3) Participação do empregado em percentual sobre o auxílio-alimentação  (</t>
    </r>
    <r>
      <rPr>
        <b/>
        <sz val="9"/>
        <color rgb="FFFF0000"/>
        <rFont val="Arial"/>
        <family val="2"/>
      </rPr>
      <t>cláusula 11, §3º da CCT 2024/2025</t>
    </r>
    <r>
      <rPr>
        <sz val="9"/>
        <color theme="1"/>
        <rFont val="Arial"/>
        <family val="2"/>
      </rPr>
      <t>)</t>
    </r>
  </si>
  <si>
    <r>
      <t xml:space="preserve">Seguro de Vida </t>
    </r>
    <r>
      <rPr>
        <sz val="9"/>
        <color theme="1"/>
        <rFont val="Arial"/>
        <family val="2"/>
      </rPr>
      <t xml:space="preserve">Cálculo do valor: 26 x Rem x </t>
    </r>
    <r>
      <rPr>
        <b/>
        <sz val="9"/>
        <color rgb="FFFF0000"/>
        <rFont val="Arial"/>
        <family val="2"/>
      </rPr>
      <t>0,023%</t>
    </r>
    <r>
      <rPr>
        <sz val="9"/>
        <color theme="1"/>
        <rFont val="Arial"/>
        <family val="2"/>
      </rPr>
      <t xml:space="preserve">   (cláusula 38 da CCT 2023/2025)</t>
    </r>
    <r>
      <rPr>
        <sz val="10"/>
        <color theme="1"/>
        <rFont val="Arial"/>
        <family val="2"/>
      </rPr>
      <t xml:space="preserve">
</t>
    </r>
    <r>
      <rPr>
        <b/>
        <i/>
        <sz val="8"/>
        <color rgb="FFFF0000"/>
        <rFont val="Arial"/>
        <family val="2"/>
      </rPr>
      <t>O valor cotado pelo licitante deve ser fixado na planilha e somente deve ser alterado mediante repactuação com comprovação do aumento.</t>
    </r>
    <r>
      <rPr>
        <b/>
        <i/>
        <sz val="8"/>
        <color theme="1"/>
        <rFont val="Arial"/>
        <family val="2"/>
      </rPr>
      <t xml:space="preserve"> </t>
    </r>
  </si>
  <si>
    <r>
      <t xml:space="preserve">Auxílio-Funeral  </t>
    </r>
    <r>
      <rPr>
        <sz val="9"/>
        <color theme="1"/>
        <rFont val="Arial"/>
        <family val="2"/>
      </rPr>
      <t xml:space="preserve">Cálculo do valor: (SB x </t>
    </r>
    <r>
      <rPr>
        <b/>
        <sz val="9"/>
        <color rgb="FFFF0000"/>
        <rFont val="Arial"/>
        <family val="2"/>
      </rPr>
      <t>0,52066%</t>
    </r>
    <r>
      <rPr>
        <sz val="9"/>
        <color theme="1"/>
        <rFont val="Arial"/>
        <family val="2"/>
      </rPr>
      <t>)/12  (cláusula 37 da CCT 2023/2025)</t>
    </r>
    <r>
      <rPr>
        <sz val="10"/>
        <color theme="1"/>
        <rFont val="Arial"/>
        <family val="2"/>
      </rPr>
      <t xml:space="preserve">
</t>
    </r>
    <r>
      <rPr>
        <b/>
        <i/>
        <sz val="8"/>
        <color rgb="FFFF0000"/>
        <rFont val="Arial"/>
        <family val="2"/>
      </rPr>
      <t xml:space="preserve">O valor cotado pelo licitante deve ser fixado na planilha e somente deve ser alterado mediante repactuação com comprovação do aumento. </t>
    </r>
  </si>
  <si>
    <r>
      <t>Adicional para Troca de Uniforme -  Cálculo: 1/6 do salário-hora por dia = (VSH/6=</t>
    </r>
    <r>
      <rPr>
        <b/>
        <sz val="9"/>
        <color rgb="FFFF0000"/>
        <rFont val="Arial"/>
        <family val="2"/>
      </rPr>
      <t>1,50</t>
    </r>
    <r>
      <rPr>
        <sz val="9"/>
        <color theme="1"/>
        <rFont val="Arial"/>
        <family val="2"/>
      </rPr>
      <t>)x2x15 (</t>
    </r>
    <r>
      <rPr>
        <b/>
        <sz val="9"/>
        <color rgb="FFFF0000"/>
        <rFont val="Arial"/>
        <family val="2"/>
      </rPr>
      <t>cláusula 31 da CCT 2023/2025 combinada com a cláusula 8ª da CCT 2024/2025</t>
    </r>
    <r>
      <rPr>
        <sz val="9"/>
        <color theme="1"/>
        <rFont val="Arial"/>
        <family val="2"/>
      </rPr>
      <t>)</t>
    </r>
  </si>
  <si>
    <r>
      <t xml:space="preserve">Adicional para Troca de Uniforme -  Cálculo do valor: 1/6 do salário-hora por dia = </t>
    </r>
    <r>
      <rPr>
        <b/>
        <sz val="9"/>
        <color rgb="FFFF0000"/>
        <rFont val="Arial"/>
        <family val="2"/>
      </rPr>
      <t xml:space="preserve">(VSH/6=1,50)x2x15 </t>
    </r>
    <r>
      <rPr>
        <b/>
        <sz val="9"/>
        <color rgb="FF000000"/>
        <rFont val="Arial"/>
        <family val="2"/>
      </rPr>
      <t xml:space="preserve">  (cláusula 31 da CCT 2023/2025 combinada com a cláusula 8ª da CCT 2024/2025)</t>
    </r>
  </si>
  <si>
    <r>
      <t xml:space="preserve">     </t>
    </r>
    <r>
      <rPr>
        <b/>
        <sz val="10"/>
        <color rgb="FFFF0000"/>
        <rFont val="Arial"/>
        <family val="2"/>
      </rPr>
      <t>B.1) Valor do Auxílio-Alimentação (cláusula 11 da CCT 2024/2025)</t>
    </r>
  </si>
  <si>
    <t xml:space="preserve">     B.3) Participação do empregado em percentual sobre o auxílio-alimentação   (cláusula 11, §3º da CCT 2024/2025)</t>
  </si>
  <si>
    <r>
      <t xml:space="preserve">     A.1)  Valor da passagem do transporte coletivo no município de
                prestação dos serviços (</t>
    </r>
    <r>
      <rPr>
        <b/>
        <sz val="10"/>
        <color theme="1"/>
        <rFont val="Arial"/>
        <family val="2"/>
      </rPr>
      <t>Decreto Municipal Canoas nº 252/2021</t>
    </r>
    <r>
      <rPr>
        <sz val="10"/>
        <color theme="1"/>
        <rFont val="Arial"/>
        <family val="2"/>
      </rPr>
      <t>)</t>
    </r>
  </si>
  <si>
    <r>
      <t xml:space="preserve">     </t>
    </r>
    <r>
      <rPr>
        <b/>
        <sz val="10"/>
        <color rgb="FFFF0000"/>
        <rFont val="Arial"/>
        <family val="2"/>
      </rPr>
      <t>A.1)  Valor da passagem do transporte coletivo no município de
                prestação dos serviços</t>
    </r>
    <r>
      <rPr>
        <b/>
        <sz val="10"/>
        <color theme="1"/>
        <rFont val="Arial"/>
        <family val="2"/>
      </rPr>
      <t xml:space="preserve"> (Decreto Municipal Canoas nº 252/2021)</t>
    </r>
  </si>
  <si>
    <r>
      <t xml:space="preserve">     </t>
    </r>
    <r>
      <rPr>
        <b/>
        <sz val="10"/>
        <color rgb="FFFF0000"/>
        <rFont val="Arial"/>
        <family val="2"/>
      </rPr>
      <t>A.1)  Valor da passagem do transporte coletivo no município de
                prestação dos serviços</t>
    </r>
    <r>
      <rPr>
        <b/>
        <sz val="10"/>
        <color theme="1"/>
        <rFont val="Arial"/>
        <family val="2"/>
      </rPr>
      <t xml:space="preserve"> (Decreto Municipal Canoasnº 252/2021)</t>
    </r>
  </si>
  <si>
    <r>
      <t xml:space="preserve">Salário-Base </t>
    </r>
    <r>
      <rPr>
        <b/>
        <sz val="10"/>
        <color rgb="FFFF0000"/>
        <rFont val="Arial"/>
        <family val="2"/>
      </rPr>
      <t xml:space="preserve"> (valor para 2 vigilantes = 1 posto) </t>
    </r>
    <r>
      <rPr>
        <b/>
        <sz val="10"/>
        <color theme="1"/>
        <rFont val="Arial"/>
        <family val="2"/>
      </rPr>
      <t>(cláusula 4ª, §1º, "b" da CCT 2024/2025)</t>
    </r>
  </si>
  <si>
    <r>
      <t>Salário-Base  (valor para 2 vigilantes = 1 posto) (</t>
    </r>
    <r>
      <rPr>
        <b/>
        <sz val="10"/>
        <color rgb="FFFF0000"/>
        <rFont val="Arial"/>
        <family val="2"/>
      </rPr>
      <t>cláusula 4ª, §1º, "b" da CCT 2024/2025</t>
    </r>
    <r>
      <rPr>
        <sz val="10"/>
        <color theme="1"/>
        <rFont val="Arial"/>
        <family val="2"/>
      </rPr>
      <t>)</t>
    </r>
  </si>
  <si>
    <r>
      <t xml:space="preserve">Adicional para Troca de Uniforme -  Cálculo do valor: 1/6 do salário-hora por dia = </t>
    </r>
    <r>
      <rPr>
        <b/>
        <sz val="9"/>
        <color rgb="FFFF0000"/>
        <rFont val="Arial"/>
        <family val="2"/>
      </rPr>
      <t xml:space="preserve">(VSH/6=1,50)x22 </t>
    </r>
    <r>
      <rPr>
        <b/>
        <sz val="9"/>
        <color rgb="FF000000"/>
        <rFont val="Arial"/>
        <family val="2"/>
      </rPr>
      <t>(cláusula 31 da CCT 2023/2025 combinada com a cláusula 8ª da CCT 2024/2025)</t>
    </r>
  </si>
  <si>
    <r>
      <t xml:space="preserve">Salário-Base  </t>
    </r>
    <r>
      <rPr>
        <b/>
        <sz val="10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(Valor para 1 vigilante) </t>
    </r>
    <r>
      <rPr>
        <b/>
        <sz val="9"/>
        <color theme="1"/>
        <rFont val="Arial"/>
        <family val="2"/>
      </rPr>
      <t xml:space="preserve">((cláusula 4ª, §1º, "b" da CCT 2024/2025 e 18, § 4º da CCT 2023/2025) </t>
    </r>
    <r>
      <rPr>
        <b/>
        <sz val="9"/>
        <color rgb="FFFF0000"/>
        <rFont val="Arial"/>
        <family val="2"/>
      </rPr>
      <t>Cálculo do valor</t>
    </r>
    <r>
      <rPr>
        <b/>
        <sz val="9"/>
        <color theme="1"/>
        <rFont val="Arial"/>
        <family val="2"/>
      </rPr>
      <t>: 200h x valor hora (</t>
    </r>
    <r>
      <rPr>
        <b/>
        <sz val="9"/>
        <color theme="4" tint="-0.249977111117893"/>
        <rFont val="Arial"/>
        <family val="2"/>
      </rPr>
      <t>R$ 8,99</t>
    </r>
    <r>
      <rPr>
        <b/>
        <sz val="9"/>
        <color theme="1"/>
        <rFont val="Arial"/>
        <family val="2"/>
      </rPr>
      <t>).</t>
    </r>
  </si>
  <si>
    <r>
      <t xml:space="preserve">     B.1) Valor do Auxílio-Alimentação </t>
    </r>
    <r>
      <rPr>
        <sz val="10"/>
        <color rgb="FFC00000"/>
        <rFont val="Arial"/>
        <family val="2"/>
      </rPr>
      <t xml:space="preserve"> (</t>
    </r>
    <r>
      <rPr>
        <b/>
        <sz val="10"/>
        <color rgb="FFC00000"/>
        <rFont val="Arial"/>
        <family val="2"/>
      </rPr>
      <t>cláusula 11 da CCT 2024/2025</t>
    </r>
    <r>
      <rPr>
        <sz val="10"/>
        <color rgb="FFC00000"/>
        <rFont val="Arial"/>
        <family val="2"/>
      </rPr>
      <t>)</t>
    </r>
  </si>
  <si>
    <r>
      <t xml:space="preserve">Adicional para Troca de Uniforme -  Cálculo do valor: 1/6 do salário-hora por dia = </t>
    </r>
    <r>
      <rPr>
        <b/>
        <sz val="9"/>
        <color rgb="FFFF0000"/>
        <rFont val="Arial"/>
        <family val="2"/>
      </rPr>
      <t xml:space="preserve">(VSH/6=1,50)x22 </t>
    </r>
    <r>
      <rPr>
        <b/>
        <sz val="9"/>
        <color rgb="FF000000"/>
        <rFont val="Arial"/>
        <family val="2"/>
      </rPr>
      <t xml:space="preserve">   (</t>
    </r>
    <r>
      <rPr>
        <b/>
        <sz val="9"/>
        <color rgb="FFC00000"/>
        <rFont val="Arial"/>
        <family val="2"/>
      </rPr>
      <t>cláusula 31 da CCT 2023/2025 combinada com a cláusula 8ª da CCT 2024/2025</t>
    </r>
    <r>
      <rPr>
        <b/>
        <sz val="9"/>
        <color rgb="FF000000"/>
        <rFont val="Arial"/>
        <family val="2"/>
      </rPr>
      <t>)</t>
    </r>
  </si>
  <si>
    <r>
      <t xml:space="preserve">Intervalo Intrajornada </t>
    </r>
    <r>
      <rPr>
        <b/>
        <sz val="10"/>
        <color rgb="FFFF0000"/>
        <rFont val="Arial"/>
        <family val="2"/>
      </rPr>
      <t>(Adicional de Intervalo)  Cálculo do valor: HE (s/peri) x 22d x1vigx</t>
    </r>
    <r>
      <rPr>
        <b/>
        <sz val="10"/>
        <color rgb="FF0000FF"/>
        <rFont val="Arial"/>
        <family val="2"/>
      </rPr>
      <t>0,5h</t>
    </r>
    <r>
      <rPr>
        <b/>
        <sz val="10"/>
        <color rgb="FFFF0000"/>
        <rFont val="Arial"/>
        <family val="2"/>
      </rPr>
      <t xml:space="preserve">) - </t>
    </r>
    <r>
      <rPr>
        <b/>
        <sz val="10"/>
        <color theme="1"/>
        <rFont val="Arial"/>
        <family val="2"/>
      </rPr>
      <t>(cláusula 69 da CCT 2023/2025)</t>
    </r>
  </si>
  <si>
    <r>
      <rPr>
        <b/>
        <sz val="9"/>
        <color rgb="FF000000"/>
        <rFont val="Arial"/>
        <family val="2"/>
      </rPr>
      <t>Adicional de Férias</t>
    </r>
    <r>
      <rPr>
        <b/>
        <sz val="9"/>
        <color rgb="FF0099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Obrigatória a cotação de 3,025% sobre o valor do Módulo 1 – Composição da Remuneração1. </t>
    </r>
    <r>
      <rPr>
        <b/>
        <sz val="9"/>
        <color rgb="FF0000FF"/>
        <rFont val="Arial"/>
        <family val="2"/>
      </rPr>
      <t xml:space="preserve"> 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 Na hipótese de o contrato não ser prorrogado, o pagamento relativo a Férias do empregado deverá ser efetivado pela provisão feita no Submódulo 4.1.A.</t>
    </r>
  </si>
  <si>
    <r>
      <t xml:space="preserve">Auxílio-Funeral  </t>
    </r>
    <r>
      <rPr>
        <b/>
        <sz val="9"/>
        <color rgb="FFFF0000"/>
        <rFont val="Arial"/>
        <family val="2"/>
      </rPr>
      <t xml:space="preserve">Cálculo do valor: (SB x 0,52066%)/12  </t>
    </r>
    <r>
      <rPr>
        <b/>
        <sz val="9"/>
        <color theme="1"/>
        <rFont val="Arial"/>
        <family val="2"/>
      </rPr>
      <t xml:space="preserve">(cláusula 37 da CCT 2023/2025)
</t>
    </r>
    <r>
      <rPr>
        <b/>
        <sz val="9"/>
        <color rgb="FF0000FF"/>
        <rFont val="Arial"/>
        <family val="2"/>
      </rPr>
      <t xml:space="preserve">O valor cotado pelo licitante deve ser fixado na planilha e somente deve ser alterado mediante repactuação com comprovação do aumento. </t>
    </r>
  </si>
  <si>
    <r>
      <t>Nota 1:  Como a planilha de custos e formação de preços é calculada mensalmente, provisiona-se proporcionalmente 1/12 (um doze avos) dos valores referentes à gratificação natalina e adicional de férias.</t>
    </r>
    <r>
      <rPr>
        <b/>
        <strike/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Nota 2: O adicional de férias contido no Submódulo 2.1 corresponde a 3,025% do Módulo 1, em face do Anexo XII da IN nº 5/2017 exigir 12,10% no somatório de Férias + 1/3 de Férias (9,075% + 3,025%).</t>
    </r>
    <r>
      <rPr>
        <strike/>
        <sz val="9"/>
        <color theme="1"/>
        <rFont val="Arial"/>
        <family val="2"/>
      </rPr>
      <t xml:space="preserve">
</t>
    </r>
  </si>
  <si>
    <r>
      <t xml:space="preserve">Substituto na cobertura de Afastamento Maternidade
</t>
    </r>
    <r>
      <rPr>
        <b/>
        <sz val="9"/>
        <color rgb="FFFF0000"/>
        <rFont val="Arial"/>
        <family val="2"/>
      </rPr>
      <t>Cálculo do valor = [((Férias + Férias / 3) + SUB2.2 x (Férias + Férias / 3)) x (4/12)] x 2% + [( FGTS x Rem + SUB 2.2 x 13º</t>
    </r>
    <r>
      <rPr>
        <b/>
        <sz val="9"/>
        <color rgb="FF0000CC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+ SUB2.3 – VA – VT + MÓD3) x (4/12)] } x 2%     
</t>
    </r>
    <r>
      <rPr>
        <b/>
        <sz val="9"/>
        <color rgb="FF0000FF"/>
        <rFont val="Arial"/>
        <family val="2"/>
      </rPr>
      <t>Não incide Contribuição Previdenciária Patronal (INSS + 3ªs entidades) sobre a Remuneração da empregada residente nos 4 meses de Afastamento, conforme Solução de Consulta Cosit/RFB nº 27/2023, públicada na pág. 20 da Seção 1 do DOU de 09/02/2023. A Remuneração e o 13º da empregada residente poderão ser compensados, por isso não constam da fórmula.</t>
    </r>
  </si>
  <si>
    <t>VIGILÂNCIA 40h SEMANAIS DIURNA - Lucro Real e Presumido - CONTA VINCULADA</t>
  </si>
  <si>
    <t>40 (QUARENTA) horas semanais diurnas, de segunda a sexta-feira, exceto feriados, envolvendo um vigilante das 7h às 15h ininterruptas.</t>
  </si>
  <si>
    <r>
      <t>40 (QUARENTA) horas semanais diurnas, de segunda a sexta-feira, exceto feriados, envolvendo um vigilante das 15h às 23h ininterruptas. (</t>
    </r>
    <r>
      <rPr>
        <b/>
        <sz val="10"/>
        <color rgb="FFFF0000"/>
        <rFont val="Arial"/>
        <family val="2"/>
      </rPr>
      <t>1h adicional noturno</t>
    </r>
    <r>
      <rPr>
        <b/>
        <sz val="10"/>
        <color theme="1"/>
        <rFont val="Arial"/>
        <family val="2"/>
      </rPr>
      <t xml:space="preserve">) </t>
    </r>
  </si>
  <si>
    <t>VIGILÂNCIA 40h SEMANAIS DIURNAS - Lucro Real e Presumido - CONTA VINCULADA</t>
  </si>
  <si>
    <r>
      <t xml:space="preserve">40 (QUARENTA) horas semanais diurnas, de segunda a sexta-feira, </t>
    </r>
    <r>
      <rPr>
        <b/>
        <sz val="9"/>
        <color rgb="FFFF0000"/>
        <rFont val="Arial"/>
        <family val="2"/>
      </rPr>
      <t>exceto feriados,</t>
    </r>
    <r>
      <rPr>
        <b/>
        <sz val="9"/>
        <color theme="1"/>
        <rFont val="Arial"/>
        <family val="2"/>
      </rPr>
      <t xml:space="preserve"> envolvendo um vigilante das 15h às 23h ininterruptas. (</t>
    </r>
    <r>
      <rPr>
        <b/>
        <sz val="9"/>
        <color rgb="FFFF0000"/>
        <rFont val="Arial"/>
        <family val="2"/>
      </rPr>
      <t>1h adicional noturno</t>
    </r>
    <r>
      <rPr>
        <b/>
        <sz val="9"/>
        <color theme="1"/>
        <rFont val="Arial"/>
        <family val="2"/>
      </rPr>
      <t xml:space="preserve">) </t>
    </r>
  </si>
  <si>
    <r>
      <rPr>
        <b/>
        <sz val="10"/>
        <color theme="4"/>
        <rFont val="Arial"/>
        <family val="2"/>
      </rPr>
      <t>Uniformes</t>
    </r>
    <r>
      <rPr>
        <sz val="10"/>
        <color theme="1"/>
        <rFont val="Arial"/>
        <family val="2"/>
      </rPr>
      <t xml:space="preserve">    Cálculo do valor:</t>
    </r>
    <r>
      <rPr>
        <b/>
        <sz val="10"/>
        <color rgb="FFFF0000"/>
        <rFont val="Arial"/>
        <family val="2"/>
      </rPr>
      <t xml:space="preserve"> R$ 81,20</t>
    </r>
    <r>
      <rPr>
        <sz val="10"/>
        <color theme="1"/>
        <rFont val="Arial"/>
        <family val="2"/>
      </rPr>
      <t xml:space="preserve"> por vigilante </t>
    </r>
  </si>
  <si>
    <r>
      <rPr>
        <b/>
        <sz val="10"/>
        <color theme="4"/>
        <rFont val="Arial"/>
        <family val="2"/>
      </rPr>
      <t>Uniformes</t>
    </r>
    <r>
      <rPr>
        <sz val="10"/>
        <color theme="1"/>
        <rFont val="Arial"/>
        <family val="2"/>
      </rPr>
      <t xml:space="preserve">  São 2 conjuntos de uniformes (para os 2 vigilantes titulares  Cálculo do valor: </t>
    </r>
    <r>
      <rPr>
        <b/>
        <sz val="10"/>
        <color rgb="FFFF0000"/>
        <rFont val="Arial"/>
        <family val="2"/>
      </rPr>
      <t xml:space="preserve">R$81,20 por </t>
    </r>
    <r>
      <rPr>
        <sz val="10"/>
        <color theme="1"/>
        <rFont val="Arial"/>
        <family val="2"/>
      </rPr>
      <t>vigilante  x 2 vigilantes</t>
    </r>
  </si>
  <si>
    <r>
      <t>Aviso Prévio Trabalhado       (</t>
    </r>
    <r>
      <rPr>
        <sz val="9"/>
        <color theme="1"/>
        <rFont val="Arial"/>
        <family val="2"/>
      </rPr>
      <t>negociar extinção/redução na 1ª renovação)  Cálculo do valor= [(Rem1/30)x7]/</t>
    </r>
    <r>
      <rPr>
        <sz val="11"/>
        <color theme="1"/>
        <rFont val="Arial"/>
        <family val="2"/>
      </rPr>
      <t>12</t>
    </r>
    <r>
      <rPr>
        <sz val="9"/>
        <color theme="1"/>
        <rFont val="Arial"/>
        <family val="2"/>
      </rPr>
      <t xml:space="preserve"> meses do contratox100% dos empregados - ao final do contrato  - </t>
    </r>
    <r>
      <rPr>
        <b/>
        <i/>
        <sz val="9"/>
        <color theme="1"/>
        <rFont val="Arial"/>
        <family val="2"/>
      </rPr>
      <t xml:space="preserve">Na </t>
    </r>
    <r>
      <rPr>
        <b/>
        <i/>
        <sz val="9"/>
        <rFont val="Arial"/>
        <family val="2"/>
      </rPr>
      <t>renovação</t>
    </r>
    <r>
      <rPr>
        <b/>
        <i/>
        <sz val="9"/>
        <color theme="1"/>
        <rFont val="Arial"/>
        <family val="2"/>
      </rPr>
      <t xml:space="preserve"> do contrato poderão ser considerados 3 dias conforme Lei nº 12.506/2011, dependendo da análise do nº de ocorrências deste evento no período.</t>
    </r>
  </si>
  <si>
    <r>
      <t xml:space="preserve">Aviso Prévio Indenizado    </t>
    </r>
    <r>
      <rPr>
        <b/>
        <sz val="8"/>
        <color rgb="FFFF0000"/>
        <rFont val="Arial"/>
        <family val="2"/>
      </rPr>
      <t>Cálculo do valor = [Rem/12 + 13º/12 + (Férias + 1/3 Férias)/12] x (30/30=1) x 5% de rotatividade anual - Os reflexos de 13º, F e 1/3F são referentes a 1 mês de APInd -</t>
    </r>
    <r>
      <rPr>
        <b/>
        <sz val="8"/>
        <color rgb="FF0000FF"/>
        <rFont val="Arial"/>
        <family val="2"/>
      </rPr>
      <t xml:space="preserve"> Na renovação, poderão ser considerados 3 dias conforme Lei nº 12.506/2011, dependendo da análise do nº de ocorrências deste evento no período.</t>
    </r>
  </si>
  <si>
    <t>ANEXO III do Edital de Pregão (Eletrônico) Nº 90.002/2024</t>
  </si>
  <si>
    <t xml:space="preserve">ANEXO III do Pregão 90.002/2024
MODELO DE PLANILHA DE CUSTOS E FORMAÇÃO DE PREÇOS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</si>
</sst>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[$R$-416]\ #,##0.00;[Red]\-[$R$-416]\ #,##0.00"/>
    <numFmt numFmtId="165" formatCode="[$R$]\ * #,##0.00\ ;\-[$R$]\ * #,##0.00\ ;[$R$]\ * \-#\ ;\ @\ "/>
    <numFmt numFmtId="166" formatCode="_(&quot;R$ &quot;* #,##0.00_);_(&quot;R$ &quot;* \(#,##0.00\);_(&quot;R$ &quot;* \-??_);_(@_)"/>
    <numFmt numFmtId="167" formatCode="&quot;R$ &quot;#,##0.00"/>
    <numFmt numFmtId="168" formatCode="0.000%"/>
    <numFmt numFmtId="169" formatCode="0.0000"/>
    <numFmt numFmtId="170" formatCode="0.0000%"/>
    <numFmt numFmtId="171" formatCode="_(* #,##0.00_);_(* \(#,##0.00\);_(* \-??_);_(@_)"/>
    <numFmt numFmtId="172" formatCode="_-[$R$-416]\ * #,##0.00_-;\-[$R$-416]\ * #,##0.00_-;_-[$R$-416]\ * &quot;-&quot;??_-;_-@_-"/>
  </numFmts>
  <fonts count="94">
    <font>
      <sz val="10"/>
      <color rgb="FF000000"/>
      <name val="Arial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5"/>
      <color rgb="FF000000"/>
      <name val="Arial"/>
      <family val="2"/>
    </font>
    <font>
      <sz val="15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9900"/>
      <name val="Arial"/>
      <family val="2"/>
    </font>
    <font>
      <sz val="9"/>
      <color rgb="FF009900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FF000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4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  <scheme val="minor"/>
    </font>
    <font>
      <sz val="9"/>
      <color rgb="FF000000"/>
      <name val="&quot;Google Sans&quot;"/>
    </font>
    <font>
      <sz val="9"/>
      <color rgb="FF1F1F1F"/>
      <name val="&quot;Google Sans&quot;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b/>
      <strike/>
      <sz val="9"/>
      <color rgb="FF0000FF"/>
      <name val="Arial"/>
      <family val="2"/>
    </font>
    <font>
      <strike/>
      <sz val="9"/>
      <color rgb="FF000000"/>
      <name val="Arial"/>
      <family val="2"/>
    </font>
    <font>
      <sz val="7"/>
      <color theme="1"/>
      <name val="Arial"/>
      <family val="2"/>
    </font>
    <font>
      <b/>
      <i/>
      <sz val="8"/>
      <color theme="1"/>
      <name val="Arial"/>
      <family val="2"/>
    </font>
    <font>
      <b/>
      <i/>
      <sz val="9"/>
      <color rgb="FFFF0000"/>
      <name val="Arial"/>
      <family val="2"/>
    </font>
    <font>
      <b/>
      <sz val="10"/>
      <color rgb="FF2300DC"/>
      <name val="Arial"/>
      <family val="2"/>
    </font>
    <font>
      <b/>
      <sz val="8"/>
      <color rgb="FFFF0000"/>
      <name val="Arial"/>
      <family val="2"/>
    </font>
    <font>
      <b/>
      <strike/>
      <sz val="9"/>
      <color theme="1"/>
      <name val="Arial"/>
      <family val="2"/>
    </font>
    <font>
      <strike/>
      <sz val="9"/>
      <color theme="1"/>
      <name val="Arial"/>
      <family val="2"/>
    </font>
    <font>
      <b/>
      <sz val="7"/>
      <color rgb="FFFF0000"/>
      <name val="Arial"/>
      <family val="2"/>
    </font>
    <font>
      <b/>
      <sz val="8"/>
      <color rgb="FF0000FF"/>
      <name val="Arial"/>
      <family val="2"/>
    </font>
    <font>
      <b/>
      <strike/>
      <sz val="10"/>
      <color rgb="FFFF3300"/>
      <name val="Arial"/>
      <family val="2"/>
    </font>
    <font>
      <b/>
      <sz val="10"/>
      <color rgb="FF009933"/>
      <name val="Arial"/>
      <family val="2"/>
    </font>
    <font>
      <b/>
      <sz val="10"/>
      <color rgb="FF0066CC"/>
      <name val="Arial"/>
      <family val="2"/>
    </font>
    <font>
      <b/>
      <sz val="8"/>
      <color rgb="FF0000CC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0000CC"/>
      <name val="Arial"/>
      <family val="2"/>
    </font>
    <font>
      <b/>
      <sz val="9"/>
      <color rgb="FF0000CC"/>
      <name val="Arial"/>
      <family val="2"/>
    </font>
    <font>
      <b/>
      <sz val="9"/>
      <color rgb="FF333399"/>
      <name val="Arial"/>
      <family val="2"/>
    </font>
    <font>
      <b/>
      <sz val="9"/>
      <color rgb="FF2300DC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  <scheme val="minor"/>
    </font>
    <font>
      <sz val="9"/>
      <color rgb="FF000000"/>
      <name val="Arial"/>
      <family val="2"/>
      <scheme val="minor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8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i/>
      <sz val="8"/>
      <color rgb="FFFF0000"/>
      <name val="Arial"/>
      <family val="2"/>
    </font>
    <font>
      <b/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009900"/>
      <name val="Arial"/>
      <family val="2"/>
    </font>
    <font>
      <b/>
      <i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67D848"/>
        <bgColor rgb="FFCCCCCC"/>
      </patternFill>
    </fill>
    <fill>
      <patternFill patternType="solid">
        <fgColor rgb="FF67D848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 tint="-4.9989318521683403E-2"/>
        <bgColor rgb="FF4A86E8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99"/>
      </patternFill>
    </fill>
  </fills>
  <borders count="7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63" fillId="0" borderId="0" applyFont="0" applyFill="0" applyBorder="0" applyAlignment="0" applyProtection="0"/>
    <xf numFmtId="0" fontId="67" fillId="0" borderId="18"/>
  </cellStyleXfs>
  <cellXfs count="5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9" fontId="1" fillId="0" borderId="4" xfId="0" applyNumberFormat="1" applyFont="1" applyBorder="1" applyAlignment="1">
      <alignment horizontal="right" vertical="center"/>
    </xf>
    <xf numFmtId="9" fontId="1" fillId="3" borderId="4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center"/>
    </xf>
    <xf numFmtId="10" fontId="3" fillId="5" borderId="4" xfId="0" applyNumberFormat="1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left" vertical="center"/>
    </xf>
    <xf numFmtId="10" fontId="3" fillId="5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right" vertical="center"/>
    </xf>
    <xf numFmtId="0" fontId="7" fillId="0" borderId="0" xfId="0" applyFont="1"/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0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center"/>
    </xf>
    <xf numFmtId="0" fontId="11" fillId="7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" fontId="12" fillId="0" borderId="4" xfId="0" applyNumberFormat="1" applyFont="1" applyBorder="1" applyAlignment="1">
      <alignment vertical="center"/>
    </xf>
    <xf numFmtId="10" fontId="12" fillId="0" borderId="4" xfId="0" applyNumberFormat="1" applyFont="1" applyBorder="1" applyAlignment="1">
      <alignment horizontal="center" vertical="center"/>
    </xf>
    <xf numFmtId="4" fontId="14" fillId="7" borderId="4" xfId="0" applyNumberFormat="1" applyFont="1" applyFill="1" applyBorder="1" applyAlignment="1">
      <alignment vertical="center"/>
    </xf>
    <xf numFmtId="4" fontId="7" fillId="0" borderId="0" xfId="0" applyNumberFormat="1" applyFont="1"/>
    <xf numFmtId="4" fontId="18" fillId="7" borderId="4" xfId="0" applyNumberFormat="1" applyFont="1" applyFill="1" applyBorder="1" applyAlignment="1">
      <alignment horizontal="right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10" fontId="21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 vertical="center" wrapText="1"/>
    </xf>
    <xf numFmtId="168" fontId="21" fillId="0" borderId="4" xfId="0" applyNumberFormat="1" applyFont="1" applyBorder="1" applyAlignment="1">
      <alignment horizontal="center" vertical="center"/>
    </xf>
    <xf numFmtId="4" fontId="9" fillId="7" borderId="4" xfId="0" applyNumberFormat="1" applyFont="1" applyFill="1" applyBorder="1" applyAlignment="1">
      <alignment horizontal="right" vertical="center"/>
    </xf>
    <xf numFmtId="0" fontId="20" fillId="7" borderId="1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9" fontId="12" fillId="0" borderId="4" xfId="0" applyNumberFormat="1" applyFont="1" applyBorder="1" applyAlignment="1">
      <alignment horizontal="left" vertical="center" wrapText="1"/>
    </xf>
    <xf numFmtId="169" fontId="10" fillId="0" borderId="4" xfId="0" applyNumberFormat="1" applyFont="1" applyBorder="1" applyAlignment="1">
      <alignment horizontal="left" vertical="center" wrapText="1"/>
    </xf>
    <xf numFmtId="170" fontId="12" fillId="0" borderId="4" xfId="0" applyNumberFormat="1" applyFont="1" applyBorder="1" applyAlignment="1">
      <alignment horizontal="right" vertical="center"/>
    </xf>
    <xf numFmtId="170" fontId="9" fillId="7" borderId="4" xfId="0" applyNumberFormat="1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right" vertical="center"/>
    </xf>
    <xf numFmtId="10" fontId="9" fillId="2" borderId="15" xfId="0" applyNumberFormat="1" applyFont="1" applyFill="1" applyBorder="1" applyAlignment="1">
      <alignment horizontal="right" vertical="center"/>
    </xf>
    <xf numFmtId="4" fontId="9" fillId="2" borderId="16" xfId="0" applyNumberFormat="1" applyFont="1" applyFill="1" applyBorder="1" applyAlignment="1">
      <alignment horizontal="right" vertical="center"/>
    </xf>
    <xf numFmtId="0" fontId="11" fillId="7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0" fillId="0" borderId="4" xfId="0" applyNumberFormat="1" applyFont="1" applyBorder="1" applyAlignment="1">
      <alignment vertical="center"/>
    </xf>
    <xf numFmtId="4" fontId="12" fillId="0" borderId="4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vertical="center"/>
    </xf>
    <xf numFmtId="10" fontId="12" fillId="0" borderId="1" xfId="0" applyNumberFormat="1" applyFont="1" applyBorder="1" applyAlignment="1">
      <alignment vertical="center"/>
    </xf>
    <xf numFmtId="4" fontId="12" fillId="0" borderId="4" xfId="0" applyNumberFormat="1" applyFont="1" applyBorder="1" applyAlignment="1">
      <alignment horizontal="right" vertical="center" wrapText="1"/>
    </xf>
    <xf numFmtId="0" fontId="9" fillId="7" borderId="4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right" vertical="center" wrapText="1"/>
    </xf>
    <xf numFmtId="10" fontId="18" fillId="0" borderId="4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vertical="center" wrapText="1"/>
    </xf>
    <xf numFmtId="4" fontId="16" fillId="0" borderId="4" xfId="0" applyNumberFormat="1" applyFont="1" applyBorder="1" applyAlignment="1">
      <alignment horizontal="right" vertical="center" wrapText="1"/>
    </xf>
    <xf numFmtId="0" fontId="11" fillId="7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168" fontId="14" fillId="0" borderId="4" xfId="0" applyNumberFormat="1" applyFont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/>
    </xf>
    <xf numFmtId="4" fontId="20" fillId="7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1" fillId="7" borderId="4" xfId="0" applyNumberFormat="1" applyFont="1" applyFill="1" applyBorder="1" applyAlignment="1">
      <alignment horizontal="right" vertical="center"/>
    </xf>
    <xf numFmtId="4" fontId="9" fillId="7" borderId="4" xfId="0" applyNumberFormat="1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4" fontId="11" fillId="7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0" fontId="10" fillId="0" borderId="4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right" vertical="center" wrapText="1"/>
    </xf>
    <xf numFmtId="4" fontId="12" fillId="0" borderId="4" xfId="0" applyNumberFormat="1" applyFont="1" applyBorder="1"/>
    <xf numFmtId="10" fontId="12" fillId="0" borderId="4" xfId="0" applyNumberFormat="1" applyFont="1" applyBorder="1" applyAlignment="1">
      <alignment horizontal="center" vertical="center" wrapText="1"/>
    </xf>
    <xf numFmtId="10" fontId="12" fillId="0" borderId="4" xfId="0" applyNumberFormat="1" applyFont="1" applyBorder="1" applyAlignment="1">
      <alignment horizontal="center" wrapText="1"/>
    </xf>
    <xf numFmtId="4" fontId="12" fillId="0" borderId="4" xfId="0" applyNumberFormat="1" applyFont="1" applyBorder="1" applyAlignment="1">
      <alignment horizontal="center"/>
    </xf>
    <xf numFmtId="10" fontId="12" fillId="0" borderId="4" xfId="0" applyNumberFormat="1" applyFont="1" applyBorder="1" applyAlignment="1">
      <alignment horizontal="righ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71" fontId="10" fillId="0" borderId="0" xfId="0" applyNumberFormat="1" applyFont="1" applyAlignment="1">
      <alignment horizontal="left"/>
    </xf>
    <xf numFmtId="171" fontId="10" fillId="8" borderId="18" xfId="0" applyNumberFormat="1" applyFont="1" applyFill="1" applyBorder="1" applyAlignment="1">
      <alignment horizontal="left"/>
    </xf>
    <xf numFmtId="171" fontId="7" fillId="0" borderId="0" xfId="0" applyNumberFormat="1" applyFont="1"/>
    <xf numFmtId="171" fontId="7" fillId="0" borderId="0" xfId="0" applyNumberFormat="1" applyFont="1" applyAlignment="1">
      <alignment vertical="center"/>
    </xf>
    <xf numFmtId="3" fontId="9" fillId="5" borderId="4" xfId="0" applyNumberFormat="1" applyFont="1" applyFill="1" applyBorder="1" applyAlignment="1">
      <alignment horizontal="center" vertical="center" wrapText="1"/>
    </xf>
    <xf numFmtId="3" fontId="16" fillId="7" borderId="4" xfId="0" applyNumberFormat="1" applyFont="1" applyFill="1" applyBorder="1" applyAlignment="1">
      <alignment horizontal="center" vertical="center" wrapText="1"/>
    </xf>
    <xf numFmtId="0" fontId="7" fillId="8" borderId="18" xfId="0" applyFont="1" applyFill="1" applyBorder="1"/>
    <xf numFmtId="4" fontId="9" fillId="0" borderId="4" xfId="0" applyNumberFormat="1" applyFont="1" applyBorder="1" applyAlignment="1">
      <alignment vertical="center"/>
    </xf>
    <xf numFmtId="10" fontId="9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11" fillId="7" borderId="4" xfId="0" applyNumberFormat="1" applyFont="1" applyFill="1" applyBorder="1" applyAlignment="1">
      <alignment vertical="center"/>
    </xf>
    <xf numFmtId="4" fontId="17" fillId="7" borderId="4" xfId="0" applyNumberFormat="1" applyFont="1" applyFill="1" applyBorder="1" applyAlignment="1">
      <alignment horizontal="right" vertical="center" wrapText="1"/>
    </xf>
    <xf numFmtId="10" fontId="20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right" vertical="center" wrapText="1"/>
    </xf>
    <xf numFmtId="168" fontId="20" fillId="0" borderId="4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 wrapText="1"/>
    </xf>
    <xf numFmtId="9" fontId="9" fillId="0" borderId="4" xfId="0" applyNumberFormat="1" applyFont="1" applyBorder="1" applyAlignment="1">
      <alignment horizontal="left" vertical="center" wrapText="1"/>
    </xf>
    <xf numFmtId="169" fontId="9" fillId="0" borderId="4" xfId="0" applyNumberFormat="1" applyFont="1" applyBorder="1" applyAlignment="1">
      <alignment horizontal="left" vertical="center" wrapText="1"/>
    </xf>
    <xf numFmtId="170" fontId="9" fillId="0" borderId="4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10" fontId="10" fillId="0" borderId="1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horizontal="right" vertical="center" wrapText="1"/>
    </xf>
    <xf numFmtId="10" fontId="29" fillId="0" borderId="4" xfId="0" applyNumberFormat="1" applyFont="1" applyBorder="1" applyAlignment="1">
      <alignment horizontal="right" vertical="center"/>
    </xf>
    <xf numFmtId="0" fontId="30" fillId="0" borderId="4" xfId="0" applyFont="1" applyBorder="1" applyAlignment="1">
      <alignment horizontal="right" vertical="center" wrapText="1"/>
    </xf>
    <xf numFmtId="4" fontId="30" fillId="0" borderId="4" xfId="0" applyNumberFormat="1" applyFont="1" applyBorder="1" applyAlignment="1">
      <alignment horizontal="left" vertical="center" wrapText="1"/>
    </xf>
    <xf numFmtId="0" fontId="30" fillId="2" borderId="4" xfId="0" applyFont="1" applyFill="1" applyBorder="1" applyAlignment="1">
      <alignment vertical="center" wrapText="1"/>
    </xf>
    <xf numFmtId="0" fontId="30" fillId="2" borderId="4" xfId="0" applyFont="1" applyFill="1" applyBorder="1" applyAlignment="1">
      <alignment horizontal="left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0" fontId="20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right" vertical="center"/>
    </xf>
    <xf numFmtId="10" fontId="10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" fontId="9" fillId="0" borderId="4" xfId="0" applyNumberFormat="1" applyFont="1" applyBorder="1"/>
    <xf numFmtId="10" fontId="9" fillId="0" borderId="4" xfId="0" applyNumberFormat="1" applyFont="1" applyBorder="1" applyAlignment="1">
      <alignment horizontal="center" vertical="center" wrapText="1"/>
    </xf>
    <xf numFmtId="10" fontId="9" fillId="0" borderId="4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/>
    </xf>
    <xf numFmtId="3" fontId="31" fillId="7" borderId="4" xfId="0" applyNumberFormat="1" applyFont="1" applyFill="1" applyBorder="1" applyAlignment="1">
      <alignment horizontal="center" vertical="center" wrapText="1"/>
    </xf>
    <xf numFmtId="169" fontId="12" fillId="0" borderId="4" xfId="0" applyNumberFormat="1" applyFont="1" applyBorder="1" applyAlignment="1">
      <alignment horizontal="left" vertical="center" wrapText="1"/>
    </xf>
    <xf numFmtId="167" fontId="12" fillId="0" borderId="4" xfId="0" applyNumberFormat="1" applyFont="1" applyBorder="1" applyAlignment="1">
      <alignment vertical="center"/>
    </xf>
    <xf numFmtId="164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35" fillId="0" borderId="0" xfId="0" applyFont="1"/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/>
    <xf numFmtId="3" fontId="3" fillId="0" borderId="4" xfId="0" applyNumberFormat="1" applyFont="1" applyBorder="1" applyAlignment="1">
      <alignment horizontal="center"/>
    </xf>
    <xf numFmtId="164" fontId="3" fillId="5" borderId="4" xfId="0" applyNumberFormat="1" applyFont="1" applyFill="1" applyBorder="1"/>
    <xf numFmtId="0" fontId="3" fillId="10" borderId="4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 vertical="center"/>
    </xf>
    <xf numFmtId="0" fontId="35" fillId="9" borderId="0" xfId="0" applyFont="1" applyFill="1"/>
    <xf numFmtId="0" fontId="3" fillId="11" borderId="4" xfId="0" applyFont="1" applyFill="1" applyBorder="1" applyAlignment="1">
      <alignment horizontal="center" vertical="center"/>
    </xf>
    <xf numFmtId="0" fontId="67" fillId="11" borderId="4" xfId="0" applyFont="1" applyFill="1" applyBorder="1" applyAlignment="1">
      <alignment horizontal="center" vertical="center" wrapText="1"/>
    </xf>
    <xf numFmtId="0" fontId="67" fillId="5" borderId="4" xfId="0" applyFont="1" applyFill="1" applyBorder="1" applyAlignment="1">
      <alignment horizontal="left"/>
    </xf>
    <xf numFmtId="43" fontId="64" fillId="0" borderId="4" xfId="1" applyFont="1" applyBorder="1" applyAlignment="1">
      <alignment horizontal="center"/>
    </xf>
    <xf numFmtId="43" fontId="64" fillId="0" borderId="4" xfId="1" applyFont="1" applyBorder="1" applyAlignment="1">
      <alignment horizontal="right" vertical="center"/>
    </xf>
    <xf numFmtId="43" fontId="69" fillId="0" borderId="4" xfId="1" applyFont="1" applyBorder="1" applyAlignment="1">
      <alignment horizontal="right" wrapText="1"/>
    </xf>
    <xf numFmtId="0" fontId="67" fillId="11" borderId="4" xfId="0" applyFont="1" applyFill="1" applyBorder="1" applyAlignment="1">
      <alignment horizontal="center" vertical="center"/>
    </xf>
    <xf numFmtId="164" fontId="3" fillId="5" borderId="18" xfId="0" applyNumberFormat="1" applyFont="1" applyFill="1" applyBorder="1"/>
    <xf numFmtId="0" fontId="3" fillId="10" borderId="18" xfId="0" applyFont="1" applyFill="1" applyBorder="1" applyAlignment="1">
      <alignment horizontal="right" vertical="center"/>
    </xf>
    <xf numFmtId="0" fontId="0" fillId="10" borderId="0" xfId="0" applyFill="1"/>
    <xf numFmtId="0" fontId="67" fillId="10" borderId="4" xfId="0" applyFont="1" applyFill="1" applyBorder="1" applyAlignment="1">
      <alignment horizontal="center"/>
    </xf>
    <xf numFmtId="43" fontId="64" fillId="10" borderId="4" xfId="1" applyFont="1" applyFill="1" applyBorder="1" applyAlignment="1">
      <alignment horizontal="center"/>
    </xf>
    <xf numFmtId="43" fontId="64" fillId="12" borderId="4" xfId="1" applyFont="1" applyFill="1" applyBorder="1" applyAlignment="1">
      <alignment horizontal="center"/>
    </xf>
    <xf numFmtId="164" fontId="3" fillId="5" borderId="7" xfId="0" applyNumberFormat="1" applyFont="1" applyFill="1" applyBorder="1"/>
    <xf numFmtId="0" fontId="67" fillId="10" borderId="18" xfId="0" applyFont="1" applyFill="1" applyBorder="1" applyAlignment="1">
      <alignment horizontal="right" vertical="center"/>
    </xf>
    <xf numFmtId="0" fontId="66" fillId="10" borderId="4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1" fillId="14" borderId="28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164" fontId="1" fillId="11" borderId="28" xfId="0" applyNumberFormat="1" applyFont="1" applyFill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164" fontId="1" fillId="11" borderId="31" xfId="0" applyNumberFormat="1" applyFont="1" applyFill="1" applyBorder="1" applyAlignment="1">
      <alignment horizontal="right" vertical="center" wrapText="1"/>
    </xf>
    <xf numFmtId="0" fontId="76" fillId="18" borderId="4" xfId="0" applyFont="1" applyFill="1" applyBorder="1" applyAlignment="1">
      <alignment horizontal="center" vertical="center"/>
    </xf>
    <xf numFmtId="0" fontId="7" fillId="19" borderId="18" xfId="0" applyFont="1" applyFill="1" applyBorder="1"/>
    <xf numFmtId="10" fontId="12" fillId="0" borderId="7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horizontal="right" vertical="center"/>
    </xf>
    <xf numFmtId="10" fontId="10" fillId="0" borderId="7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0" fontId="7" fillId="0" borderId="37" xfId="0" applyFont="1" applyBorder="1"/>
    <xf numFmtId="0" fontId="7" fillId="0" borderId="38" xfId="0" applyFont="1" applyBorder="1"/>
    <xf numFmtId="0" fontId="7" fillId="8" borderId="39" xfId="0" applyFont="1" applyFill="1" applyBorder="1"/>
    <xf numFmtId="10" fontId="10" fillId="0" borderId="54" xfId="0" applyNumberFormat="1" applyFont="1" applyBorder="1" applyAlignment="1">
      <alignment horizontal="right" vertical="center"/>
    </xf>
    <xf numFmtId="4" fontId="10" fillId="0" borderId="55" xfId="0" applyNumberFormat="1" applyFont="1" applyBorder="1" applyAlignment="1">
      <alignment horizontal="right" vertical="center"/>
    </xf>
    <xf numFmtId="3" fontId="31" fillId="7" borderId="7" xfId="0" applyNumberFormat="1" applyFont="1" applyFill="1" applyBorder="1" applyAlignment="1">
      <alignment horizontal="center" vertical="center" wrapText="1"/>
    </xf>
    <xf numFmtId="0" fontId="70" fillId="0" borderId="28" xfId="0" applyFont="1" applyBorder="1" applyAlignment="1">
      <alignment horizontal="center"/>
    </xf>
    <xf numFmtId="0" fontId="69" fillId="0" borderId="28" xfId="0" applyFont="1" applyBorder="1"/>
    <xf numFmtId="0" fontId="69" fillId="0" borderId="28" xfId="0" applyFont="1" applyBorder="1" applyAlignment="1">
      <alignment horizontal="center"/>
    </xf>
    <xf numFmtId="2" fontId="69" fillId="0" borderId="28" xfId="0" applyNumberFormat="1" applyFont="1" applyBorder="1" applyAlignment="1">
      <alignment horizontal="center"/>
    </xf>
    <xf numFmtId="1" fontId="69" fillId="0" borderId="28" xfId="0" applyNumberFormat="1" applyFont="1" applyBorder="1" applyAlignment="1">
      <alignment horizontal="center"/>
    </xf>
    <xf numFmtId="2" fontId="69" fillId="0" borderId="28" xfId="0" applyNumberFormat="1" applyFont="1" applyBorder="1"/>
    <xf numFmtId="2" fontId="65" fillId="10" borderId="28" xfId="0" applyNumberFormat="1" applyFont="1" applyFill="1" applyBorder="1" applyAlignment="1">
      <alignment horizontal="center"/>
    </xf>
    <xf numFmtId="0" fontId="70" fillId="0" borderId="28" xfId="0" applyFont="1" applyBorder="1" applyAlignment="1">
      <alignment horizontal="center" vertical="center"/>
    </xf>
    <xf numFmtId="0" fontId="67" fillId="0" borderId="28" xfId="0" applyFont="1" applyBorder="1" applyAlignment="1">
      <alignment horizontal="justify" wrapText="1"/>
    </xf>
    <xf numFmtId="0" fontId="69" fillId="0" borderId="28" xfId="0" applyFont="1" applyBorder="1" applyAlignment="1">
      <alignment horizontal="center" vertical="center"/>
    </xf>
    <xf numFmtId="2" fontId="65" fillId="10" borderId="28" xfId="0" applyNumberFormat="1" applyFont="1" applyFill="1" applyBorder="1" applyAlignment="1">
      <alignment horizontal="center" vertical="center"/>
    </xf>
    <xf numFmtId="2" fontId="69" fillId="0" borderId="28" xfId="0" applyNumberFormat="1" applyFont="1" applyBorder="1" applyAlignment="1">
      <alignment horizontal="center" vertical="center"/>
    </xf>
    <xf numFmtId="1" fontId="69" fillId="0" borderId="28" xfId="0" applyNumberFormat="1" applyFont="1" applyBorder="1" applyAlignment="1">
      <alignment horizontal="center" vertical="center"/>
    </xf>
    <xf numFmtId="2" fontId="69" fillId="0" borderId="28" xfId="0" applyNumberFormat="1" applyFont="1" applyBorder="1" applyAlignment="1">
      <alignment vertical="center"/>
    </xf>
    <xf numFmtId="0" fontId="69" fillId="0" borderId="28" xfId="0" applyFont="1" applyBorder="1" applyAlignment="1">
      <alignment wrapText="1"/>
    </xf>
    <xf numFmtId="0" fontId="65" fillId="9" borderId="28" xfId="0" applyFont="1" applyFill="1" applyBorder="1"/>
    <xf numFmtId="164" fontId="68" fillId="17" borderId="28" xfId="0" applyNumberFormat="1" applyFont="1" applyFill="1" applyBorder="1"/>
    <xf numFmtId="0" fontId="82" fillId="4" borderId="28" xfId="0" applyFont="1" applyFill="1" applyBorder="1" applyAlignment="1">
      <alignment horizontal="center" wrapText="1"/>
    </xf>
    <xf numFmtId="0" fontId="82" fillId="4" borderId="2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18" xfId="0" applyFont="1" applyBorder="1"/>
    <xf numFmtId="0" fontId="3" fillId="0" borderId="36" xfId="0" applyFont="1" applyBorder="1"/>
    <xf numFmtId="0" fontId="1" fillId="0" borderId="18" xfId="0" applyFont="1" applyBorder="1"/>
    <xf numFmtId="0" fontId="1" fillId="0" borderId="36" xfId="0" applyFont="1" applyBorder="1"/>
    <xf numFmtId="0" fontId="3" fillId="0" borderId="18" xfId="0" applyFont="1" applyBorder="1" applyAlignment="1">
      <alignment horizontal="center" vertical="center"/>
    </xf>
    <xf numFmtId="10" fontId="3" fillId="0" borderId="18" xfId="0" applyNumberFormat="1" applyFont="1" applyBorder="1" applyAlignment="1">
      <alignment horizontal="center" vertical="center"/>
    </xf>
    <xf numFmtId="10" fontId="3" fillId="0" borderId="3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center" wrapText="1"/>
    </xf>
    <xf numFmtId="0" fontId="1" fillId="0" borderId="63" xfId="0" applyFont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/>
    </xf>
    <xf numFmtId="165" fontId="3" fillId="4" borderId="63" xfId="0" applyNumberFormat="1" applyFont="1" applyFill="1" applyBorder="1" applyAlignment="1">
      <alignment horizontal="right" vertical="center"/>
    </xf>
    <xf numFmtId="0" fontId="3" fillId="5" borderId="62" xfId="0" applyFont="1" applyFill="1" applyBorder="1" applyAlignment="1">
      <alignment horizontal="center"/>
    </xf>
    <xf numFmtId="165" fontId="3" fillId="5" borderId="63" xfId="0" applyNumberFormat="1" applyFont="1" applyFill="1" applyBorder="1" applyAlignment="1">
      <alignment horizontal="right" vertical="center"/>
    </xf>
    <xf numFmtId="0" fontId="3" fillId="0" borderId="62" xfId="0" applyFont="1" applyBorder="1" applyAlignment="1">
      <alignment horizontal="center"/>
    </xf>
    <xf numFmtId="165" fontId="1" fillId="4" borderId="64" xfId="0" applyNumberFormat="1" applyFont="1" applyFill="1" applyBorder="1" applyAlignment="1">
      <alignment horizontal="right" vertical="center"/>
    </xf>
    <xf numFmtId="165" fontId="1" fillId="4" borderId="65" xfId="0" applyNumberFormat="1" applyFont="1" applyFill="1" applyBorder="1" applyAlignment="1">
      <alignment horizontal="right" vertical="center"/>
    </xf>
    <xf numFmtId="167" fontId="90" fillId="0" borderId="4" xfId="0" applyNumberFormat="1" applyFont="1" applyBorder="1" applyAlignment="1">
      <alignment vertical="center"/>
    </xf>
    <xf numFmtId="0" fontId="28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left" vertical="center"/>
    </xf>
    <xf numFmtId="10" fontId="3" fillId="0" borderId="4" xfId="0" applyNumberFormat="1" applyFont="1" applyBorder="1" applyAlignment="1">
      <alignment horizontal="right" vertical="center"/>
    </xf>
    <xf numFmtId="0" fontId="9" fillId="7" borderId="54" xfId="0" applyFont="1" applyFill="1" applyBorder="1" applyAlignment="1">
      <alignment horizontal="center" vertical="center" wrapText="1"/>
    </xf>
    <xf numFmtId="0" fontId="67" fillId="9" borderId="4" xfId="0" applyFont="1" applyFill="1" applyBorder="1" applyAlignment="1">
      <alignment horizontal="justify"/>
    </xf>
    <xf numFmtId="0" fontId="36" fillId="9" borderId="4" xfId="0" applyFont="1" applyFill="1" applyBorder="1" applyAlignment="1">
      <alignment horizontal="justify" vertical="center" wrapText="1"/>
    </xf>
    <xf numFmtId="0" fontId="37" fillId="9" borderId="0" xfId="0" applyFont="1" applyFill="1" applyAlignment="1">
      <alignment horizontal="justify"/>
    </xf>
    <xf numFmtId="172" fontId="0" fillId="0" borderId="0" xfId="0" applyNumberFormat="1"/>
    <xf numFmtId="0" fontId="1" fillId="0" borderId="43" xfId="0" applyFont="1" applyBorder="1" applyAlignment="1">
      <alignment horizontal="left" vertical="center"/>
    </xf>
    <xf numFmtId="0" fontId="2" fillId="0" borderId="19" xfId="0" applyFont="1" applyBorder="1"/>
    <xf numFmtId="0" fontId="2" fillId="0" borderId="16" xfId="0" applyFont="1" applyBorder="1"/>
    <xf numFmtId="0" fontId="19" fillId="11" borderId="32" xfId="0" applyFont="1" applyFill="1" applyBorder="1" applyAlignment="1">
      <alignment horizontal="center" vertical="center"/>
    </xf>
    <xf numFmtId="0" fontId="19" fillId="11" borderId="33" xfId="0" applyFont="1" applyFill="1" applyBorder="1" applyAlignment="1">
      <alignment horizontal="center" vertical="center"/>
    </xf>
    <xf numFmtId="0" fontId="19" fillId="11" borderId="34" xfId="0" applyFont="1" applyFill="1" applyBorder="1" applyAlignment="1">
      <alignment horizontal="center" vertical="center"/>
    </xf>
    <xf numFmtId="0" fontId="19" fillId="11" borderId="35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19" fillId="11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1" fillId="4" borderId="43" xfId="0" applyFont="1" applyFill="1" applyBorder="1" applyAlignment="1">
      <alignment horizontal="left" vertical="center"/>
    </xf>
    <xf numFmtId="0" fontId="76" fillId="0" borderId="16" xfId="0" applyFont="1" applyBorder="1"/>
    <xf numFmtId="0" fontId="83" fillId="11" borderId="29" xfId="0" applyFont="1" applyFill="1" applyBorder="1" applyAlignment="1">
      <alignment horizontal="justify" vertical="justify"/>
    </xf>
    <xf numFmtId="0" fontId="83" fillId="11" borderId="30" xfId="0" applyFont="1" applyFill="1" applyBorder="1" applyAlignment="1">
      <alignment horizontal="justify" vertical="justify"/>
    </xf>
    <xf numFmtId="0" fontId="83" fillId="11" borderId="31" xfId="0" applyFont="1" applyFill="1" applyBorder="1" applyAlignment="1">
      <alignment horizontal="justify" vertical="justify"/>
    </xf>
    <xf numFmtId="0" fontId="5" fillId="6" borderId="43" xfId="0" applyFont="1" applyFill="1" applyBorder="1" applyAlignment="1">
      <alignment horizontal="center" vertical="center"/>
    </xf>
    <xf numFmtId="0" fontId="2" fillId="0" borderId="44" xfId="0" applyFont="1" applyBorder="1"/>
    <xf numFmtId="0" fontId="1" fillId="4" borderId="7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3" xfId="0" applyFont="1" applyBorder="1"/>
    <xf numFmtId="0" fontId="1" fillId="4" borderId="45" xfId="0" applyFont="1" applyFill="1" applyBorder="1" applyAlignment="1">
      <alignment horizontal="right" vertical="center"/>
    </xf>
    <xf numFmtId="0" fontId="2" fillId="0" borderId="46" xfId="0" applyFont="1" applyBorder="1"/>
    <xf numFmtId="0" fontId="2" fillId="0" borderId="47" xfId="0" applyFont="1" applyBorder="1"/>
    <xf numFmtId="0" fontId="3" fillId="4" borderId="61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59" xfId="0" applyFont="1" applyBorder="1"/>
    <xf numFmtId="0" fontId="2" fillId="0" borderId="9" xfId="0" applyFont="1" applyBorder="1"/>
    <xf numFmtId="0" fontId="1" fillId="4" borderId="1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left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0" fontId="11" fillId="7" borderId="1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9" fillId="5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/>
    <xf numFmtId="0" fontId="9" fillId="7" borderId="1" xfId="0" applyFont="1" applyFill="1" applyBorder="1" applyAlignment="1">
      <alignment horizontal="right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3" xfId="0" applyFont="1" applyBorder="1"/>
    <xf numFmtId="167" fontId="12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right" vertical="center" wrapText="1"/>
    </xf>
    <xf numFmtId="167" fontId="33" fillId="0" borderId="1" xfId="0" applyNumberFormat="1" applyFont="1" applyBorder="1" applyAlignment="1">
      <alignment horizontal="right" vertical="center"/>
    </xf>
    <xf numFmtId="0" fontId="33" fillId="0" borderId="3" xfId="0" applyFont="1" applyBorder="1"/>
    <xf numFmtId="14" fontId="14" fillId="0" borderId="1" xfId="0" applyNumberFormat="1" applyFont="1" applyBorder="1" applyAlignment="1">
      <alignment horizontal="right" vertical="center" wrapText="1"/>
    </xf>
    <xf numFmtId="1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distributed" wrapText="1"/>
    </xf>
    <xf numFmtId="0" fontId="72" fillId="0" borderId="2" xfId="0" applyFont="1" applyBorder="1" applyAlignment="1">
      <alignment horizontal="justify" vertical="distributed"/>
    </xf>
    <xf numFmtId="0" fontId="72" fillId="0" borderId="3" xfId="0" applyFont="1" applyBorder="1" applyAlignment="1">
      <alignment horizontal="justify" vertical="distributed"/>
    </xf>
    <xf numFmtId="0" fontId="9" fillId="2" borderId="1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/>
    </xf>
    <xf numFmtId="0" fontId="20" fillId="7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1" fillId="7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9" fillId="7" borderId="1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justify" vertical="justify" wrapText="1"/>
    </xf>
    <xf numFmtId="0" fontId="2" fillId="0" borderId="2" xfId="0" applyFont="1" applyBorder="1" applyAlignment="1">
      <alignment horizontal="justify" vertical="justify"/>
    </xf>
    <xf numFmtId="0" fontId="2" fillId="0" borderId="3" xfId="0" applyFont="1" applyBorder="1" applyAlignment="1">
      <alignment horizontal="justify" vertical="justify"/>
    </xf>
    <xf numFmtId="0" fontId="12" fillId="0" borderId="1" xfId="0" applyFont="1" applyBorder="1" applyAlignment="1">
      <alignment horizontal="justify" vertical="center" wrapText="1"/>
    </xf>
    <xf numFmtId="0" fontId="12" fillId="8" borderId="1" xfId="0" applyFont="1" applyFill="1" applyBorder="1" applyAlignment="1">
      <alignment horizontal="justify" vertical="center" wrapText="1"/>
    </xf>
    <xf numFmtId="0" fontId="19" fillId="0" borderId="1" xfId="0" applyFont="1" applyBorder="1" applyAlignment="1">
      <alignment horizontal="lef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20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0" fillId="0" borderId="30" xfId="0" applyBorder="1"/>
    <xf numFmtId="0" fontId="0" fillId="0" borderId="31" xfId="0" applyBorder="1"/>
    <xf numFmtId="0" fontId="9" fillId="7" borderId="8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right" vertical="center" wrapText="1"/>
    </xf>
    <xf numFmtId="0" fontId="2" fillId="0" borderId="27" xfId="0" applyFont="1" applyBorder="1"/>
    <xf numFmtId="0" fontId="12" fillId="0" borderId="32" xfId="0" applyFont="1" applyBorder="1" applyAlignment="1">
      <alignment horizontal="center" vertical="center"/>
    </xf>
    <xf numFmtId="0" fontId="0" fillId="0" borderId="33" xfId="0" applyBorder="1"/>
    <xf numFmtId="0" fontId="2" fillId="0" borderId="35" xfId="0" applyFont="1" applyBorder="1"/>
    <xf numFmtId="0" fontId="0" fillId="0" borderId="18" xfId="0" applyBorder="1"/>
    <xf numFmtId="0" fontId="2" fillId="0" borderId="37" xfId="0" applyFont="1" applyBorder="1"/>
    <xf numFmtId="0" fontId="2" fillId="0" borderId="38" xfId="0" applyFont="1" applyBorder="1"/>
    <xf numFmtId="0" fontId="7" fillId="0" borderId="33" xfId="0" applyFont="1" applyBorder="1" applyAlignment="1">
      <alignment horizontal="left" vertical="center"/>
    </xf>
    <xf numFmtId="0" fontId="0" fillId="0" borderId="34" xfId="0" applyBorder="1"/>
    <xf numFmtId="0" fontId="7" fillId="0" borderId="18" xfId="0" applyFont="1" applyBorder="1" applyAlignment="1">
      <alignment horizontal="center" vertical="center"/>
    </xf>
    <xf numFmtId="0" fontId="0" fillId="0" borderId="36" xfId="0" applyBorder="1"/>
    <xf numFmtId="0" fontId="7" fillId="0" borderId="38" xfId="0" applyFont="1" applyBorder="1" applyAlignment="1">
      <alignment horizontal="left" vertical="center"/>
    </xf>
    <xf numFmtId="0" fontId="2" fillId="0" borderId="39" xfId="0" applyFont="1" applyBorder="1"/>
    <xf numFmtId="49" fontId="24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/>
    </xf>
    <xf numFmtId="4" fontId="12" fillId="5" borderId="19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16" fillId="7" borderId="1" xfId="0" applyFont="1" applyFill="1" applyBorder="1" applyAlignment="1">
      <alignment horizontal="right" vertical="center"/>
    </xf>
    <xf numFmtId="4" fontId="16" fillId="7" borderId="1" xfId="0" applyNumberFormat="1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right" vertical="center"/>
    </xf>
    <xf numFmtId="0" fontId="2" fillId="0" borderId="51" xfId="0" applyFont="1" applyBorder="1"/>
    <xf numFmtId="0" fontId="2" fillId="0" borderId="52" xfId="0" applyFont="1" applyBorder="1"/>
    <xf numFmtId="0" fontId="7" fillId="0" borderId="29" xfId="0" applyFont="1" applyBorder="1" applyAlignment="1">
      <alignment horizontal="left" vertical="center" wrapText="1"/>
    </xf>
    <xf numFmtId="0" fontId="2" fillId="0" borderId="30" xfId="0" applyFont="1" applyBorder="1"/>
    <xf numFmtId="0" fontId="2" fillId="0" borderId="31" xfId="0" applyFont="1" applyBorder="1"/>
    <xf numFmtId="0" fontId="9" fillId="2" borderId="8" xfId="0" applyFont="1" applyFill="1" applyBorder="1" applyAlignment="1">
      <alignment horizontal="left"/>
    </xf>
    <xf numFmtId="167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23" xfId="0" applyFont="1" applyFill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17" fillId="0" borderId="1" xfId="0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left" vertical="center" wrapText="1"/>
    </xf>
    <xf numFmtId="167" fontId="1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9" fillId="0" borderId="17" xfId="0" applyFont="1" applyBorder="1" applyAlignment="1">
      <alignment horizontal="center" vertical="center"/>
    </xf>
    <xf numFmtId="0" fontId="2" fillId="0" borderId="26" xfId="0" applyFont="1" applyBorder="1"/>
    <xf numFmtId="0" fontId="2" fillId="0" borderId="8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43" xfId="0" applyFont="1" applyBorder="1" applyAlignment="1">
      <alignment horizontal="left"/>
    </xf>
    <xf numFmtId="0" fontId="9" fillId="0" borderId="1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wrapText="1"/>
    </xf>
    <xf numFmtId="0" fontId="9" fillId="0" borderId="48" xfId="0" applyFont="1" applyBorder="1" applyAlignment="1">
      <alignment horizontal="center" vertical="center" wrapText="1"/>
    </xf>
    <xf numFmtId="0" fontId="2" fillId="0" borderId="49" xfId="0" applyFont="1" applyBorder="1"/>
    <xf numFmtId="0" fontId="9" fillId="2" borderId="5" xfId="0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9" fillId="0" borderId="40" xfId="0" applyFont="1" applyBorder="1" applyAlignment="1">
      <alignment horizontal="left" vertical="top"/>
    </xf>
    <xf numFmtId="0" fontId="2" fillId="0" borderId="41" xfId="0" applyFont="1" applyBorder="1"/>
    <xf numFmtId="0" fontId="2" fillId="0" borderId="42" xfId="0" applyFont="1" applyBorder="1"/>
    <xf numFmtId="0" fontId="9" fillId="0" borderId="4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/>
    </xf>
    <xf numFmtId="0" fontId="73" fillId="0" borderId="1" xfId="0" applyFont="1" applyBorder="1" applyAlignment="1">
      <alignment horizontal="justify" vertical="center" wrapText="1"/>
    </xf>
    <xf numFmtId="0" fontId="72" fillId="0" borderId="2" xfId="0" applyFont="1" applyBorder="1" applyAlignment="1">
      <alignment horizontal="justify"/>
    </xf>
    <xf numFmtId="0" fontId="72" fillId="0" borderId="3" xfId="0" applyFont="1" applyBorder="1" applyAlignment="1">
      <alignment horizontal="justify"/>
    </xf>
    <xf numFmtId="0" fontId="1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49" fontId="9" fillId="7" borderId="1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right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7" fontId="1" fillId="0" borderId="1" xfId="0" applyNumberFormat="1" applyFont="1" applyBorder="1" applyAlignment="1">
      <alignment horizontal="right" vertical="center" wrapText="1"/>
    </xf>
    <xf numFmtId="167" fontId="26" fillId="0" borderId="1" xfId="0" applyNumberFormat="1" applyFont="1" applyBorder="1" applyAlignment="1">
      <alignment horizontal="right" vertical="center"/>
    </xf>
    <xf numFmtId="14" fontId="25" fillId="0" borderId="1" xfId="0" applyNumberFormat="1" applyFont="1" applyBorder="1" applyAlignment="1">
      <alignment horizontal="right" vertical="center" wrapText="1"/>
    </xf>
    <xf numFmtId="14" fontId="27" fillId="0" borderId="1" xfId="0" applyNumberFormat="1" applyFont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6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0" fontId="10" fillId="0" borderId="1" xfId="0" applyNumberFormat="1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 wrapText="1"/>
    </xf>
    <xf numFmtId="0" fontId="28" fillId="0" borderId="33" xfId="0" applyFont="1" applyBorder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top" wrapText="1"/>
    </xf>
    <xf numFmtId="0" fontId="9" fillId="7" borderId="14" xfId="0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left" vertical="center" wrapText="1"/>
    </xf>
    <xf numFmtId="4" fontId="9" fillId="5" borderId="19" xfId="0" applyNumberFormat="1" applyFont="1" applyFill="1" applyBorder="1" applyAlignment="1">
      <alignment horizontal="center" vertical="center" wrapText="1"/>
    </xf>
    <xf numFmtId="0" fontId="16" fillId="7" borderId="43" xfId="0" applyFont="1" applyFill="1" applyBorder="1" applyAlignment="1">
      <alignment horizontal="right" vertical="center"/>
    </xf>
    <xf numFmtId="4" fontId="31" fillId="7" borderId="14" xfId="0" applyNumberFormat="1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right" vertical="center"/>
    </xf>
    <xf numFmtId="0" fontId="2" fillId="0" borderId="21" xfId="0" applyFont="1" applyBorder="1"/>
    <xf numFmtId="0" fontId="2" fillId="0" borderId="67" xfId="0" applyFont="1" applyBorder="1"/>
    <xf numFmtId="0" fontId="7" fillId="0" borderId="59" xfId="0" applyFont="1" applyBorder="1" applyAlignment="1">
      <alignment horizontal="left" vertical="center" wrapText="1"/>
    </xf>
    <xf numFmtId="0" fontId="2" fillId="0" borderId="60" xfId="0" applyFont="1" applyBorder="1"/>
    <xf numFmtId="0" fontId="9" fillId="2" borderId="43" xfId="0" applyFont="1" applyFill="1" applyBorder="1" applyAlignment="1">
      <alignment horizontal="left"/>
    </xf>
    <xf numFmtId="0" fontId="17" fillId="0" borderId="43" xfId="0" applyFont="1" applyBorder="1" applyAlignment="1">
      <alignment horizontal="left" vertical="center" wrapText="1"/>
    </xf>
    <xf numFmtId="167" fontId="32" fillId="0" borderId="14" xfId="0" applyNumberFormat="1" applyFont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/>
    </xf>
    <xf numFmtId="0" fontId="2" fillId="0" borderId="68" xfId="0" applyFont="1" applyBorder="1"/>
    <xf numFmtId="0" fontId="32" fillId="0" borderId="14" xfId="0" applyFont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left" vertical="center" wrapText="1"/>
    </xf>
    <xf numFmtId="167" fontId="32" fillId="0" borderId="14" xfId="0" applyNumberFormat="1" applyFont="1" applyBorder="1" applyAlignment="1">
      <alignment horizontal="center" vertical="center"/>
    </xf>
    <xf numFmtId="0" fontId="9" fillId="2" borderId="43" xfId="0" applyFont="1" applyFill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top"/>
    </xf>
    <xf numFmtId="0" fontId="9" fillId="0" borderId="3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2" fillId="0" borderId="36" xfId="0" applyFont="1" applyBorder="1"/>
    <xf numFmtId="0" fontId="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8" fillId="0" borderId="18" xfId="0" applyFont="1" applyBorder="1" applyAlignment="1">
      <alignment horizontal="center" vertical="center"/>
    </xf>
    <xf numFmtId="0" fontId="28" fillId="0" borderId="38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 wrapText="1"/>
    </xf>
    <xf numFmtId="0" fontId="80" fillId="0" borderId="2" xfId="0" applyFont="1" applyBorder="1"/>
    <xf numFmtId="0" fontId="80" fillId="0" borderId="3" xfId="0" applyFont="1" applyBorder="1"/>
    <xf numFmtId="4" fontId="33" fillId="0" borderId="1" xfId="0" applyNumberFormat="1" applyFont="1" applyBorder="1" applyAlignment="1">
      <alignment horizontal="right" vertical="center" wrapText="1"/>
    </xf>
    <xf numFmtId="0" fontId="77" fillId="0" borderId="1" xfId="0" applyFont="1" applyBorder="1" applyAlignment="1">
      <alignment horizontal="left" vertical="center" wrapText="1"/>
    </xf>
    <xf numFmtId="0" fontId="78" fillId="0" borderId="2" xfId="0" applyFont="1" applyBorder="1"/>
    <xf numFmtId="0" fontId="78" fillId="0" borderId="3" xfId="0" applyFont="1" applyBorder="1"/>
    <xf numFmtId="4" fontId="33" fillId="0" borderId="1" xfId="0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 vertical="center" wrapText="1"/>
    </xf>
    <xf numFmtId="167" fontId="87" fillId="0" borderId="1" xfId="0" applyNumberFormat="1" applyFont="1" applyBorder="1" applyAlignment="1">
      <alignment horizontal="right" vertical="center"/>
    </xf>
    <xf numFmtId="0" fontId="87" fillId="0" borderId="3" xfId="0" applyFont="1" applyBorder="1"/>
    <xf numFmtId="10" fontId="12" fillId="0" borderId="1" xfId="0" applyNumberFormat="1" applyFont="1" applyBorder="1" applyAlignment="1">
      <alignment horizontal="left" vertical="center" wrapText="1"/>
    </xf>
    <xf numFmtId="0" fontId="9" fillId="2" borderId="20" xfId="0" applyFont="1" applyFill="1" applyBorder="1" applyAlignment="1">
      <alignment horizontal="right" vertical="center"/>
    </xf>
    <xf numFmtId="0" fontId="2" fillId="0" borderId="22" xfId="0" applyFont="1" applyBorder="1"/>
    <xf numFmtId="0" fontId="7" fillId="0" borderId="8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left" wrapText="1"/>
    </xf>
    <xf numFmtId="3" fontId="26" fillId="0" borderId="1" xfId="0" applyNumberFormat="1" applyFont="1" applyBorder="1" applyAlignment="1">
      <alignment horizontal="right" vertical="center" wrapText="1"/>
    </xf>
    <xf numFmtId="0" fontId="81" fillId="2" borderId="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10" fontId="28" fillId="0" borderId="1" xfId="0" applyNumberFormat="1" applyFont="1" applyBorder="1" applyAlignment="1">
      <alignment horizontal="left" vertical="center" wrapText="1"/>
    </xf>
    <xf numFmtId="0" fontId="72" fillId="0" borderId="2" xfId="0" applyFont="1" applyBorder="1"/>
    <xf numFmtId="0" fontId="72" fillId="0" borderId="3" xfId="0" applyFont="1" applyBorder="1"/>
    <xf numFmtId="0" fontId="34" fillId="0" borderId="1" xfId="0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right" vertical="center"/>
    </xf>
    <xf numFmtId="0" fontId="10" fillId="0" borderId="40" xfId="0" applyFont="1" applyBorder="1" applyAlignment="1">
      <alignment horizontal="right" vertical="center" wrapText="1"/>
    </xf>
    <xf numFmtId="0" fontId="2" fillId="0" borderId="53" xfId="0" applyFont="1" applyBorder="1"/>
    <xf numFmtId="0" fontId="10" fillId="0" borderId="35" xfId="0" applyFont="1" applyBorder="1" applyAlignment="1">
      <alignment horizontal="center" vertical="center"/>
    </xf>
    <xf numFmtId="0" fontId="28" fillId="0" borderId="18" xfId="0" applyFont="1" applyBorder="1" applyAlignment="1">
      <alignment horizontal="left" vertical="center"/>
    </xf>
    <xf numFmtId="0" fontId="25" fillId="0" borderId="45" xfId="0" applyFont="1" applyBorder="1" applyAlignment="1">
      <alignment horizontal="center"/>
    </xf>
    <xf numFmtId="0" fontId="9" fillId="7" borderId="40" xfId="0" applyFont="1" applyFill="1" applyBorder="1" applyAlignment="1">
      <alignment horizontal="center" vertical="center" wrapText="1"/>
    </xf>
    <xf numFmtId="0" fontId="9" fillId="7" borderId="69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justify" vertical="center" wrapText="1"/>
    </xf>
    <xf numFmtId="0" fontId="2" fillId="0" borderId="19" xfId="0" applyFont="1" applyBorder="1" applyAlignment="1">
      <alignment horizontal="justify"/>
    </xf>
    <xf numFmtId="0" fontId="2" fillId="0" borderId="16" xfId="0" applyFont="1" applyBorder="1" applyAlignment="1">
      <alignment horizontal="justify"/>
    </xf>
    <xf numFmtId="4" fontId="31" fillId="7" borderId="5" xfId="0" applyNumberFormat="1" applyFont="1" applyFill="1" applyBorder="1" applyAlignment="1">
      <alignment horizontal="center" vertical="center"/>
    </xf>
    <xf numFmtId="0" fontId="16" fillId="7" borderId="61" xfId="0" applyFont="1" applyFill="1" applyBorder="1" applyAlignment="1">
      <alignment horizontal="right" vertical="center"/>
    </xf>
    <xf numFmtId="0" fontId="9" fillId="2" borderId="56" xfId="0" applyFont="1" applyFill="1" applyBorder="1" applyAlignment="1">
      <alignment horizontal="right" vertical="center"/>
    </xf>
    <xf numFmtId="0" fontId="2" fillId="0" borderId="57" xfId="0" applyFont="1" applyBorder="1"/>
    <xf numFmtId="0" fontId="2" fillId="0" borderId="58" xfId="0" applyFont="1" applyBorder="1"/>
    <xf numFmtId="0" fontId="9" fillId="2" borderId="45" xfId="0" applyFont="1" applyFill="1" applyBorder="1" applyAlignment="1">
      <alignment horizontal="left"/>
    </xf>
    <xf numFmtId="0" fontId="17" fillId="0" borderId="59" xfId="0" applyFont="1" applyBorder="1" applyAlignment="1">
      <alignment horizontal="left" vertical="center" wrapText="1"/>
    </xf>
    <xf numFmtId="167" fontId="32" fillId="0" borderId="8" xfId="0" applyNumberFormat="1" applyFont="1" applyBorder="1" applyAlignment="1">
      <alignment horizontal="center" vertical="center" wrapText="1"/>
    </xf>
    <xf numFmtId="0" fontId="19" fillId="16" borderId="28" xfId="0" applyFont="1" applyFill="1" applyBorder="1" applyAlignment="1">
      <alignment horizontal="center" vertical="center"/>
    </xf>
    <xf numFmtId="0" fontId="2" fillId="13" borderId="28" xfId="0" applyFont="1" applyFill="1" applyBorder="1"/>
    <xf numFmtId="0" fontId="82" fillId="4" borderId="28" xfId="0" applyFont="1" applyFill="1" applyBorder="1" applyAlignment="1">
      <alignment horizontal="center" vertical="center" wrapText="1"/>
    </xf>
    <xf numFmtId="0" fontId="79" fillId="0" borderId="28" xfId="0" applyFont="1" applyBorder="1"/>
    <xf numFmtId="164" fontId="65" fillId="11" borderId="28" xfId="0" applyNumberFormat="1" applyFont="1" applyFill="1" applyBorder="1" applyAlignment="1">
      <alignment horizontal="center"/>
    </xf>
    <xf numFmtId="0" fontId="20" fillId="11" borderId="28" xfId="0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75" fillId="0" borderId="0" xfId="0" applyFont="1"/>
    <xf numFmtId="0" fontId="1" fillId="14" borderId="28" xfId="0" applyFont="1" applyFill="1" applyBorder="1" applyAlignment="1">
      <alignment horizontal="center" vertical="center"/>
    </xf>
    <xf numFmtId="0" fontId="65" fillId="15" borderId="28" xfId="0" applyFont="1" applyFill="1" applyBorder="1"/>
    <xf numFmtId="0" fontId="3" fillId="0" borderId="28" xfId="0" applyFont="1" applyBorder="1" applyAlignment="1">
      <alignment horizontal="center" vertical="center"/>
    </xf>
    <xf numFmtId="164" fontId="1" fillId="14" borderId="28" xfId="0" applyNumberFormat="1" applyFont="1" applyFill="1" applyBorder="1" applyAlignment="1">
      <alignment horizontal="center" vertical="center"/>
    </xf>
    <xf numFmtId="0" fontId="1" fillId="11" borderId="2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71" fillId="16" borderId="1" xfId="0" applyFont="1" applyFill="1" applyBorder="1" applyAlignment="1">
      <alignment horizontal="center" vertical="center"/>
    </xf>
    <xf numFmtId="0" fontId="2" fillId="13" borderId="2" xfId="0" applyFont="1" applyFill="1" applyBorder="1"/>
    <xf numFmtId="0" fontId="2" fillId="13" borderId="3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11" borderId="14" xfId="0" applyFont="1" applyFill="1" applyBorder="1" applyAlignment="1">
      <alignment horizontal="right" vertical="center"/>
    </xf>
    <xf numFmtId="0" fontId="3" fillId="11" borderId="19" xfId="0" applyFont="1" applyFill="1" applyBorder="1" applyAlignment="1">
      <alignment horizontal="right" vertical="center"/>
    </xf>
    <xf numFmtId="0" fontId="3" fillId="11" borderId="16" xfId="0" applyFont="1" applyFill="1" applyBorder="1" applyAlignment="1">
      <alignment horizontal="right" vertical="center"/>
    </xf>
    <xf numFmtId="0" fontId="3" fillId="10" borderId="29" xfId="0" applyFont="1" applyFill="1" applyBorder="1" applyAlignment="1">
      <alignment horizontal="justify" vertical="justify" wrapText="1"/>
    </xf>
    <xf numFmtId="0" fontId="3" fillId="10" borderId="30" xfId="0" applyFont="1" applyFill="1" applyBorder="1" applyAlignment="1">
      <alignment horizontal="justify" vertical="justify" wrapText="1"/>
    </xf>
    <xf numFmtId="0" fontId="3" fillId="10" borderId="31" xfId="0" applyFont="1" applyFill="1" applyBorder="1" applyAlignment="1">
      <alignment horizontal="justify" vertical="justify" wrapText="1"/>
    </xf>
    <xf numFmtId="0" fontId="67" fillId="11" borderId="14" xfId="0" applyFont="1" applyFill="1" applyBorder="1" applyAlignment="1">
      <alignment horizontal="right" vertical="center"/>
    </xf>
    <xf numFmtId="0" fontId="67" fillId="11" borderId="5" xfId="0" applyFont="1" applyFill="1" applyBorder="1" applyAlignment="1">
      <alignment horizontal="right" vertical="center"/>
    </xf>
    <xf numFmtId="0" fontId="3" fillId="11" borderId="27" xfId="0" applyFont="1" applyFill="1" applyBorder="1" applyAlignment="1">
      <alignment horizontal="right" vertical="center"/>
    </xf>
    <xf numFmtId="0" fontId="3" fillId="11" borderId="6" xfId="0" applyFont="1" applyFill="1" applyBorder="1" applyAlignment="1">
      <alignment horizontal="right" vertical="center"/>
    </xf>
    <xf numFmtId="0" fontId="74" fillId="11" borderId="28" xfId="0" applyFont="1" applyFill="1" applyBorder="1" applyAlignment="1">
      <alignment horizontal="right"/>
    </xf>
    <xf numFmtId="0" fontId="0" fillId="11" borderId="28" xfId="0" applyFill="1" applyBorder="1" applyAlignment="1">
      <alignment horizontal="right"/>
    </xf>
    <xf numFmtId="0" fontId="3" fillId="11" borderId="5" xfId="0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FFFFCC"/>
      <color rgb="FF67D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zoomScaleNormal="100" workbookViewId="0">
      <selection activeCell="J30" sqref="J30"/>
    </sheetView>
  </sheetViews>
  <sheetFormatPr defaultColWidth="12.5703125" defaultRowHeight="15" customHeight="1"/>
  <cols>
    <col min="1" max="1" width="8" customWidth="1"/>
    <col min="2" max="2" width="15.42578125" customWidth="1"/>
    <col min="3" max="3" width="23.28515625" customWidth="1"/>
    <col min="4" max="4" width="22" customWidth="1"/>
    <col min="5" max="5" width="15.28515625" customWidth="1"/>
    <col min="6" max="6" width="12.5703125" customWidth="1"/>
    <col min="7" max="7" width="13.7109375" customWidth="1"/>
    <col min="8" max="26" width="8" customWidth="1"/>
  </cols>
  <sheetData>
    <row r="1" spans="1:7" ht="20.100000000000001" customHeight="1">
      <c r="A1" s="244" t="s">
        <v>433</v>
      </c>
      <c r="B1" s="245"/>
      <c r="C1" s="245"/>
      <c r="D1" s="245"/>
      <c r="E1" s="245"/>
      <c r="F1" s="245"/>
      <c r="G1" s="246"/>
    </row>
    <row r="2" spans="1:7" ht="20.100000000000001" customHeight="1">
      <c r="A2" s="247" t="s">
        <v>398</v>
      </c>
      <c r="B2" s="248"/>
      <c r="C2" s="248"/>
      <c r="D2" s="248"/>
      <c r="E2" s="248"/>
      <c r="F2" s="248"/>
      <c r="G2" s="249"/>
    </row>
    <row r="3" spans="1:7" ht="14.25" customHeight="1">
      <c r="A3" s="250" t="s">
        <v>0</v>
      </c>
      <c r="B3" s="251"/>
      <c r="C3" s="251"/>
      <c r="D3" s="251"/>
      <c r="E3" s="251"/>
      <c r="F3" s="251"/>
      <c r="G3" s="252"/>
    </row>
    <row r="4" spans="1:7" ht="12.75" customHeight="1">
      <c r="A4" s="212"/>
      <c r="B4" s="213"/>
      <c r="C4" s="213"/>
      <c r="D4" s="213"/>
      <c r="E4" s="213"/>
      <c r="F4" s="213"/>
      <c r="G4" s="214"/>
    </row>
    <row r="5" spans="1:7" ht="14.25" customHeight="1">
      <c r="A5" s="241" t="s">
        <v>1</v>
      </c>
      <c r="B5" s="242"/>
      <c r="C5" s="243"/>
      <c r="D5" s="3" t="s">
        <v>2</v>
      </c>
      <c r="E5" s="215"/>
      <c r="F5" s="215"/>
      <c r="G5" s="216"/>
    </row>
    <row r="6" spans="1:7" ht="14.25" customHeight="1">
      <c r="A6" s="241" t="s">
        <v>3</v>
      </c>
      <c r="B6" s="242"/>
      <c r="C6" s="243"/>
      <c r="D6" s="3" t="s">
        <v>4</v>
      </c>
      <c r="E6" s="215"/>
      <c r="F6" s="215"/>
      <c r="G6" s="216"/>
    </row>
    <row r="7" spans="1:7" ht="14.25" customHeight="1">
      <c r="A7" s="241" t="s">
        <v>5</v>
      </c>
      <c r="B7" s="242"/>
      <c r="C7" s="243"/>
      <c r="D7" s="3" t="s">
        <v>396</v>
      </c>
      <c r="E7" s="215"/>
      <c r="F7" s="215"/>
      <c r="G7" s="216"/>
    </row>
    <row r="8" spans="1:7" ht="14.25" customHeight="1">
      <c r="A8" s="241" t="s">
        <v>6</v>
      </c>
      <c r="B8" s="242"/>
      <c r="C8" s="243"/>
      <c r="D8" s="3" t="s">
        <v>7</v>
      </c>
      <c r="E8" s="215"/>
      <c r="F8" s="215"/>
      <c r="G8" s="216"/>
    </row>
    <row r="9" spans="1:7" ht="14.25" customHeight="1">
      <c r="A9" s="241" t="s">
        <v>8</v>
      </c>
      <c r="B9" s="242"/>
      <c r="C9" s="243"/>
      <c r="D9" s="4" t="s">
        <v>9</v>
      </c>
      <c r="E9" s="215"/>
      <c r="F9" s="215"/>
      <c r="G9" s="216"/>
    </row>
    <row r="10" spans="1:7" ht="14.25" customHeight="1">
      <c r="A10" s="253" t="s">
        <v>10</v>
      </c>
      <c r="B10" s="242"/>
      <c r="C10" s="243"/>
      <c r="D10" s="5">
        <v>1977.8</v>
      </c>
      <c r="E10" s="213"/>
      <c r="F10" s="213"/>
      <c r="G10" s="214"/>
    </row>
    <row r="11" spans="1:7" ht="14.25" customHeight="1">
      <c r="A11" s="253" t="s">
        <v>11</v>
      </c>
      <c r="B11" s="242"/>
      <c r="C11" s="243"/>
      <c r="D11" s="6">
        <f>D10/220</f>
        <v>8.99</v>
      </c>
      <c r="E11" s="213"/>
      <c r="F11" s="213"/>
      <c r="G11" s="214"/>
    </row>
    <row r="12" spans="1:7" ht="14.25" customHeight="1">
      <c r="A12" s="253" t="s">
        <v>12</v>
      </c>
      <c r="B12" s="242"/>
      <c r="C12" s="243"/>
      <c r="D12" s="6">
        <f>D11*0.2</f>
        <v>1.798</v>
      </c>
      <c r="E12" s="213"/>
      <c r="F12" s="213"/>
      <c r="G12" s="214"/>
    </row>
    <row r="13" spans="1:7" ht="14.25" customHeight="1">
      <c r="A13" s="253" t="s">
        <v>13</v>
      </c>
      <c r="B13" s="242"/>
      <c r="C13" s="243"/>
      <c r="D13" s="7">
        <v>0.3</v>
      </c>
      <c r="E13" s="213"/>
      <c r="F13" s="213"/>
      <c r="G13" s="214"/>
    </row>
    <row r="14" spans="1:7" ht="14.25" customHeight="1">
      <c r="A14" s="253" t="s">
        <v>14</v>
      </c>
      <c r="B14" s="242"/>
      <c r="C14" s="243"/>
      <c r="D14" s="5">
        <v>27</v>
      </c>
      <c r="E14" s="213"/>
      <c r="F14" s="213"/>
      <c r="G14" s="214"/>
    </row>
    <row r="15" spans="1:7" ht="14.25" customHeight="1">
      <c r="A15" s="253" t="s">
        <v>15</v>
      </c>
      <c r="B15" s="242"/>
      <c r="C15" s="243"/>
      <c r="D15" s="8">
        <v>0.2</v>
      </c>
      <c r="E15" s="213"/>
      <c r="F15" s="213"/>
      <c r="G15" s="214"/>
    </row>
    <row r="16" spans="1:7" ht="14.25" customHeight="1">
      <c r="A16" s="253" t="s">
        <v>16</v>
      </c>
      <c r="B16" s="242"/>
      <c r="C16" s="243"/>
      <c r="D16" s="6">
        <f>D11/6</f>
        <v>1.4983333333333333</v>
      </c>
      <c r="E16" s="213"/>
      <c r="F16" s="213"/>
      <c r="G16" s="214"/>
    </row>
    <row r="17" spans="1:9" ht="12.75" customHeight="1">
      <c r="A17" s="212"/>
      <c r="B17" s="217"/>
      <c r="C17" s="217"/>
      <c r="D17" s="217"/>
      <c r="E17" s="217"/>
      <c r="F17" s="213"/>
      <c r="G17" s="214"/>
    </row>
    <row r="18" spans="1:9" ht="14.25" customHeight="1">
      <c r="A18" s="267" t="s">
        <v>17</v>
      </c>
      <c r="B18" s="268"/>
      <c r="C18" s="271" t="s">
        <v>18</v>
      </c>
      <c r="D18" s="243"/>
      <c r="E18" s="261" t="s">
        <v>19</v>
      </c>
      <c r="F18" s="213"/>
      <c r="G18" s="214"/>
    </row>
    <row r="19" spans="1:9" ht="12.75" customHeight="1">
      <c r="A19" s="269"/>
      <c r="B19" s="270"/>
      <c r="C19" s="9" t="s">
        <v>20</v>
      </c>
      <c r="D19" s="9" t="s">
        <v>21</v>
      </c>
      <c r="E19" s="263"/>
      <c r="F19" s="213"/>
      <c r="G19" s="214"/>
    </row>
    <row r="20" spans="1:9" ht="14.25" customHeight="1">
      <c r="A20" s="272" t="s">
        <v>9</v>
      </c>
      <c r="B20" s="243"/>
      <c r="C20" s="181">
        <v>2</v>
      </c>
      <c r="D20" s="234">
        <v>4.8</v>
      </c>
      <c r="E20" s="235">
        <v>2.5000000000000001E-2</v>
      </c>
      <c r="F20" s="213"/>
      <c r="G20" s="214"/>
    </row>
    <row r="21" spans="1:9" ht="14.25" customHeight="1">
      <c r="A21" s="272" t="s">
        <v>23</v>
      </c>
      <c r="B21" s="243"/>
      <c r="C21" s="12">
        <v>0.03</v>
      </c>
      <c r="D21" s="11" t="s">
        <v>24</v>
      </c>
      <c r="E21" s="10">
        <v>0.06</v>
      </c>
      <c r="F21" s="218"/>
      <c r="G21" s="219"/>
    </row>
    <row r="22" spans="1:9" ht="14.25" customHeight="1">
      <c r="A22" s="272" t="s">
        <v>25</v>
      </c>
      <c r="B22" s="243"/>
      <c r="C22" s="12">
        <v>6.4999999999999997E-3</v>
      </c>
      <c r="D22" s="11" t="s">
        <v>26</v>
      </c>
      <c r="E22" s="10">
        <v>6.7900000000000002E-2</v>
      </c>
      <c r="F22" s="218"/>
      <c r="G22" s="219"/>
    </row>
    <row r="23" spans="1:9" ht="14.25" customHeight="1">
      <c r="A23" s="254" t="s">
        <v>27</v>
      </c>
      <c r="B23" s="255"/>
      <c r="C23" s="19">
        <v>1</v>
      </c>
      <c r="D23" s="273"/>
      <c r="E23" s="274"/>
      <c r="F23" s="218"/>
      <c r="G23" s="219"/>
    </row>
    <row r="24" spans="1:9" ht="12.75" customHeight="1">
      <c r="A24" s="212"/>
      <c r="B24" s="220"/>
      <c r="C24" s="221"/>
      <c r="D24" s="222"/>
      <c r="E24" s="218"/>
      <c r="F24" s="218"/>
      <c r="G24" s="219"/>
    </row>
    <row r="25" spans="1:9" ht="12.75" customHeight="1">
      <c r="A25" s="212"/>
      <c r="B25" s="213"/>
      <c r="C25" s="213"/>
      <c r="D25" s="213"/>
      <c r="E25" s="213"/>
      <c r="F25" s="213"/>
      <c r="G25" s="214"/>
    </row>
    <row r="26" spans="1:9" ht="19.5" customHeight="1">
      <c r="A26" s="259" t="s">
        <v>28</v>
      </c>
      <c r="B26" s="242"/>
      <c r="C26" s="242"/>
      <c r="D26" s="242"/>
      <c r="E26" s="242"/>
      <c r="F26" s="242"/>
      <c r="G26" s="260"/>
    </row>
    <row r="27" spans="1:9" ht="25.5" customHeight="1">
      <c r="A27" s="223" t="s">
        <v>29</v>
      </c>
      <c r="B27" s="13" t="s">
        <v>30</v>
      </c>
      <c r="C27" s="13" t="s">
        <v>31</v>
      </c>
      <c r="D27" s="14" t="s">
        <v>32</v>
      </c>
      <c r="E27" s="13" t="s">
        <v>33</v>
      </c>
      <c r="F27" s="13" t="s">
        <v>34</v>
      </c>
      <c r="G27" s="224" t="s">
        <v>35</v>
      </c>
    </row>
    <row r="28" spans="1:9" ht="12.75" customHeight="1">
      <c r="A28" s="225">
        <v>1</v>
      </c>
      <c r="B28" s="261" t="s">
        <v>36</v>
      </c>
      <c r="C28" s="15" t="s">
        <v>37</v>
      </c>
      <c r="D28" s="16">
        <v>1</v>
      </c>
      <c r="E28" s="17">
        <f>'12x36 DIURNO'!I173</f>
        <v>12377.95</v>
      </c>
      <c r="F28" s="17">
        <f t="shared" ref="F28:F31" si="0">D28*E28</f>
        <v>12377.95</v>
      </c>
      <c r="G28" s="226">
        <f t="shared" ref="G28:G31" si="1">F28*12</f>
        <v>148535.40000000002</v>
      </c>
      <c r="H28" s="240"/>
      <c r="I28" s="240"/>
    </row>
    <row r="29" spans="1:9" ht="12.75" customHeight="1">
      <c r="A29" s="227">
        <v>2</v>
      </c>
      <c r="B29" s="262"/>
      <c r="C29" s="18" t="s">
        <v>38</v>
      </c>
      <c r="D29" s="19">
        <v>1</v>
      </c>
      <c r="E29" s="20">
        <f>'12x36 NOTURNO'!I174</f>
        <v>14185.56</v>
      </c>
      <c r="F29" s="20">
        <f t="shared" si="0"/>
        <v>14185.56</v>
      </c>
      <c r="G29" s="228">
        <f t="shared" si="1"/>
        <v>170226.72</v>
      </c>
      <c r="H29" s="240"/>
      <c r="I29" s="240"/>
    </row>
    <row r="30" spans="1:9" ht="25.5" customHeight="1">
      <c r="A30" s="225">
        <v>3</v>
      </c>
      <c r="B30" s="262"/>
      <c r="C30" s="21" t="s">
        <v>39</v>
      </c>
      <c r="D30" s="16">
        <v>1</v>
      </c>
      <c r="E30" s="17">
        <f>'40H Diurno (7h_15h)'!I171</f>
        <v>6074.93</v>
      </c>
      <c r="F30" s="17">
        <f t="shared" si="0"/>
        <v>6074.93</v>
      </c>
      <c r="G30" s="226">
        <f t="shared" si="1"/>
        <v>72899.16</v>
      </c>
      <c r="H30" s="240"/>
      <c r="I30" s="240"/>
    </row>
    <row r="31" spans="1:9" ht="25.5" customHeight="1">
      <c r="A31" s="229">
        <v>4</v>
      </c>
      <c r="B31" s="263"/>
      <c r="C31" s="22" t="s">
        <v>40</v>
      </c>
      <c r="D31" s="148">
        <v>1</v>
      </c>
      <c r="E31" s="23">
        <f>'40h Diurno (15h_23h)'!I175</f>
        <v>6363.1</v>
      </c>
      <c r="F31" s="20">
        <f t="shared" si="0"/>
        <v>6363.1</v>
      </c>
      <c r="G31" s="228">
        <f t="shared" si="1"/>
        <v>76357.200000000012</v>
      </c>
      <c r="H31" s="240"/>
      <c r="I31" s="240"/>
    </row>
    <row r="32" spans="1:9" ht="14.25" customHeight="1">
      <c r="A32" s="264" t="s">
        <v>41</v>
      </c>
      <c r="B32" s="265"/>
      <c r="C32" s="265"/>
      <c r="D32" s="265"/>
      <c r="E32" s="266"/>
      <c r="F32" s="230">
        <f t="shared" ref="F32:G32" si="2">SUM(F28:F31)</f>
        <v>39001.54</v>
      </c>
      <c r="G32" s="231">
        <f t="shared" si="2"/>
        <v>468018.48000000004</v>
      </c>
      <c r="H32" s="240"/>
    </row>
    <row r="33" spans="1:7" ht="12.75" customHeight="1"/>
    <row r="34" spans="1:7" ht="30" customHeight="1">
      <c r="A34" s="256" t="s">
        <v>401</v>
      </c>
      <c r="B34" s="257"/>
      <c r="C34" s="257"/>
      <c r="D34" s="257"/>
      <c r="E34" s="257"/>
      <c r="F34" s="257"/>
      <c r="G34" s="258"/>
    </row>
    <row r="35" spans="1:7" ht="12.75" customHeight="1"/>
    <row r="36" spans="1:7" ht="12.75" customHeight="1"/>
    <row r="37" spans="1:7" ht="12.75" customHeight="1"/>
    <row r="38" spans="1:7" ht="12.75" customHeight="1"/>
    <row r="39" spans="1:7" ht="12.75" customHeight="1"/>
    <row r="40" spans="1:7" ht="12.75" customHeight="1"/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8:8" ht="12.75" customHeight="1"/>
    <row r="66" spans="8:8" ht="12.75" customHeight="1"/>
    <row r="67" spans="8:8" ht="12.75" customHeight="1"/>
    <row r="68" spans="8:8" ht="12.75" customHeight="1"/>
    <row r="69" spans="8:8" ht="12.75" customHeight="1"/>
    <row r="70" spans="8:8" ht="12.75" customHeight="1"/>
    <row r="71" spans="8:8" ht="12.75" customHeight="1"/>
    <row r="72" spans="8:8" ht="12.75" customHeight="1"/>
    <row r="73" spans="8:8" ht="12.75" customHeight="1"/>
    <row r="74" spans="8:8" ht="12.75" customHeight="1"/>
    <row r="75" spans="8:8" ht="12.75" customHeight="1"/>
    <row r="76" spans="8:8" ht="12.75" customHeight="1">
      <c r="H76">
        <f>Consolidação!D142727</f>
        <v>0</v>
      </c>
    </row>
    <row r="77" spans="8:8" ht="12.75" customHeight="1"/>
    <row r="78" spans="8:8" ht="12.75" customHeight="1"/>
    <row r="79" spans="8:8" ht="12.75" customHeight="1"/>
    <row r="80" spans="8: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7">
    <mergeCell ref="A34:G34"/>
    <mergeCell ref="A26:G26"/>
    <mergeCell ref="B28:B31"/>
    <mergeCell ref="A32:E32"/>
    <mergeCell ref="A16:C16"/>
    <mergeCell ref="A18:B19"/>
    <mergeCell ref="C18:D18"/>
    <mergeCell ref="E18:E19"/>
    <mergeCell ref="A20:B20"/>
    <mergeCell ref="A21:B21"/>
    <mergeCell ref="A22:B22"/>
    <mergeCell ref="D23:E23"/>
    <mergeCell ref="A12:C12"/>
    <mergeCell ref="A13:C13"/>
    <mergeCell ref="A14:C14"/>
    <mergeCell ref="A15:C15"/>
    <mergeCell ref="A23:B23"/>
    <mergeCell ref="A7:C7"/>
    <mergeCell ref="A8:C8"/>
    <mergeCell ref="A9:C9"/>
    <mergeCell ref="A10:C10"/>
    <mergeCell ref="A11:C11"/>
    <mergeCell ref="A5:C5"/>
    <mergeCell ref="A6:C6"/>
    <mergeCell ref="A1:G1"/>
    <mergeCell ref="A2:G2"/>
    <mergeCell ref="A3:G3"/>
  </mergeCells>
  <pageMargins left="0.7" right="0.7" top="0.75" bottom="0.75" header="0" footer="0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9"/>
  <sheetViews>
    <sheetView view="pageBreakPreview" topLeftCell="A185" zoomScaleNormal="90" zoomScaleSheetLayoutView="100" workbookViewId="0">
      <selection activeCell="N50" sqref="N50"/>
    </sheetView>
  </sheetViews>
  <sheetFormatPr defaultColWidth="12.5703125" defaultRowHeight="15" customHeight="1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9.85546875" customWidth="1"/>
    <col min="8" max="8" width="11.28515625" customWidth="1"/>
    <col min="9" max="9" width="14.5703125" customWidth="1"/>
    <col min="10" max="10" width="10.7109375" customWidth="1"/>
    <col min="11" max="11" width="11.140625" customWidth="1"/>
    <col min="12" max="12" width="7.42578125" customWidth="1"/>
    <col min="13" max="13" width="6.5703125" customWidth="1"/>
    <col min="14" max="15" width="9.28515625" customWidth="1"/>
    <col min="16" max="29" width="9.140625" customWidth="1"/>
  </cols>
  <sheetData>
    <row r="1" spans="1:29" ht="32.25" customHeight="1">
      <c r="A1" s="275" t="s">
        <v>42</v>
      </c>
      <c r="B1" s="276"/>
      <c r="C1" s="276"/>
      <c r="D1" s="276"/>
      <c r="E1" s="276"/>
      <c r="F1" s="276"/>
      <c r="G1" s="276"/>
      <c r="H1" s="276"/>
      <c r="I1" s="270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41.25" customHeight="1">
      <c r="A2" s="277" t="s">
        <v>434</v>
      </c>
      <c r="B2" s="278"/>
      <c r="C2" s="278"/>
      <c r="D2" s="278"/>
      <c r="E2" s="278"/>
      <c r="F2" s="278"/>
      <c r="G2" s="278"/>
      <c r="H2" s="278"/>
      <c r="I2" s="279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 ht="15.75" customHeight="1">
      <c r="A3" s="280" t="s">
        <v>43</v>
      </c>
      <c r="B3" s="276"/>
      <c r="C3" s="276"/>
      <c r="D3" s="276"/>
      <c r="E3" s="270"/>
      <c r="F3" s="281" t="s">
        <v>396</v>
      </c>
      <c r="G3" s="276"/>
      <c r="H3" s="276"/>
      <c r="I3" s="270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15.75" customHeight="1">
      <c r="A4" s="282" t="s">
        <v>44</v>
      </c>
      <c r="B4" s="278"/>
      <c r="C4" s="278"/>
      <c r="D4" s="278"/>
      <c r="E4" s="279"/>
      <c r="F4" s="283" t="s">
        <v>397</v>
      </c>
      <c r="G4" s="284"/>
      <c r="H4" s="284"/>
      <c r="I4" s="28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ht="14.25" customHeight="1">
      <c r="A5" s="282" t="s">
        <v>45</v>
      </c>
      <c r="B5" s="278"/>
      <c r="C5" s="278"/>
      <c r="D5" s="278"/>
      <c r="E5" s="278"/>
      <c r="F5" s="278"/>
      <c r="G5" s="278"/>
      <c r="H5" s="278"/>
      <c r="I5" s="279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ht="20.25" customHeight="1">
      <c r="A6" s="286" t="s">
        <v>46</v>
      </c>
      <c r="B6" s="278"/>
      <c r="C6" s="278"/>
      <c r="D6" s="278"/>
      <c r="E6" s="278"/>
      <c r="F6" s="278"/>
      <c r="G6" s="278"/>
      <c r="H6" s="278"/>
      <c r="I6" s="279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ht="15.75" customHeight="1">
      <c r="A7" s="25" t="s">
        <v>47</v>
      </c>
      <c r="B7" s="282" t="s">
        <v>48</v>
      </c>
      <c r="C7" s="278"/>
      <c r="D7" s="278"/>
      <c r="E7" s="278"/>
      <c r="F7" s="278"/>
      <c r="G7" s="279"/>
      <c r="H7" s="287"/>
      <c r="I7" s="279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ht="15.75" customHeight="1">
      <c r="A8" s="25" t="s">
        <v>49</v>
      </c>
      <c r="B8" s="282" t="s">
        <v>50</v>
      </c>
      <c r="C8" s="278"/>
      <c r="D8" s="278"/>
      <c r="E8" s="278"/>
      <c r="F8" s="278"/>
      <c r="G8" s="279"/>
      <c r="H8" s="288" t="s">
        <v>9</v>
      </c>
      <c r="I8" s="279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ht="19.5" customHeight="1">
      <c r="A9" s="25" t="s">
        <v>51</v>
      </c>
      <c r="B9" s="282" t="s">
        <v>52</v>
      </c>
      <c r="C9" s="278"/>
      <c r="D9" s="278"/>
      <c r="E9" s="278"/>
      <c r="F9" s="278"/>
      <c r="G9" s="279"/>
      <c r="H9" s="288" t="s">
        <v>53</v>
      </c>
      <c r="I9" s="279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ht="34.5" customHeight="1">
      <c r="A10" s="25" t="s">
        <v>54</v>
      </c>
      <c r="B10" s="282" t="s">
        <v>55</v>
      </c>
      <c r="C10" s="278"/>
      <c r="D10" s="278"/>
      <c r="E10" s="278"/>
      <c r="F10" s="278"/>
      <c r="G10" s="279"/>
      <c r="H10" s="288">
        <v>12</v>
      </c>
      <c r="I10" s="279"/>
      <c r="J10" s="24"/>
      <c r="K10" s="26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ht="21" customHeight="1">
      <c r="A11" s="291" t="s">
        <v>56</v>
      </c>
      <c r="B11" s="278"/>
      <c r="C11" s="278"/>
      <c r="D11" s="278"/>
      <c r="E11" s="278"/>
      <c r="F11" s="278"/>
      <c r="G11" s="278"/>
      <c r="H11" s="278"/>
      <c r="I11" s="279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ht="50.25" customHeight="1">
      <c r="A12" s="292" t="s">
        <v>57</v>
      </c>
      <c r="B12" s="278"/>
      <c r="C12" s="278"/>
      <c r="D12" s="278"/>
      <c r="E12" s="293"/>
      <c r="F12" s="292" t="s">
        <v>58</v>
      </c>
      <c r="G12" s="279"/>
      <c r="H12" s="292" t="s">
        <v>59</v>
      </c>
      <c r="I12" s="279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ht="12.75" customHeight="1">
      <c r="A13" s="294" t="s">
        <v>60</v>
      </c>
      <c r="B13" s="278"/>
      <c r="C13" s="278"/>
      <c r="D13" s="278"/>
      <c r="E13" s="279"/>
      <c r="F13" s="289" t="s">
        <v>61</v>
      </c>
      <c r="G13" s="279"/>
      <c r="H13" s="290">
        <v>1</v>
      </c>
      <c r="I13" s="279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12.75" customHeight="1">
      <c r="A14" s="297" t="s">
        <v>62</v>
      </c>
      <c r="B14" s="278"/>
      <c r="C14" s="278"/>
      <c r="D14" s="278"/>
      <c r="E14" s="278"/>
      <c r="F14" s="278"/>
      <c r="G14" s="279"/>
      <c r="H14" s="298">
        <f>SUM(H13)</f>
        <v>1</v>
      </c>
      <c r="I14" s="279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8.25" customHeight="1">
      <c r="A15" s="299"/>
      <c r="B15" s="278"/>
      <c r="C15" s="278"/>
      <c r="D15" s="278"/>
      <c r="E15" s="278"/>
      <c r="F15" s="278"/>
      <c r="G15" s="278"/>
      <c r="H15" s="278"/>
      <c r="I15" s="279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ht="51.75" customHeight="1">
      <c r="A16" s="300" t="s">
        <v>63</v>
      </c>
      <c r="B16" s="278"/>
      <c r="C16" s="278"/>
      <c r="D16" s="278"/>
      <c r="E16" s="278"/>
      <c r="F16" s="278"/>
      <c r="G16" s="278"/>
      <c r="H16" s="278"/>
      <c r="I16" s="279"/>
      <c r="J16" s="27"/>
      <c r="K16" s="28"/>
      <c r="L16" s="29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ht="9.75" customHeight="1">
      <c r="A17" s="301"/>
      <c r="B17" s="278"/>
      <c r="C17" s="278"/>
      <c r="D17" s="278"/>
      <c r="E17" s="278"/>
      <c r="F17" s="278"/>
      <c r="G17" s="278"/>
      <c r="H17" s="278"/>
      <c r="I17" s="279"/>
      <c r="J17" s="27"/>
      <c r="K17" s="28"/>
      <c r="L17" s="29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ht="21.75" customHeight="1">
      <c r="A18" s="286" t="s">
        <v>64</v>
      </c>
      <c r="B18" s="278"/>
      <c r="C18" s="278"/>
      <c r="D18" s="278"/>
      <c r="E18" s="278"/>
      <c r="F18" s="278"/>
      <c r="G18" s="278"/>
      <c r="H18" s="278"/>
      <c r="I18" s="279"/>
      <c r="J18" s="295"/>
      <c r="K18" s="296"/>
      <c r="L18" s="296"/>
      <c r="M18" s="296"/>
      <c r="N18" s="296"/>
      <c r="O18" s="296"/>
      <c r="P18" s="296"/>
      <c r="Q18" s="295"/>
      <c r="R18" s="296"/>
      <c r="S18" s="296"/>
      <c r="T18" s="296"/>
      <c r="U18" s="296"/>
      <c r="V18" s="296"/>
      <c r="W18" s="296"/>
      <c r="X18" s="296"/>
      <c r="Y18" s="295"/>
      <c r="Z18" s="296"/>
      <c r="AA18" s="296"/>
      <c r="AB18" s="296"/>
      <c r="AC18" s="296"/>
    </row>
    <row r="19" spans="1:29" ht="27" customHeight="1">
      <c r="A19" s="25">
        <v>1</v>
      </c>
      <c r="B19" s="302" t="s">
        <v>65</v>
      </c>
      <c r="C19" s="278"/>
      <c r="D19" s="278"/>
      <c r="E19" s="278"/>
      <c r="F19" s="278"/>
      <c r="G19" s="279"/>
      <c r="H19" s="305" t="s">
        <v>66</v>
      </c>
      <c r="I19" s="279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19.5" customHeight="1">
      <c r="A20" s="13">
        <v>2</v>
      </c>
      <c r="B20" s="302" t="s">
        <v>67</v>
      </c>
      <c r="C20" s="278"/>
      <c r="D20" s="278"/>
      <c r="E20" s="278"/>
      <c r="F20" s="278"/>
      <c r="G20" s="279"/>
      <c r="H20" s="306" t="s">
        <v>68</v>
      </c>
      <c r="I20" s="279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15.75" customHeight="1">
      <c r="A21" s="25">
        <v>3</v>
      </c>
      <c r="B21" s="302" t="s">
        <v>69</v>
      </c>
      <c r="C21" s="278"/>
      <c r="D21" s="278"/>
      <c r="E21" s="278"/>
      <c r="F21" s="278"/>
      <c r="G21" s="279"/>
      <c r="H21" s="307">
        <f>Consolidação!D10</f>
        <v>1977.8</v>
      </c>
      <c r="I21" s="308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15.75" customHeight="1">
      <c r="A22" s="25">
        <v>4</v>
      </c>
      <c r="B22" s="302" t="s">
        <v>70</v>
      </c>
      <c r="C22" s="278"/>
      <c r="D22" s="278"/>
      <c r="E22" s="278"/>
      <c r="F22" s="278"/>
      <c r="G22" s="279"/>
      <c r="H22" s="309" t="s">
        <v>71</v>
      </c>
      <c r="I22" s="279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15.75" customHeight="1">
      <c r="A23" s="25">
        <v>5</v>
      </c>
      <c r="B23" s="302" t="s">
        <v>72</v>
      </c>
      <c r="C23" s="278"/>
      <c r="D23" s="278"/>
      <c r="E23" s="278"/>
      <c r="F23" s="278"/>
      <c r="G23" s="279"/>
      <c r="H23" s="310" t="s">
        <v>53</v>
      </c>
      <c r="I23" s="279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7" customHeight="1">
      <c r="A24" s="30">
        <v>6</v>
      </c>
      <c r="B24" s="302" t="s">
        <v>73</v>
      </c>
      <c r="C24" s="278"/>
      <c r="D24" s="278"/>
      <c r="E24" s="278"/>
      <c r="F24" s="278"/>
      <c r="G24" s="279"/>
      <c r="H24" s="303">
        <f>ROUND((H21/220),2)</f>
        <v>8.99</v>
      </c>
      <c r="I24" s="304"/>
      <c r="AC24" s="24"/>
    </row>
    <row r="25" spans="1:29" ht="23.25" customHeight="1">
      <c r="A25" s="30">
        <v>7</v>
      </c>
      <c r="B25" s="302" t="s">
        <v>74</v>
      </c>
      <c r="C25" s="278"/>
      <c r="D25" s="278"/>
      <c r="E25" s="278"/>
      <c r="F25" s="278"/>
      <c r="G25" s="279"/>
      <c r="H25" s="311">
        <f>TRUNC(H24*1.5,2)</f>
        <v>13.48</v>
      </c>
      <c r="I25" s="304"/>
      <c r="AC25" s="24"/>
    </row>
    <row r="26" spans="1:29" ht="26.25" customHeight="1">
      <c r="A26" s="30">
        <v>8</v>
      </c>
      <c r="B26" s="302" t="s">
        <v>75</v>
      </c>
      <c r="C26" s="278"/>
      <c r="D26" s="278"/>
      <c r="E26" s="278"/>
      <c r="F26" s="278"/>
      <c r="G26" s="279"/>
      <c r="H26" s="303">
        <f>ROUND(H24*0.2,2)</f>
        <v>1.8</v>
      </c>
      <c r="I26" s="304"/>
      <c r="AC26" s="24"/>
    </row>
    <row r="27" spans="1:29" ht="16.5" customHeight="1">
      <c r="A27" s="30">
        <v>9</v>
      </c>
      <c r="B27" s="302" t="s">
        <v>76</v>
      </c>
      <c r="C27" s="278"/>
      <c r="D27" s="278"/>
      <c r="E27" s="278"/>
      <c r="F27" s="278"/>
      <c r="G27" s="279"/>
      <c r="H27" s="303">
        <f>ROUND(H24/6,2)</f>
        <v>1.5</v>
      </c>
      <c r="I27" s="304"/>
    </row>
    <row r="28" spans="1:29" ht="15.75" customHeight="1">
      <c r="A28" s="30">
        <v>10</v>
      </c>
      <c r="B28" s="312" t="s">
        <v>77</v>
      </c>
      <c r="C28" s="278"/>
      <c r="D28" s="278"/>
      <c r="E28" s="278"/>
      <c r="F28" s="278"/>
      <c r="G28" s="279"/>
      <c r="H28" s="313">
        <v>2</v>
      </c>
      <c r="I28" s="279"/>
    </row>
    <row r="29" spans="1:29" ht="9" customHeight="1">
      <c r="A29" s="314"/>
      <c r="B29" s="278"/>
      <c r="C29" s="278"/>
      <c r="D29" s="278"/>
      <c r="E29" s="278"/>
      <c r="F29" s="278"/>
      <c r="G29" s="278"/>
      <c r="H29" s="278"/>
      <c r="I29" s="279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ht="21.75" customHeight="1">
      <c r="A30" s="315" t="s">
        <v>78</v>
      </c>
      <c r="B30" s="278"/>
      <c r="C30" s="278"/>
      <c r="D30" s="278"/>
      <c r="E30" s="278"/>
      <c r="F30" s="278"/>
      <c r="G30" s="278"/>
      <c r="H30" s="278"/>
      <c r="I30" s="279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ht="9" customHeight="1">
      <c r="A31" s="316"/>
      <c r="B31" s="278"/>
      <c r="C31" s="278"/>
      <c r="D31" s="278"/>
      <c r="E31" s="278"/>
      <c r="F31" s="278"/>
      <c r="G31" s="278"/>
      <c r="H31" s="278"/>
      <c r="I31" s="279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ht="20.25" customHeight="1">
      <c r="A32" s="317" t="s">
        <v>79</v>
      </c>
      <c r="B32" s="278"/>
      <c r="C32" s="278"/>
      <c r="D32" s="278"/>
      <c r="E32" s="278"/>
      <c r="F32" s="278"/>
      <c r="G32" s="278"/>
      <c r="H32" s="278"/>
      <c r="I32" s="279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ht="30" customHeight="1">
      <c r="A33" s="31">
        <v>1</v>
      </c>
      <c r="B33" s="318" t="s">
        <v>80</v>
      </c>
      <c r="C33" s="278"/>
      <c r="D33" s="278"/>
      <c r="E33" s="278"/>
      <c r="F33" s="278"/>
      <c r="G33" s="279"/>
      <c r="H33" s="32" t="s">
        <v>81</v>
      </c>
      <c r="I33" s="31" t="s">
        <v>82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ht="19.5" customHeight="1">
      <c r="A34" s="25" t="s">
        <v>47</v>
      </c>
      <c r="B34" s="302" t="s">
        <v>414</v>
      </c>
      <c r="C34" s="278"/>
      <c r="D34" s="278"/>
      <c r="E34" s="278"/>
      <c r="F34" s="278"/>
      <c r="G34" s="278"/>
      <c r="H34" s="279"/>
      <c r="I34" s="34">
        <f>H21*2</f>
        <v>3955.6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ht="33.950000000000003" customHeight="1">
      <c r="A35" s="25" t="s">
        <v>49</v>
      </c>
      <c r="B35" s="319" t="s">
        <v>406</v>
      </c>
      <c r="C35" s="320"/>
      <c r="D35" s="320"/>
      <c r="E35" s="320"/>
      <c r="F35" s="320"/>
      <c r="G35" s="320"/>
      <c r="H35" s="321"/>
      <c r="I35" s="34">
        <f>ROUND(H27*H28*15,2)</f>
        <v>45</v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ht="39" customHeight="1">
      <c r="A36" s="25" t="s">
        <v>83</v>
      </c>
      <c r="B36" s="302" t="s">
        <v>84</v>
      </c>
      <c r="C36" s="278"/>
      <c r="D36" s="278"/>
      <c r="E36" s="278"/>
      <c r="F36" s="278"/>
      <c r="G36" s="278"/>
      <c r="H36" s="279"/>
      <c r="I36" s="34">
        <f>ROUND(SUM(I35)*0.2,2)</f>
        <v>9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ht="24.75" customHeight="1">
      <c r="A37" s="25" t="s">
        <v>54</v>
      </c>
      <c r="B37" s="302" t="s">
        <v>85</v>
      </c>
      <c r="C37" s="278"/>
      <c r="D37" s="278"/>
      <c r="E37" s="278"/>
      <c r="F37" s="278"/>
      <c r="G37" s="279"/>
      <c r="H37" s="35">
        <v>0.3</v>
      </c>
      <c r="I37" s="34">
        <f>ROUND(H37*SUM(I34:I36),2)</f>
        <v>1202.8800000000001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27.75" customHeight="1">
      <c r="A38" s="286" t="s">
        <v>86</v>
      </c>
      <c r="B38" s="278"/>
      <c r="C38" s="278"/>
      <c r="D38" s="278"/>
      <c r="E38" s="278"/>
      <c r="F38" s="278"/>
      <c r="G38" s="278"/>
      <c r="H38" s="279"/>
      <c r="I38" s="36">
        <f>SUM(I34:I37)</f>
        <v>5212.4799999999996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ht="9.75" customHeight="1">
      <c r="A39" s="322"/>
      <c r="B39" s="278"/>
      <c r="C39" s="278"/>
      <c r="D39" s="278"/>
      <c r="E39" s="278"/>
      <c r="F39" s="278"/>
      <c r="G39" s="278"/>
      <c r="H39" s="278"/>
      <c r="I39" s="279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ht="29.25" customHeight="1">
      <c r="A40" s="25" t="s">
        <v>87</v>
      </c>
      <c r="B40" s="302" t="s">
        <v>88</v>
      </c>
      <c r="C40" s="278"/>
      <c r="D40" s="278"/>
      <c r="E40" s="278"/>
      <c r="F40" s="278"/>
      <c r="G40" s="278"/>
      <c r="H40" s="279"/>
      <c r="I40" s="34">
        <f>ROUND(H25*15*H28*0.5,2)</f>
        <v>202.2</v>
      </c>
      <c r="J40" s="24"/>
      <c r="K40" s="24"/>
      <c r="L40" s="37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ht="15.75" customHeight="1">
      <c r="A41" s="323" t="s">
        <v>395</v>
      </c>
      <c r="B41" s="324"/>
      <c r="C41" s="324"/>
      <c r="D41" s="324"/>
      <c r="E41" s="324"/>
      <c r="F41" s="324"/>
      <c r="G41" s="324"/>
      <c r="H41" s="324"/>
      <c r="I41" s="32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ht="45" customHeight="1">
      <c r="A42" s="326" t="s">
        <v>89</v>
      </c>
      <c r="B42" s="278"/>
      <c r="C42" s="278"/>
      <c r="D42" s="278"/>
      <c r="E42" s="278"/>
      <c r="F42" s="278"/>
      <c r="G42" s="278"/>
      <c r="H42" s="279"/>
      <c r="I42" s="38">
        <f>SUM(I38+I40)</f>
        <v>5414.6799999999994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ht="9" customHeight="1">
      <c r="A43" s="322"/>
      <c r="B43" s="278"/>
      <c r="C43" s="278"/>
      <c r="D43" s="278"/>
      <c r="E43" s="278"/>
      <c r="F43" s="278"/>
      <c r="G43" s="278"/>
      <c r="H43" s="278"/>
      <c r="I43" s="279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29" ht="17.25" customHeight="1">
      <c r="A44" s="327" t="s">
        <v>90</v>
      </c>
      <c r="B44" s="278"/>
      <c r="C44" s="278"/>
      <c r="D44" s="278"/>
      <c r="E44" s="278"/>
      <c r="F44" s="278"/>
      <c r="G44" s="278"/>
      <c r="H44" s="278"/>
      <c r="I44" s="279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ht="8.25" customHeight="1">
      <c r="A45" s="328"/>
      <c r="B45" s="278"/>
      <c r="C45" s="278"/>
      <c r="D45" s="278"/>
      <c r="E45" s="278"/>
      <c r="F45" s="278"/>
      <c r="G45" s="278"/>
      <c r="H45" s="278"/>
      <c r="I45" s="279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ht="27" customHeight="1">
      <c r="A46" s="329" t="s">
        <v>91</v>
      </c>
      <c r="B46" s="278"/>
      <c r="C46" s="278"/>
      <c r="D46" s="278"/>
      <c r="E46" s="278"/>
      <c r="F46" s="278"/>
      <c r="G46" s="278"/>
      <c r="H46" s="278"/>
      <c r="I46" s="279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ht="27" customHeight="1">
      <c r="A47" s="330" t="s">
        <v>92</v>
      </c>
      <c r="B47" s="278"/>
      <c r="C47" s="278"/>
      <c r="D47" s="278"/>
      <c r="E47" s="278"/>
      <c r="F47" s="278"/>
      <c r="G47" s="278"/>
      <c r="H47" s="278"/>
      <c r="I47" s="279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ht="22.5" customHeight="1">
      <c r="A48" s="39" t="s">
        <v>93</v>
      </c>
      <c r="B48" s="331" t="s">
        <v>94</v>
      </c>
      <c r="C48" s="278"/>
      <c r="D48" s="278"/>
      <c r="E48" s="278"/>
      <c r="F48" s="278"/>
      <c r="G48" s="278"/>
      <c r="H48" s="279"/>
      <c r="I48" s="40" t="s">
        <v>95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pans="1:29" ht="27" customHeight="1">
      <c r="A49" s="39" t="s">
        <v>47</v>
      </c>
      <c r="B49" s="302" t="s">
        <v>96</v>
      </c>
      <c r="C49" s="278"/>
      <c r="D49" s="278"/>
      <c r="E49" s="278"/>
      <c r="F49" s="278"/>
      <c r="G49" s="279"/>
      <c r="H49" s="41">
        <v>8.3299999999999999E-2</v>
      </c>
      <c r="I49" s="42">
        <f>ROUND(I38*H49,2)</f>
        <v>434.2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pans="1:29" ht="111" customHeight="1">
      <c r="A50" s="39" t="s">
        <v>49</v>
      </c>
      <c r="B50" s="332" t="s">
        <v>97</v>
      </c>
      <c r="C50" s="333"/>
      <c r="D50" s="333"/>
      <c r="E50" s="333"/>
      <c r="F50" s="333"/>
      <c r="G50" s="334"/>
      <c r="H50" s="43">
        <v>3.0249999999999999E-2</v>
      </c>
      <c r="I50" s="42">
        <f>ROUND(I38*H50,2)</f>
        <v>157.68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 spans="1:29" ht="15.75" customHeight="1">
      <c r="A51" s="335" t="s">
        <v>98</v>
      </c>
      <c r="B51" s="278"/>
      <c r="C51" s="278"/>
      <c r="D51" s="278"/>
      <c r="E51" s="278"/>
      <c r="F51" s="278"/>
      <c r="G51" s="278"/>
      <c r="H51" s="279"/>
      <c r="I51" s="44">
        <f>SUM(I49+I50)</f>
        <v>591.88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29" ht="79.5" customHeight="1">
      <c r="A52" s="315" t="s">
        <v>99</v>
      </c>
      <c r="B52" s="278"/>
      <c r="C52" s="278"/>
      <c r="D52" s="278"/>
      <c r="E52" s="278"/>
      <c r="F52" s="278"/>
      <c r="G52" s="278"/>
      <c r="H52" s="278"/>
      <c r="I52" s="279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ht="7.5" customHeight="1">
      <c r="A53" s="336"/>
      <c r="B53" s="278"/>
      <c r="C53" s="278"/>
      <c r="D53" s="278"/>
      <c r="E53" s="278"/>
      <c r="F53" s="278"/>
      <c r="G53" s="278"/>
      <c r="H53" s="278"/>
      <c r="I53" s="279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ht="32.25" customHeight="1">
      <c r="A54" s="337" t="s">
        <v>394</v>
      </c>
      <c r="B54" s="278"/>
      <c r="C54" s="278"/>
      <c r="D54" s="278"/>
      <c r="E54" s="278"/>
      <c r="F54" s="278"/>
      <c r="G54" s="278"/>
      <c r="H54" s="278"/>
      <c r="I54" s="279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 spans="1:29" ht="27" customHeight="1">
      <c r="A55" s="45" t="s">
        <v>100</v>
      </c>
      <c r="B55" s="338" t="s">
        <v>101</v>
      </c>
      <c r="C55" s="278"/>
      <c r="D55" s="278"/>
      <c r="E55" s="278"/>
      <c r="F55" s="278"/>
      <c r="G55" s="279"/>
      <c r="H55" s="46" t="s">
        <v>81</v>
      </c>
      <c r="I55" s="47" t="s">
        <v>102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 spans="1:29" ht="18.75" customHeight="1">
      <c r="A56" s="48" t="s">
        <v>47</v>
      </c>
      <c r="B56" s="302" t="s">
        <v>103</v>
      </c>
      <c r="C56" s="278"/>
      <c r="D56" s="278"/>
      <c r="E56" s="278"/>
      <c r="F56" s="278"/>
      <c r="G56" s="279"/>
      <c r="H56" s="49">
        <v>0.2</v>
      </c>
      <c r="I56" s="50">
        <f t="shared" ref="I56:I62" si="0">ROUND(($I$38+$I$51)*H56,2)</f>
        <v>1160.8699999999999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 spans="1:29" ht="18.75" customHeight="1">
      <c r="A57" s="48" t="s">
        <v>49</v>
      </c>
      <c r="B57" s="302" t="s">
        <v>104</v>
      </c>
      <c r="C57" s="278"/>
      <c r="D57" s="278"/>
      <c r="E57" s="278"/>
      <c r="F57" s="278"/>
      <c r="G57" s="279"/>
      <c r="H57" s="49">
        <v>2.5000000000000001E-2</v>
      </c>
      <c r="I57" s="50">
        <f t="shared" si="0"/>
        <v>145.11000000000001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 spans="1:29" ht="56.25" customHeight="1">
      <c r="A58" s="48" t="s">
        <v>51</v>
      </c>
      <c r="B58" s="339" t="s">
        <v>105</v>
      </c>
      <c r="C58" s="279"/>
      <c r="D58" s="51" t="s">
        <v>106</v>
      </c>
      <c r="E58" s="52">
        <v>0.03</v>
      </c>
      <c r="F58" s="51" t="s">
        <v>107</v>
      </c>
      <c r="G58" s="53">
        <v>1</v>
      </c>
      <c r="H58" s="54">
        <f>ROUND((E58*G58),6)</f>
        <v>0.03</v>
      </c>
      <c r="I58" s="50">
        <f t="shared" si="0"/>
        <v>174.13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ht="15.75" customHeight="1">
      <c r="A59" s="48" t="s">
        <v>54</v>
      </c>
      <c r="B59" s="302" t="s">
        <v>108</v>
      </c>
      <c r="C59" s="278"/>
      <c r="D59" s="278"/>
      <c r="E59" s="278"/>
      <c r="F59" s="278"/>
      <c r="G59" s="279"/>
      <c r="H59" s="49">
        <v>1.4999999999999999E-2</v>
      </c>
      <c r="I59" s="50">
        <f t="shared" si="0"/>
        <v>87.07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1:29" ht="15.75" customHeight="1">
      <c r="A60" s="48" t="s">
        <v>109</v>
      </c>
      <c r="B60" s="302" t="s">
        <v>110</v>
      </c>
      <c r="C60" s="278"/>
      <c r="D60" s="278"/>
      <c r="E60" s="278"/>
      <c r="F60" s="278"/>
      <c r="G60" s="279"/>
      <c r="H60" s="49">
        <v>0.01</v>
      </c>
      <c r="I60" s="50">
        <f t="shared" si="0"/>
        <v>58.04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ht="15.75" customHeight="1">
      <c r="A61" s="48" t="s">
        <v>111</v>
      </c>
      <c r="B61" s="302" t="s">
        <v>112</v>
      </c>
      <c r="C61" s="278"/>
      <c r="D61" s="278"/>
      <c r="E61" s="278"/>
      <c r="F61" s="278"/>
      <c r="G61" s="279"/>
      <c r="H61" s="49">
        <v>6.0000000000000001E-3</v>
      </c>
      <c r="I61" s="50">
        <f t="shared" si="0"/>
        <v>34.83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 spans="1:29" ht="15.75" customHeight="1">
      <c r="A62" s="48" t="s">
        <v>113</v>
      </c>
      <c r="B62" s="302" t="s">
        <v>114</v>
      </c>
      <c r="C62" s="278"/>
      <c r="D62" s="278"/>
      <c r="E62" s="278"/>
      <c r="F62" s="278"/>
      <c r="G62" s="279"/>
      <c r="H62" s="49">
        <v>2E-3</v>
      </c>
      <c r="I62" s="50">
        <f t="shared" si="0"/>
        <v>11.61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 spans="1:29" ht="15.75" customHeight="1">
      <c r="A63" s="48" t="s">
        <v>87</v>
      </c>
      <c r="B63" s="302" t="s">
        <v>115</v>
      </c>
      <c r="C63" s="278"/>
      <c r="D63" s="278"/>
      <c r="E63" s="278"/>
      <c r="F63" s="278"/>
      <c r="G63" s="279"/>
      <c r="H63" s="49">
        <v>0.08</v>
      </c>
      <c r="I63" s="50">
        <f t="shared" ref="I63" si="1">ROUND(($I$38+$I$51)*H63,2)</f>
        <v>464.35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 spans="1:29" ht="15.75" customHeight="1">
      <c r="A64" s="340" t="s">
        <v>98</v>
      </c>
      <c r="B64" s="278"/>
      <c r="C64" s="278"/>
      <c r="D64" s="278"/>
      <c r="E64" s="278"/>
      <c r="F64" s="278"/>
      <c r="G64" s="279"/>
      <c r="H64" s="55">
        <f t="shared" ref="H64:I64" si="2">SUM(H56:H63)</f>
        <v>0.36800000000000005</v>
      </c>
      <c r="I64" s="44">
        <f t="shared" si="2"/>
        <v>2136.0099999999998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pans="1:29" ht="8.25" customHeight="1">
      <c r="A65" s="56"/>
      <c r="B65" s="57"/>
      <c r="C65" s="57"/>
      <c r="D65" s="57"/>
      <c r="E65" s="57"/>
      <c r="F65" s="57"/>
      <c r="G65" s="57"/>
      <c r="H65" s="58"/>
      <c r="I65" s="59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1:29" ht="35.25" customHeight="1">
      <c r="A66" s="315" t="s">
        <v>116</v>
      </c>
      <c r="B66" s="278"/>
      <c r="C66" s="278"/>
      <c r="D66" s="278"/>
      <c r="E66" s="278"/>
      <c r="F66" s="278"/>
      <c r="G66" s="278"/>
      <c r="H66" s="278"/>
      <c r="I66" s="279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 ht="9.75" customHeight="1">
      <c r="A67" s="314"/>
      <c r="B67" s="278"/>
      <c r="C67" s="278"/>
      <c r="D67" s="278"/>
      <c r="E67" s="278"/>
      <c r="F67" s="278"/>
      <c r="G67" s="278"/>
      <c r="H67" s="278"/>
      <c r="I67" s="279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 spans="1:29" ht="20.25" customHeight="1">
      <c r="A68" s="341" t="s">
        <v>117</v>
      </c>
      <c r="B68" s="278"/>
      <c r="C68" s="278"/>
      <c r="D68" s="278"/>
      <c r="E68" s="278"/>
      <c r="F68" s="278"/>
      <c r="G68" s="278"/>
      <c r="H68" s="278"/>
      <c r="I68" s="279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1:29" ht="27" customHeight="1">
      <c r="A69" s="60" t="s">
        <v>118</v>
      </c>
      <c r="B69" s="318" t="s">
        <v>119</v>
      </c>
      <c r="C69" s="278"/>
      <c r="D69" s="278"/>
      <c r="E69" s="278"/>
      <c r="F69" s="278"/>
      <c r="G69" s="278"/>
      <c r="H69" s="279"/>
      <c r="I69" s="47" t="s">
        <v>95</v>
      </c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 spans="1:29" ht="23.25" customHeight="1">
      <c r="A70" s="61" t="s">
        <v>47</v>
      </c>
      <c r="B70" s="302" t="s">
        <v>120</v>
      </c>
      <c r="C70" s="278"/>
      <c r="D70" s="278"/>
      <c r="E70" s="278"/>
      <c r="F70" s="278"/>
      <c r="G70" s="278"/>
      <c r="H70" s="278"/>
      <c r="I70" s="50">
        <f>IF(ROUND((H71*H73*H72)-(I34*H74),2)&lt;0,0,ROUND((H71*H73*H72)-(I34*H74),2))</f>
        <v>50.66</v>
      </c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 spans="1:29" ht="27" customHeight="1">
      <c r="A71" s="61"/>
      <c r="B71" s="302" t="s">
        <v>410</v>
      </c>
      <c r="C71" s="278"/>
      <c r="D71" s="278"/>
      <c r="E71" s="278"/>
      <c r="F71" s="278"/>
      <c r="G71" s="278"/>
      <c r="H71" s="62">
        <f>Consolidação!D20</f>
        <v>4.8</v>
      </c>
      <c r="I71" s="63" t="s">
        <v>22</v>
      </c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ht="19.5" customHeight="1">
      <c r="A72" s="61"/>
      <c r="B72" s="302" t="s">
        <v>121</v>
      </c>
      <c r="C72" s="278"/>
      <c r="D72" s="278"/>
      <c r="E72" s="278"/>
      <c r="F72" s="278"/>
      <c r="G72" s="279"/>
      <c r="H72" s="34">
        <v>2</v>
      </c>
      <c r="I72" s="63" t="s">
        <v>22</v>
      </c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 spans="1:29" ht="19.5" customHeight="1">
      <c r="A73" s="61"/>
      <c r="B73" s="302" t="s">
        <v>122</v>
      </c>
      <c r="C73" s="278"/>
      <c r="D73" s="278"/>
      <c r="E73" s="278"/>
      <c r="F73" s="278"/>
      <c r="G73" s="279"/>
      <c r="H73" s="64">
        <v>30</v>
      </c>
      <c r="I73" s="63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 spans="1:29" ht="25.5" customHeight="1">
      <c r="A74" s="61"/>
      <c r="B74" s="302" t="s">
        <v>123</v>
      </c>
      <c r="C74" s="278"/>
      <c r="D74" s="278"/>
      <c r="E74" s="278"/>
      <c r="F74" s="278"/>
      <c r="G74" s="279"/>
      <c r="H74" s="65">
        <v>0.06</v>
      </c>
      <c r="I74" s="63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 spans="1:29" ht="14.25" customHeight="1">
      <c r="A75" s="61" t="s">
        <v>49</v>
      </c>
      <c r="B75" s="302" t="s">
        <v>124</v>
      </c>
      <c r="C75" s="278"/>
      <c r="D75" s="278"/>
      <c r="E75" s="278"/>
      <c r="F75" s="278"/>
      <c r="G75" s="278"/>
      <c r="H75" s="278"/>
      <c r="I75" s="50">
        <f>ROUND(H77*H76*(1-H78),2)*1+ROUND(21.726*6*(1-H78),2)*0</f>
        <v>648</v>
      </c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 spans="1:29" ht="15.75" customHeight="1">
      <c r="A76" s="61"/>
      <c r="B76" s="302" t="s">
        <v>402</v>
      </c>
      <c r="C76" s="278"/>
      <c r="D76" s="278"/>
      <c r="E76" s="278"/>
      <c r="F76" s="278"/>
      <c r="G76" s="278"/>
      <c r="H76" s="62">
        <f>Consolidação!D14</f>
        <v>27</v>
      </c>
      <c r="I76" s="63" t="s">
        <v>22</v>
      </c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1:29" ht="15.75" customHeight="1">
      <c r="A77" s="61"/>
      <c r="B77" s="302" t="s">
        <v>125</v>
      </c>
      <c r="C77" s="278"/>
      <c r="D77" s="278"/>
      <c r="E77" s="278"/>
      <c r="F77" s="278"/>
      <c r="G77" s="278"/>
      <c r="H77" s="64">
        <v>30</v>
      </c>
      <c r="I77" s="63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 spans="1:29" ht="22.5" customHeight="1">
      <c r="A78" s="61"/>
      <c r="B78" s="342" t="s">
        <v>403</v>
      </c>
      <c r="C78" s="343"/>
      <c r="D78" s="343"/>
      <c r="E78" s="343"/>
      <c r="F78" s="343"/>
      <c r="G78" s="344"/>
      <c r="H78" s="125">
        <v>0.2</v>
      </c>
      <c r="I78" s="63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 spans="1:29" ht="15.75" customHeight="1">
      <c r="A79" s="61" t="s">
        <v>51</v>
      </c>
      <c r="B79" s="302" t="s">
        <v>126</v>
      </c>
      <c r="C79" s="278"/>
      <c r="D79" s="278"/>
      <c r="E79" s="278"/>
      <c r="F79" s="278"/>
      <c r="G79" s="278"/>
      <c r="H79" s="278"/>
      <c r="I79" s="50">
        <v>0</v>
      </c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 spans="1:29" ht="34.5" customHeight="1">
      <c r="A80" s="61" t="s">
        <v>54</v>
      </c>
      <c r="B80" s="345" t="s">
        <v>404</v>
      </c>
      <c r="C80" s="333"/>
      <c r="D80" s="333"/>
      <c r="E80" s="333"/>
      <c r="F80" s="333"/>
      <c r="G80" s="333"/>
      <c r="H80" s="333"/>
      <c r="I80" s="50">
        <v>31.17</v>
      </c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 spans="1:29" ht="31.5" customHeight="1">
      <c r="A81" s="61" t="s">
        <v>109</v>
      </c>
      <c r="B81" s="346" t="s">
        <v>405</v>
      </c>
      <c r="C81" s="333"/>
      <c r="D81" s="333"/>
      <c r="E81" s="333"/>
      <c r="F81" s="333"/>
      <c r="G81" s="333"/>
      <c r="H81" s="334"/>
      <c r="I81" s="50">
        <v>1.72</v>
      </c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 spans="1:29" ht="15.75" customHeight="1">
      <c r="A82" s="61" t="s">
        <v>111</v>
      </c>
      <c r="B82" s="312" t="s">
        <v>127</v>
      </c>
      <c r="C82" s="278"/>
      <c r="D82" s="278"/>
      <c r="E82" s="278"/>
      <c r="F82" s="278"/>
      <c r="G82" s="278"/>
      <c r="H82" s="278"/>
      <c r="I82" s="66">
        <v>0</v>
      </c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 spans="1:29" ht="18" customHeight="1">
      <c r="A83" s="67"/>
      <c r="B83" s="340" t="s">
        <v>98</v>
      </c>
      <c r="C83" s="278"/>
      <c r="D83" s="278"/>
      <c r="E83" s="278"/>
      <c r="F83" s="278"/>
      <c r="G83" s="278"/>
      <c r="H83" s="293"/>
      <c r="I83" s="44">
        <f>SUM(I70:I82)</f>
        <v>731.55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 spans="1:29" ht="9" customHeight="1">
      <c r="A84" s="314"/>
      <c r="B84" s="278"/>
      <c r="C84" s="278"/>
      <c r="D84" s="278"/>
      <c r="E84" s="278"/>
      <c r="F84" s="278"/>
      <c r="G84" s="278"/>
      <c r="H84" s="278"/>
      <c r="I84" s="279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 spans="1:29" ht="32.25" customHeight="1">
      <c r="A85" s="315" t="s">
        <v>128</v>
      </c>
      <c r="B85" s="278"/>
      <c r="C85" s="278"/>
      <c r="D85" s="278"/>
      <c r="E85" s="278"/>
      <c r="F85" s="278"/>
      <c r="G85" s="278"/>
      <c r="H85" s="278"/>
      <c r="I85" s="279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 spans="1:29" ht="8.25" customHeight="1">
      <c r="A86" s="299"/>
      <c r="B86" s="278"/>
      <c r="C86" s="278"/>
      <c r="D86" s="278"/>
      <c r="E86" s="278"/>
      <c r="F86" s="278"/>
      <c r="G86" s="278"/>
      <c r="H86" s="278"/>
      <c r="I86" s="279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 spans="1:29" ht="17.25" customHeight="1">
      <c r="A87" s="347" t="s">
        <v>129</v>
      </c>
      <c r="B87" s="278"/>
      <c r="C87" s="278"/>
      <c r="D87" s="278"/>
      <c r="E87" s="278"/>
      <c r="F87" s="278"/>
      <c r="G87" s="278"/>
      <c r="H87" s="278"/>
      <c r="I87" s="279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 spans="1:29" ht="15.75" customHeight="1">
      <c r="A88" s="68">
        <v>2</v>
      </c>
      <c r="B88" s="338" t="s">
        <v>130</v>
      </c>
      <c r="C88" s="278"/>
      <c r="D88" s="278"/>
      <c r="E88" s="278"/>
      <c r="F88" s="278"/>
      <c r="G88" s="278"/>
      <c r="H88" s="279"/>
      <c r="I88" s="68" t="s">
        <v>95</v>
      </c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 spans="1:29" ht="14.25" customHeight="1">
      <c r="A89" s="13" t="s">
        <v>93</v>
      </c>
      <c r="B89" s="302" t="s">
        <v>131</v>
      </c>
      <c r="C89" s="278"/>
      <c r="D89" s="278"/>
      <c r="E89" s="278"/>
      <c r="F89" s="278"/>
      <c r="G89" s="278"/>
      <c r="H89" s="279"/>
      <c r="I89" s="66">
        <f>I51</f>
        <v>591.88</v>
      </c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 spans="1:29" ht="14.25" customHeight="1">
      <c r="A90" s="13" t="s">
        <v>100</v>
      </c>
      <c r="B90" s="302" t="s">
        <v>101</v>
      </c>
      <c r="C90" s="278"/>
      <c r="D90" s="278"/>
      <c r="E90" s="278"/>
      <c r="F90" s="278"/>
      <c r="G90" s="278"/>
      <c r="H90" s="279"/>
      <c r="I90" s="66">
        <f>I64</f>
        <v>2136.0099999999998</v>
      </c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 spans="1:29" ht="14.25" customHeight="1">
      <c r="A91" s="13" t="s">
        <v>118</v>
      </c>
      <c r="B91" s="302" t="s">
        <v>119</v>
      </c>
      <c r="C91" s="278"/>
      <c r="D91" s="278"/>
      <c r="E91" s="278"/>
      <c r="F91" s="278"/>
      <c r="G91" s="278"/>
      <c r="H91" s="279"/>
      <c r="I91" s="66">
        <f>I83</f>
        <v>731.55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 spans="1:29" ht="14.25" customHeight="1">
      <c r="A92" s="348" t="s">
        <v>98</v>
      </c>
      <c r="B92" s="278"/>
      <c r="C92" s="278"/>
      <c r="D92" s="278"/>
      <c r="E92" s="278"/>
      <c r="F92" s="278"/>
      <c r="G92" s="278"/>
      <c r="H92" s="279"/>
      <c r="I92" s="69">
        <f>SUM(I89+I90+I91)</f>
        <v>3459.4399999999996</v>
      </c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 spans="1:29" ht="8.25" customHeight="1">
      <c r="A93" s="349"/>
      <c r="B93" s="278"/>
      <c r="C93" s="278"/>
      <c r="D93" s="278"/>
      <c r="E93" s="278"/>
      <c r="F93" s="278"/>
      <c r="G93" s="278"/>
      <c r="H93" s="278"/>
      <c r="I93" s="279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 spans="1:29" ht="20.25" customHeight="1">
      <c r="A94" s="350" t="s">
        <v>132</v>
      </c>
      <c r="B94" s="278"/>
      <c r="C94" s="278"/>
      <c r="D94" s="278"/>
      <c r="E94" s="278"/>
      <c r="F94" s="278"/>
      <c r="G94" s="278"/>
      <c r="H94" s="278"/>
      <c r="I94" s="279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 spans="1:29" ht="15" customHeight="1">
      <c r="A95" s="60">
        <v>3</v>
      </c>
      <c r="B95" s="351" t="s">
        <v>133</v>
      </c>
      <c r="C95" s="278"/>
      <c r="D95" s="278"/>
      <c r="E95" s="278"/>
      <c r="F95" s="278"/>
      <c r="G95" s="278"/>
      <c r="H95" s="279"/>
      <c r="I95" s="60" t="s">
        <v>95</v>
      </c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 spans="1:29" ht="44.25" customHeight="1">
      <c r="A96" s="61" t="s">
        <v>47</v>
      </c>
      <c r="B96" s="352" t="s">
        <v>432</v>
      </c>
      <c r="C96" s="333"/>
      <c r="D96" s="333"/>
      <c r="E96" s="333"/>
      <c r="F96" s="333"/>
      <c r="G96" s="333"/>
      <c r="H96" s="334"/>
      <c r="I96" s="50">
        <f>ROUND(((I38/12)+($I$49/12)+(I38*0.121/12))*(30/30)*0.05,2)</f>
        <v>26.16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 spans="1:29" ht="14.25" customHeight="1">
      <c r="A97" s="61" t="s">
        <v>49</v>
      </c>
      <c r="B97" s="312" t="s">
        <v>134</v>
      </c>
      <c r="C97" s="278"/>
      <c r="D97" s="278"/>
      <c r="E97" s="278"/>
      <c r="F97" s="278"/>
      <c r="G97" s="278"/>
      <c r="H97" s="279"/>
      <c r="I97" s="50">
        <f>ROUND($H$63*I96,2)</f>
        <v>2.09</v>
      </c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 spans="1:29" ht="51.75" customHeight="1">
      <c r="A98" s="61" t="s">
        <v>51</v>
      </c>
      <c r="B98" s="345" t="s">
        <v>431</v>
      </c>
      <c r="C98" s="333"/>
      <c r="D98" s="333"/>
      <c r="E98" s="333"/>
      <c r="F98" s="333"/>
      <c r="G98" s="333"/>
      <c r="H98" s="334"/>
      <c r="I98" s="50">
        <f>ROUND(((7/30)/$H$10)*I38*1,2)</f>
        <v>101.35</v>
      </c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 spans="1:29" ht="19.5" customHeight="1">
      <c r="A99" s="61" t="s">
        <v>54</v>
      </c>
      <c r="B99" s="312" t="s">
        <v>135</v>
      </c>
      <c r="C99" s="278"/>
      <c r="D99" s="278"/>
      <c r="E99" s="278"/>
      <c r="F99" s="278"/>
      <c r="G99" s="278"/>
      <c r="H99" s="279"/>
      <c r="I99" s="50">
        <f>ROUND($H$64*I98,2)</f>
        <v>37.299999999999997</v>
      </c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 spans="1:29" ht="36.75" customHeight="1">
      <c r="A100" s="61" t="s">
        <v>109</v>
      </c>
      <c r="B100" s="302" t="s">
        <v>136</v>
      </c>
      <c r="C100" s="278"/>
      <c r="D100" s="278"/>
      <c r="E100" s="278"/>
      <c r="F100" s="278"/>
      <c r="G100" s="279"/>
      <c r="H100" s="70">
        <v>0.04</v>
      </c>
      <c r="I100" s="50">
        <f>ROUND(I38*H100,2)</f>
        <v>208.5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 spans="1:29" ht="15.75" customHeight="1">
      <c r="A101" s="340" t="s">
        <v>41</v>
      </c>
      <c r="B101" s="278"/>
      <c r="C101" s="278"/>
      <c r="D101" s="278"/>
      <c r="E101" s="278"/>
      <c r="F101" s="278"/>
      <c r="G101" s="278"/>
      <c r="H101" s="279"/>
      <c r="I101" s="44">
        <f>SUM(I96:I100)</f>
        <v>375.4</v>
      </c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 spans="1:29" ht="9" customHeight="1">
      <c r="A102" s="357"/>
      <c r="B102" s="278"/>
      <c r="C102" s="278"/>
      <c r="D102" s="278"/>
      <c r="E102" s="278"/>
      <c r="F102" s="278"/>
      <c r="G102" s="278"/>
      <c r="H102" s="278"/>
      <c r="I102" s="279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 spans="1:29" ht="24" customHeight="1">
      <c r="A103" s="358" t="s">
        <v>137</v>
      </c>
      <c r="B103" s="278"/>
      <c r="C103" s="278"/>
      <c r="D103" s="278"/>
      <c r="E103" s="278"/>
      <c r="F103" s="278"/>
      <c r="G103" s="278"/>
      <c r="H103" s="278"/>
      <c r="I103" s="279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 spans="1:29" ht="24.75" customHeight="1">
      <c r="A104" s="315" t="s">
        <v>138</v>
      </c>
      <c r="B104" s="278"/>
      <c r="C104" s="278"/>
      <c r="D104" s="278"/>
      <c r="E104" s="278"/>
      <c r="F104" s="278"/>
      <c r="G104" s="278"/>
      <c r="H104" s="278"/>
      <c r="I104" s="279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 spans="1:29" ht="55.5" customHeight="1">
      <c r="A105" s="359" t="s">
        <v>139</v>
      </c>
      <c r="B105" s="278"/>
      <c r="C105" s="278"/>
      <c r="D105" s="278"/>
      <c r="E105" s="278"/>
      <c r="F105" s="278"/>
      <c r="G105" s="278"/>
      <c r="H105" s="278"/>
      <c r="I105" s="279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 spans="1:29" ht="7.5" customHeight="1">
      <c r="A106" s="360"/>
      <c r="B106" s="278"/>
      <c r="C106" s="278"/>
      <c r="D106" s="278"/>
      <c r="E106" s="278"/>
      <c r="F106" s="278"/>
      <c r="G106" s="278"/>
      <c r="H106" s="278"/>
      <c r="I106" s="279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 spans="1:29" ht="58.5" customHeight="1">
      <c r="A107" s="71" t="s">
        <v>140</v>
      </c>
      <c r="B107" s="72">
        <f>I38</f>
        <v>5212.4799999999996</v>
      </c>
      <c r="C107" s="73"/>
      <c r="D107" s="71" t="s">
        <v>141</v>
      </c>
      <c r="E107" s="72">
        <f>I92-I70-I75+I111</f>
        <v>3407.8850399999997</v>
      </c>
      <c r="F107" s="74"/>
      <c r="G107" s="71" t="s">
        <v>142</v>
      </c>
      <c r="H107" s="72">
        <f>I101</f>
        <v>375.4</v>
      </c>
      <c r="I107" s="75">
        <f>B107+E107+H107</f>
        <v>8995.7650399999984</v>
      </c>
      <c r="J107" s="37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 spans="1:29" ht="7.5" customHeight="1">
      <c r="A108" s="366"/>
      <c r="B108" s="278"/>
      <c r="C108" s="278"/>
      <c r="D108" s="278"/>
      <c r="E108" s="278"/>
      <c r="F108" s="278"/>
      <c r="G108" s="278"/>
      <c r="H108" s="278"/>
      <c r="I108" s="279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 spans="1:29" ht="24" customHeight="1">
      <c r="A109" s="359" t="s">
        <v>143</v>
      </c>
      <c r="B109" s="278"/>
      <c r="C109" s="278"/>
      <c r="D109" s="278"/>
      <c r="E109" s="278"/>
      <c r="F109" s="278"/>
      <c r="G109" s="278"/>
      <c r="H109" s="278"/>
      <c r="I109" s="279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 spans="1:29" ht="24" customHeight="1">
      <c r="A110" s="76" t="s">
        <v>144</v>
      </c>
      <c r="B110" s="351" t="s">
        <v>145</v>
      </c>
      <c r="C110" s="278"/>
      <c r="D110" s="278"/>
      <c r="E110" s="278"/>
      <c r="F110" s="278"/>
      <c r="G110" s="278"/>
      <c r="H110" s="279"/>
      <c r="I110" s="76" t="s">
        <v>95</v>
      </c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 spans="1:29" ht="63.75" customHeight="1">
      <c r="A111" s="77" t="s">
        <v>47</v>
      </c>
      <c r="B111" s="302" t="s">
        <v>146</v>
      </c>
      <c r="C111" s="278"/>
      <c r="D111" s="278"/>
      <c r="E111" s="278"/>
      <c r="F111" s="278"/>
      <c r="G111" s="78">
        <v>9.0749999999999997E-2</v>
      </c>
      <c r="H111" s="79">
        <f>H64</f>
        <v>0.36800000000000005</v>
      </c>
      <c r="I111" s="50">
        <f>ROUND(G111*I38,2)*(1+H111)</f>
        <v>647.10504000000003</v>
      </c>
      <c r="J111" s="37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 spans="1:29" ht="30" customHeight="1">
      <c r="A112" s="61" t="s">
        <v>49</v>
      </c>
      <c r="B112" s="302" t="s">
        <v>147</v>
      </c>
      <c r="C112" s="278"/>
      <c r="D112" s="278"/>
      <c r="E112" s="278"/>
      <c r="F112" s="278"/>
      <c r="G112" s="278"/>
      <c r="H112" s="279"/>
      <c r="I112" s="50">
        <f>ROUND((1/30)/12*(I107),2)</f>
        <v>24.99</v>
      </c>
      <c r="J112" s="24"/>
      <c r="K112" s="37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 spans="1:29" ht="31.5" customHeight="1">
      <c r="A113" s="61" t="s">
        <v>51</v>
      </c>
      <c r="B113" s="302" t="s">
        <v>148</v>
      </c>
      <c r="C113" s="278"/>
      <c r="D113" s="278"/>
      <c r="E113" s="278"/>
      <c r="F113" s="278"/>
      <c r="G113" s="278"/>
      <c r="H113" s="279"/>
      <c r="I113" s="50">
        <f>ROUND((5/30)/12*0.015*(I107),2)</f>
        <v>1.87</v>
      </c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 spans="1:29" ht="30.75" customHeight="1">
      <c r="A114" s="61" t="s">
        <v>54</v>
      </c>
      <c r="B114" s="381" t="s">
        <v>149</v>
      </c>
      <c r="C114" s="278"/>
      <c r="D114" s="278"/>
      <c r="E114" s="278"/>
      <c r="F114" s="278"/>
      <c r="G114" s="278"/>
      <c r="H114" s="279"/>
      <c r="I114" s="50">
        <f>ROUND(((($I$107)/30)*0.69)/12,2)</f>
        <v>17.239999999999998</v>
      </c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 spans="1:29" ht="78" customHeight="1">
      <c r="A115" s="61" t="s">
        <v>109</v>
      </c>
      <c r="B115" s="302" t="s">
        <v>150</v>
      </c>
      <c r="C115" s="278"/>
      <c r="D115" s="278"/>
      <c r="E115" s="278"/>
      <c r="F115" s="278"/>
      <c r="G115" s="278"/>
      <c r="H115" s="279"/>
      <c r="I115" s="50">
        <f>ROUND((((B107*0.121)+(H64)*(B107*0.121))*(4/12))*0.02,2)+ROUND(((H63*B107+H64*I49+I83-I70-I75+I101)*4/12)*0.02,2)</f>
        <v>12.32</v>
      </c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 spans="1:29" ht="39" customHeight="1">
      <c r="A116" s="61" t="s">
        <v>111</v>
      </c>
      <c r="B116" s="302" t="s">
        <v>151</v>
      </c>
      <c r="C116" s="278"/>
      <c r="D116" s="278"/>
      <c r="E116" s="278"/>
      <c r="F116" s="278"/>
      <c r="G116" s="278"/>
      <c r="H116" s="279"/>
      <c r="I116" s="50">
        <f>ROUND(((3/30)/12)*(I107),2)</f>
        <v>74.959999999999994</v>
      </c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 spans="1:29" ht="15.75" customHeight="1">
      <c r="A117" s="340" t="s">
        <v>98</v>
      </c>
      <c r="B117" s="278"/>
      <c r="C117" s="278"/>
      <c r="D117" s="278"/>
      <c r="E117" s="278"/>
      <c r="F117" s="278"/>
      <c r="G117" s="278"/>
      <c r="H117" s="279"/>
      <c r="I117" s="44">
        <f>SUM(I111:I116)</f>
        <v>778.48504000000014</v>
      </c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 spans="1:29" ht="9" customHeight="1">
      <c r="A118" s="382"/>
      <c r="B118" s="278"/>
      <c r="C118" s="278"/>
      <c r="D118" s="278"/>
      <c r="E118" s="278"/>
      <c r="F118" s="278"/>
      <c r="G118" s="278"/>
      <c r="H118" s="278"/>
      <c r="I118" s="279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 spans="1:29" ht="15.75" customHeight="1">
      <c r="A119" s="341" t="s">
        <v>152</v>
      </c>
      <c r="B119" s="278"/>
      <c r="C119" s="278"/>
      <c r="D119" s="278"/>
      <c r="E119" s="278"/>
      <c r="F119" s="278"/>
      <c r="G119" s="278"/>
      <c r="H119" s="278"/>
      <c r="I119" s="279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 spans="1:29" ht="15.75" customHeight="1">
      <c r="A120" s="80" t="s">
        <v>153</v>
      </c>
      <c r="B120" s="353" t="s">
        <v>154</v>
      </c>
      <c r="C120" s="278"/>
      <c r="D120" s="278"/>
      <c r="E120" s="278"/>
      <c r="F120" s="278"/>
      <c r="G120" s="278"/>
      <c r="H120" s="279"/>
      <c r="I120" s="81" t="s">
        <v>95</v>
      </c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 spans="1:29" ht="15.75" customHeight="1">
      <c r="A121" s="4" t="s">
        <v>47</v>
      </c>
      <c r="B121" s="354" t="s">
        <v>155</v>
      </c>
      <c r="C121" s="278"/>
      <c r="D121" s="278"/>
      <c r="E121" s="278"/>
      <c r="F121" s="278"/>
      <c r="G121" s="278"/>
      <c r="H121" s="279"/>
      <c r="I121" s="82">
        <v>0</v>
      </c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 spans="1:29" ht="15.75" customHeight="1">
      <c r="A122" s="355" t="s">
        <v>98</v>
      </c>
      <c r="B122" s="278"/>
      <c r="C122" s="278"/>
      <c r="D122" s="278"/>
      <c r="E122" s="278"/>
      <c r="F122" s="278"/>
      <c r="G122" s="278"/>
      <c r="H122" s="279"/>
      <c r="I122" s="82">
        <v>0</v>
      </c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 spans="1:29" ht="7.5" customHeight="1">
      <c r="A123" s="356"/>
      <c r="B123" s="278"/>
      <c r="C123" s="278"/>
      <c r="D123" s="278"/>
      <c r="E123" s="278"/>
      <c r="F123" s="278"/>
      <c r="G123" s="278"/>
      <c r="H123" s="278"/>
      <c r="I123" s="279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 spans="1:29" ht="23.25" customHeight="1">
      <c r="A124" s="329" t="s">
        <v>156</v>
      </c>
      <c r="B124" s="278"/>
      <c r="C124" s="278"/>
      <c r="D124" s="278"/>
      <c r="E124" s="278"/>
      <c r="F124" s="278"/>
      <c r="G124" s="278"/>
      <c r="H124" s="278"/>
      <c r="I124" s="279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 spans="1:29" ht="23.25" customHeight="1">
      <c r="A125" s="68">
        <v>4</v>
      </c>
      <c r="B125" s="353" t="s">
        <v>157</v>
      </c>
      <c r="C125" s="278"/>
      <c r="D125" s="278"/>
      <c r="E125" s="278"/>
      <c r="F125" s="278"/>
      <c r="G125" s="278"/>
      <c r="H125" s="279"/>
      <c r="I125" s="81" t="s">
        <v>95</v>
      </c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 spans="1:29" ht="18.75" customHeight="1">
      <c r="A126" s="13" t="s">
        <v>144</v>
      </c>
      <c r="B126" s="354" t="s">
        <v>145</v>
      </c>
      <c r="C126" s="278"/>
      <c r="D126" s="278"/>
      <c r="E126" s="278"/>
      <c r="F126" s="278"/>
      <c r="G126" s="278"/>
      <c r="H126" s="279"/>
      <c r="I126" s="82">
        <f>I117</f>
        <v>778.48504000000014</v>
      </c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 spans="1:29" ht="21.75" customHeight="1">
      <c r="A127" s="13" t="s">
        <v>158</v>
      </c>
      <c r="B127" s="354" t="s">
        <v>154</v>
      </c>
      <c r="C127" s="278"/>
      <c r="D127" s="278"/>
      <c r="E127" s="278"/>
      <c r="F127" s="278"/>
      <c r="G127" s="278"/>
      <c r="H127" s="279"/>
      <c r="I127" s="82">
        <f>I122</f>
        <v>0</v>
      </c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 spans="1:29" ht="23.25" customHeight="1">
      <c r="A128" s="348" t="s">
        <v>98</v>
      </c>
      <c r="B128" s="278"/>
      <c r="C128" s="278"/>
      <c r="D128" s="278"/>
      <c r="E128" s="278"/>
      <c r="F128" s="278"/>
      <c r="G128" s="278"/>
      <c r="H128" s="279"/>
      <c r="I128" s="83">
        <f>SUM(I126+I127)</f>
        <v>778.48504000000014</v>
      </c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 spans="1:29" ht="7.5" customHeight="1">
      <c r="A129" s="357"/>
      <c r="B129" s="278"/>
      <c r="C129" s="278"/>
      <c r="D129" s="278"/>
      <c r="E129" s="278"/>
      <c r="F129" s="278"/>
      <c r="G129" s="278"/>
      <c r="H129" s="278"/>
      <c r="I129" s="279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 spans="1:29" ht="27.75" customHeight="1">
      <c r="A130" s="358" t="s">
        <v>159</v>
      </c>
      <c r="B130" s="278"/>
      <c r="C130" s="278"/>
      <c r="D130" s="278"/>
      <c r="E130" s="278"/>
      <c r="F130" s="278"/>
      <c r="G130" s="278"/>
      <c r="H130" s="278"/>
      <c r="I130" s="279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 spans="1:29" ht="27" customHeight="1">
      <c r="A131" s="60">
        <v>3</v>
      </c>
      <c r="B131" s="318" t="s">
        <v>160</v>
      </c>
      <c r="C131" s="278"/>
      <c r="D131" s="278"/>
      <c r="E131" s="278"/>
      <c r="F131" s="278"/>
      <c r="G131" s="278"/>
      <c r="H131" s="279"/>
      <c r="I131" s="60" t="s">
        <v>95</v>
      </c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 spans="1:29" ht="27" customHeight="1">
      <c r="A132" s="61" t="s">
        <v>47</v>
      </c>
      <c r="B132" s="345" t="s">
        <v>430</v>
      </c>
      <c r="C132" s="333"/>
      <c r="D132" s="333"/>
      <c r="E132" s="333"/>
      <c r="F132" s="333"/>
      <c r="G132" s="333"/>
      <c r="H132" s="334"/>
      <c r="I132" s="50">
        <f>Uniformes!G15*2</f>
        <v>162.40416666666667</v>
      </c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 spans="1:29" ht="15.75" customHeight="1">
      <c r="A133" s="61" t="s">
        <v>49</v>
      </c>
      <c r="B133" s="282" t="s">
        <v>384</v>
      </c>
      <c r="C133" s="278"/>
      <c r="D133" s="278"/>
      <c r="E133" s="278"/>
      <c r="F133" s="278"/>
      <c r="G133" s="278"/>
      <c r="H133" s="279"/>
      <c r="I133" s="66">
        <f>Equipamentos!F45</f>
        <v>56.27791666666667</v>
      </c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 spans="1:29" ht="24.95" customHeight="1">
      <c r="A134" s="61" t="s">
        <v>51</v>
      </c>
      <c r="B134" s="425" t="s">
        <v>369</v>
      </c>
      <c r="C134" s="426"/>
      <c r="D134" s="426"/>
      <c r="E134" s="426"/>
      <c r="F134" s="426"/>
      <c r="G134" s="426"/>
      <c r="H134" s="427"/>
      <c r="I134" s="66">
        <f>Equipamentos!F40*2</f>
        <v>15.645277777777778</v>
      </c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 spans="1:29" ht="15.75" customHeight="1">
      <c r="A135" s="340" t="s">
        <v>161</v>
      </c>
      <c r="B135" s="278"/>
      <c r="C135" s="278"/>
      <c r="D135" s="278"/>
      <c r="E135" s="278"/>
      <c r="F135" s="278"/>
      <c r="G135" s="278"/>
      <c r="H135" s="279"/>
      <c r="I135" s="84">
        <f>ROUND(SUM(I132:I134),2)</f>
        <v>234.33</v>
      </c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 spans="1:29" ht="7.5" customHeight="1">
      <c r="A136" s="428"/>
      <c r="B136" s="278"/>
      <c r="C136" s="278"/>
      <c r="D136" s="278"/>
      <c r="E136" s="278"/>
      <c r="F136" s="278"/>
      <c r="G136" s="278"/>
      <c r="H136" s="278"/>
      <c r="I136" s="279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 spans="1:29" ht="15.75" customHeight="1">
      <c r="A137" s="429" t="s">
        <v>162</v>
      </c>
      <c r="B137" s="278"/>
      <c r="C137" s="278"/>
      <c r="D137" s="278"/>
      <c r="E137" s="278"/>
      <c r="F137" s="278"/>
      <c r="G137" s="278"/>
      <c r="H137" s="278"/>
      <c r="I137" s="279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 spans="1:29" ht="6.75" customHeight="1">
      <c r="A138" s="85"/>
      <c r="B138" s="86"/>
      <c r="C138" s="86"/>
      <c r="D138" s="86"/>
      <c r="E138" s="86"/>
      <c r="F138" s="86"/>
      <c r="G138" s="86"/>
      <c r="H138" s="86"/>
      <c r="I138" s="87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 spans="1:29" ht="15.75" customHeight="1">
      <c r="A139" s="350" t="s">
        <v>163</v>
      </c>
      <c r="B139" s="278"/>
      <c r="C139" s="278"/>
      <c r="D139" s="278"/>
      <c r="E139" s="278"/>
      <c r="F139" s="278"/>
      <c r="G139" s="278"/>
      <c r="H139" s="278"/>
      <c r="I139" s="279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 spans="1:29" ht="30" customHeight="1">
      <c r="A140" s="60">
        <v>6</v>
      </c>
      <c r="B140" s="351" t="s">
        <v>164</v>
      </c>
      <c r="C140" s="278"/>
      <c r="D140" s="278"/>
      <c r="E140" s="278"/>
      <c r="F140" s="278"/>
      <c r="G140" s="279"/>
      <c r="H140" s="46" t="s">
        <v>81</v>
      </c>
      <c r="I140" s="88" t="s">
        <v>102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 spans="1:29" ht="50.25" customHeight="1">
      <c r="A141" s="302" t="s">
        <v>165</v>
      </c>
      <c r="B141" s="278"/>
      <c r="C141" s="278"/>
      <c r="D141" s="278"/>
      <c r="E141" s="278"/>
      <c r="F141" s="278"/>
      <c r="G141" s="279"/>
      <c r="H141" s="89" t="s">
        <v>22</v>
      </c>
      <c r="I141" s="50">
        <f>SUM(I42+I92+I101+I128+I135)</f>
        <v>10262.335039999998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 spans="1:29" ht="15.75" customHeight="1">
      <c r="A142" s="89" t="s">
        <v>47</v>
      </c>
      <c r="B142" s="430" t="s">
        <v>24</v>
      </c>
      <c r="C142" s="278"/>
      <c r="D142" s="278"/>
      <c r="E142" s="278"/>
      <c r="F142" s="278"/>
      <c r="G142" s="279"/>
      <c r="H142" s="90">
        <v>0.06</v>
      </c>
      <c r="I142" s="50">
        <f>ROUND(H142*I141,2)</f>
        <v>615.74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 spans="1:29" ht="50.25" customHeight="1">
      <c r="A143" s="302" t="s">
        <v>166</v>
      </c>
      <c r="B143" s="278"/>
      <c r="C143" s="278"/>
      <c r="D143" s="278"/>
      <c r="E143" s="278"/>
      <c r="F143" s="278"/>
      <c r="G143" s="279"/>
      <c r="H143" s="35" t="s">
        <v>22</v>
      </c>
      <c r="I143" s="50">
        <f>SUM(I42+I92+I101+I128+I135+I142)</f>
        <v>10878.075039999998</v>
      </c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 spans="1:29" ht="15.75" customHeight="1">
      <c r="A144" s="89" t="s">
        <v>49</v>
      </c>
      <c r="B144" s="430" t="s">
        <v>26</v>
      </c>
      <c r="C144" s="278"/>
      <c r="D144" s="278"/>
      <c r="E144" s="278"/>
      <c r="F144" s="278"/>
      <c r="G144" s="279"/>
      <c r="H144" s="90">
        <v>6.7900000000000002E-2</v>
      </c>
      <c r="I144" s="50">
        <f>ROUND(H144*I143,2)</f>
        <v>738.62</v>
      </c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 spans="1:29" ht="48.75" customHeight="1">
      <c r="A145" s="302" t="s">
        <v>167</v>
      </c>
      <c r="B145" s="278"/>
      <c r="C145" s="278"/>
      <c r="D145" s="278"/>
      <c r="E145" s="278"/>
      <c r="F145" s="278"/>
      <c r="G145" s="279"/>
      <c r="H145" s="35" t="s">
        <v>22</v>
      </c>
      <c r="I145" s="50">
        <f>SUM(I141+I142+I144)</f>
        <v>11616.695039999999</v>
      </c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 spans="1:29" ht="16.5" customHeight="1">
      <c r="A146" s="91" t="s">
        <v>51</v>
      </c>
      <c r="B146" s="431" t="s">
        <v>168</v>
      </c>
      <c r="C146" s="278"/>
      <c r="D146" s="278"/>
      <c r="E146" s="278"/>
      <c r="F146" s="278"/>
      <c r="G146" s="279"/>
      <c r="H146" s="35" t="s">
        <v>22</v>
      </c>
      <c r="I146" s="63" t="s">
        <v>22</v>
      </c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 spans="1:29" ht="12.75" customHeight="1">
      <c r="A147" s="89"/>
      <c r="B147" s="312" t="s">
        <v>169</v>
      </c>
      <c r="C147" s="278"/>
      <c r="D147" s="278"/>
      <c r="E147" s="278"/>
      <c r="F147" s="278"/>
      <c r="G147" s="279"/>
      <c r="H147" s="35" t="s">
        <v>22</v>
      </c>
      <c r="I147" s="63" t="s">
        <v>22</v>
      </c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 spans="1:29" ht="22.5" customHeight="1">
      <c r="A148" s="89"/>
      <c r="B148" s="302" t="s">
        <v>170</v>
      </c>
      <c r="C148" s="278"/>
      <c r="D148" s="278"/>
      <c r="E148" s="278"/>
      <c r="F148" s="278"/>
      <c r="G148" s="279"/>
      <c r="H148" s="92">
        <v>0.03</v>
      </c>
      <c r="I148" s="93">
        <f t="shared" ref="I148:I149" si="3">ROUND(($I$145/(1-$H$157))*H148,2)</f>
        <v>371.34</v>
      </c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 spans="1:29" ht="22.5" customHeight="1">
      <c r="A149" s="89"/>
      <c r="B149" s="302" t="s">
        <v>171</v>
      </c>
      <c r="C149" s="278"/>
      <c r="D149" s="278"/>
      <c r="E149" s="278"/>
      <c r="F149" s="278"/>
      <c r="G149" s="279"/>
      <c r="H149" s="92">
        <v>6.4999999999999997E-3</v>
      </c>
      <c r="I149" s="93">
        <f t="shared" si="3"/>
        <v>80.459999999999994</v>
      </c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 spans="1:29" ht="29.25" customHeight="1">
      <c r="A150" s="89"/>
      <c r="B150" s="302" t="s">
        <v>172</v>
      </c>
      <c r="C150" s="278"/>
      <c r="D150" s="278"/>
      <c r="E150" s="278"/>
      <c r="F150" s="278"/>
      <c r="G150" s="279"/>
      <c r="H150" s="94" t="s">
        <v>22</v>
      </c>
      <c r="I150" s="63" t="s">
        <v>22</v>
      </c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 spans="1:29" ht="29.25" customHeight="1">
      <c r="A151" s="89"/>
      <c r="B151" s="302" t="s">
        <v>173</v>
      </c>
      <c r="C151" s="278"/>
      <c r="D151" s="278"/>
      <c r="E151" s="278"/>
      <c r="F151" s="278"/>
      <c r="G151" s="279"/>
      <c r="H151" s="94" t="s">
        <v>22</v>
      </c>
      <c r="I151" s="63" t="s">
        <v>22</v>
      </c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 spans="1:29" ht="18" customHeight="1">
      <c r="A152" s="89"/>
      <c r="B152" s="302" t="s">
        <v>174</v>
      </c>
      <c r="C152" s="278"/>
      <c r="D152" s="278"/>
      <c r="E152" s="278"/>
      <c r="F152" s="278"/>
      <c r="G152" s="278"/>
      <c r="H152" s="95" t="s">
        <v>22</v>
      </c>
      <c r="I152" s="96" t="s">
        <v>22</v>
      </c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 spans="1:29" ht="18" customHeight="1">
      <c r="A153" s="89"/>
      <c r="B153" s="302" t="s">
        <v>175</v>
      </c>
      <c r="C153" s="278"/>
      <c r="D153" s="278"/>
      <c r="E153" s="278"/>
      <c r="F153" s="278"/>
      <c r="G153" s="278"/>
      <c r="H153" s="95" t="s">
        <v>22</v>
      </c>
      <c r="I153" s="96" t="s">
        <v>22</v>
      </c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 spans="1:29" ht="30" customHeight="1">
      <c r="A154" s="89"/>
      <c r="B154" s="302" t="s">
        <v>399</v>
      </c>
      <c r="C154" s="278"/>
      <c r="D154" s="278"/>
      <c r="E154" s="278"/>
      <c r="F154" s="278"/>
      <c r="G154" s="279"/>
      <c r="H154" s="97">
        <v>2.5000000000000001E-2</v>
      </c>
      <c r="I154" s="93">
        <f>ROUND(($I$145/(1-$H$157))*H154,2)</f>
        <v>309.45</v>
      </c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 spans="1:29" ht="15.75" customHeight="1">
      <c r="A155" s="340" t="s">
        <v>41</v>
      </c>
      <c r="B155" s="278"/>
      <c r="C155" s="278"/>
      <c r="D155" s="278"/>
      <c r="E155" s="278"/>
      <c r="F155" s="278"/>
      <c r="G155" s="278"/>
      <c r="H155" s="279"/>
      <c r="I155" s="44">
        <f>SUM(I142+I144+I148+I149+I154)</f>
        <v>2115.61</v>
      </c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 spans="1:29" ht="6.75" customHeight="1">
      <c r="A156" s="357"/>
      <c r="B156" s="278"/>
      <c r="C156" s="278"/>
      <c r="D156" s="278"/>
      <c r="E156" s="278"/>
      <c r="F156" s="278"/>
      <c r="G156" s="278"/>
      <c r="H156" s="278"/>
      <c r="I156" s="279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 spans="1:29" ht="15.75" customHeight="1">
      <c r="A157" s="367" t="s">
        <v>176</v>
      </c>
      <c r="B157" s="368"/>
      <c r="C157" s="368"/>
      <c r="D157" s="368"/>
      <c r="E157" s="368"/>
      <c r="F157" s="368"/>
      <c r="G157" s="268"/>
      <c r="H157" s="183">
        <f t="shared" ref="H157:I157" si="4">SUM(H148:H154)</f>
        <v>6.1499999999999999E-2</v>
      </c>
      <c r="I157" s="184">
        <f t="shared" si="4"/>
        <v>761.25</v>
      </c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 spans="1:29" ht="12.75" customHeight="1">
      <c r="A158" s="369" t="s">
        <v>177</v>
      </c>
      <c r="B158" s="370"/>
      <c r="C158" s="375" t="s">
        <v>178</v>
      </c>
      <c r="D158" s="370"/>
      <c r="E158" s="370"/>
      <c r="F158" s="370"/>
      <c r="G158" s="370"/>
      <c r="H158" s="370"/>
      <c r="I158" s="376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 spans="1:29" ht="12" customHeight="1">
      <c r="A159" s="371"/>
      <c r="B159" s="372"/>
      <c r="C159" s="377" t="s">
        <v>179</v>
      </c>
      <c r="D159" s="372"/>
      <c r="E159" s="372"/>
      <c r="F159" s="372"/>
      <c r="G159" s="372"/>
      <c r="H159" s="372"/>
      <c r="I159" s="378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 spans="1:29" ht="13.5" customHeight="1">
      <c r="A160" s="373"/>
      <c r="B160" s="374"/>
      <c r="C160" s="379" t="s">
        <v>180</v>
      </c>
      <c r="D160" s="374"/>
      <c r="E160" s="374"/>
      <c r="F160" s="374"/>
      <c r="G160" s="374"/>
      <c r="H160" s="374"/>
      <c r="I160" s="380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 spans="1:29" ht="6.75" customHeight="1">
      <c r="A161" s="434"/>
      <c r="B161" s="276"/>
      <c r="C161" s="276"/>
      <c r="D161" s="276"/>
      <c r="E161" s="276"/>
      <c r="F161" s="276"/>
      <c r="G161" s="276"/>
      <c r="H161" s="276"/>
      <c r="I161" s="276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 spans="1:29" ht="24" customHeight="1">
      <c r="A162" s="435" t="s">
        <v>181</v>
      </c>
      <c r="B162" s="278"/>
      <c r="C162" s="278"/>
      <c r="D162" s="278"/>
      <c r="E162" s="278"/>
      <c r="F162" s="278"/>
      <c r="G162" s="278"/>
      <c r="H162" s="278"/>
      <c r="I162" s="279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 spans="1:29" ht="5.25" customHeight="1">
      <c r="A163" s="357"/>
      <c r="B163" s="278"/>
      <c r="C163" s="278"/>
      <c r="D163" s="278"/>
      <c r="E163" s="278"/>
      <c r="F163" s="278"/>
      <c r="G163" s="278"/>
      <c r="H163" s="278"/>
      <c r="I163" s="279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 spans="1:29" ht="27.75" customHeight="1">
      <c r="A164" s="358" t="s">
        <v>182</v>
      </c>
      <c r="B164" s="278"/>
      <c r="C164" s="278"/>
      <c r="D164" s="278"/>
      <c r="E164" s="278"/>
      <c r="F164" s="278"/>
      <c r="G164" s="278"/>
      <c r="H164" s="278"/>
      <c r="I164" s="279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 spans="1:29" ht="15" customHeight="1">
      <c r="A165" s="286" t="s">
        <v>183</v>
      </c>
      <c r="B165" s="278"/>
      <c r="C165" s="278"/>
      <c r="D165" s="278"/>
      <c r="E165" s="278"/>
      <c r="F165" s="278"/>
      <c r="G165" s="278"/>
      <c r="H165" s="279"/>
      <c r="I165" s="46" t="s">
        <v>95</v>
      </c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 spans="1:29" ht="15" customHeight="1">
      <c r="A166" s="98" t="s">
        <v>47</v>
      </c>
      <c r="B166" s="432" t="s">
        <v>184</v>
      </c>
      <c r="C166" s="278"/>
      <c r="D166" s="278"/>
      <c r="E166" s="278"/>
      <c r="F166" s="278"/>
      <c r="G166" s="278"/>
      <c r="H166" s="278"/>
      <c r="I166" s="66">
        <f>I42</f>
        <v>5414.6799999999994</v>
      </c>
      <c r="J166" s="24"/>
      <c r="K166" s="182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 spans="1:29" ht="15" customHeight="1">
      <c r="A167" s="98" t="s">
        <v>49</v>
      </c>
      <c r="B167" s="432" t="s">
        <v>185</v>
      </c>
      <c r="C167" s="278"/>
      <c r="D167" s="278"/>
      <c r="E167" s="278"/>
      <c r="F167" s="278"/>
      <c r="G167" s="278"/>
      <c r="H167" s="278"/>
      <c r="I167" s="66">
        <f>I92</f>
        <v>3459.4399999999996</v>
      </c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 spans="1:29" ht="15" customHeight="1">
      <c r="A168" s="98" t="s">
        <v>51</v>
      </c>
      <c r="B168" s="432" t="s">
        <v>186</v>
      </c>
      <c r="C168" s="278"/>
      <c r="D168" s="278"/>
      <c r="E168" s="278"/>
      <c r="F168" s="278"/>
      <c r="G168" s="278"/>
      <c r="H168" s="278"/>
      <c r="I168" s="66">
        <f>I101</f>
        <v>375.4</v>
      </c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 spans="1:29" ht="15" customHeight="1">
      <c r="A169" s="98" t="s">
        <v>54</v>
      </c>
      <c r="B169" s="432" t="s">
        <v>187</v>
      </c>
      <c r="C169" s="278"/>
      <c r="D169" s="278"/>
      <c r="E169" s="278"/>
      <c r="F169" s="278"/>
      <c r="G169" s="278"/>
      <c r="H169" s="278"/>
      <c r="I169" s="66">
        <f>I128</f>
        <v>778.48504000000014</v>
      </c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 spans="1:29" ht="15" customHeight="1">
      <c r="A170" s="98" t="s">
        <v>109</v>
      </c>
      <c r="B170" s="432" t="s">
        <v>188</v>
      </c>
      <c r="C170" s="278"/>
      <c r="D170" s="278"/>
      <c r="E170" s="278"/>
      <c r="F170" s="278"/>
      <c r="G170" s="278"/>
      <c r="H170" s="278"/>
      <c r="I170" s="66">
        <f>I135</f>
        <v>234.33</v>
      </c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 spans="1:29" ht="15" customHeight="1">
      <c r="A171" s="433" t="s">
        <v>189</v>
      </c>
      <c r="B171" s="278"/>
      <c r="C171" s="278"/>
      <c r="D171" s="278"/>
      <c r="E171" s="278"/>
      <c r="F171" s="278"/>
      <c r="G171" s="278"/>
      <c r="H171" s="293"/>
      <c r="I171" s="99">
        <f>ROUND(SUM(I166:I170),2)</f>
        <v>10262.34</v>
      </c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 spans="1:29" ht="15" customHeight="1">
      <c r="A172" s="100" t="s">
        <v>111</v>
      </c>
      <c r="B172" s="432" t="s">
        <v>163</v>
      </c>
      <c r="C172" s="278"/>
      <c r="D172" s="278"/>
      <c r="E172" s="278"/>
      <c r="F172" s="278"/>
      <c r="G172" s="278"/>
      <c r="H172" s="278"/>
      <c r="I172" s="84">
        <f>I155</f>
        <v>2115.61</v>
      </c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 spans="1:29" ht="15" customHeight="1">
      <c r="A173" s="433" t="s">
        <v>190</v>
      </c>
      <c r="B173" s="278"/>
      <c r="C173" s="278"/>
      <c r="D173" s="278"/>
      <c r="E173" s="278"/>
      <c r="F173" s="278"/>
      <c r="G173" s="278"/>
      <c r="H173" s="293"/>
      <c r="I173" s="99">
        <f>I171+I172</f>
        <v>12377.95</v>
      </c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 spans="1:29" ht="7.5" customHeight="1">
      <c r="A174" s="361"/>
      <c r="B174" s="278"/>
      <c r="C174" s="278"/>
      <c r="D174" s="278"/>
      <c r="E174" s="278"/>
      <c r="F174" s="278"/>
      <c r="G174" s="278"/>
      <c r="H174" s="278"/>
      <c r="I174" s="279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 spans="1:29" ht="15" hidden="1" customHeight="1">
      <c r="A175" s="101"/>
      <c r="B175" s="101"/>
      <c r="C175" s="101"/>
      <c r="D175" s="101"/>
      <c r="E175" s="101"/>
      <c r="F175" s="101"/>
      <c r="G175" s="101"/>
      <c r="H175" s="102"/>
      <c r="I175" s="103"/>
      <c r="J175" s="27"/>
      <c r="K175" s="104"/>
      <c r="L175" s="27"/>
      <c r="M175" s="105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 spans="1:29" ht="31.5" customHeight="1">
      <c r="A176" s="362" t="s">
        <v>191</v>
      </c>
      <c r="B176" s="363"/>
      <c r="C176" s="363"/>
      <c r="D176" s="363"/>
      <c r="E176" s="363"/>
      <c r="F176" s="363"/>
      <c r="G176" s="363"/>
      <c r="H176" s="363"/>
      <c r="I176" s="36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 spans="1:29" ht="45" customHeight="1">
      <c r="A177" s="365" t="s">
        <v>192</v>
      </c>
      <c r="B177" s="276"/>
      <c r="C177" s="276"/>
      <c r="D177" s="270"/>
      <c r="E177" s="365" t="s">
        <v>193</v>
      </c>
      <c r="F177" s="270"/>
      <c r="G177" s="32" t="s">
        <v>194</v>
      </c>
      <c r="H177" s="365" t="s">
        <v>195</v>
      </c>
      <c r="I177" s="270"/>
    </row>
    <row r="178" spans="1:29" ht="41.25" customHeight="1">
      <c r="A178" s="385" t="s">
        <v>196</v>
      </c>
      <c r="B178" s="333"/>
      <c r="C178" s="333"/>
      <c r="D178" s="334"/>
      <c r="E178" s="383">
        <f>I173</f>
        <v>12377.95</v>
      </c>
      <c r="F178" s="279"/>
      <c r="G178" s="106">
        <f>H13</f>
        <v>1</v>
      </c>
      <c r="H178" s="384">
        <f>E178*G178</f>
        <v>12377.95</v>
      </c>
      <c r="I178" s="279"/>
    </row>
    <row r="179" spans="1:29" ht="20.25" customHeight="1">
      <c r="A179" s="386" t="s">
        <v>197</v>
      </c>
      <c r="B179" s="278"/>
      <c r="C179" s="278"/>
      <c r="D179" s="278"/>
      <c r="E179" s="278"/>
      <c r="F179" s="279"/>
      <c r="G179" s="107">
        <f>SUM(G178)</f>
        <v>1</v>
      </c>
      <c r="H179" s="387">
        <f>SUM(H178:I178)</f>
        <v>12377.95</v>
      </c>
      <c r="I179" s="279"/>
    </row>
    <row r="180" spans="1:29" ht="6.75" customHeight="1">
      <c r="A180" s="388"/>
      <c r="B180" s="389"/>
      <c r="C180" s="389"/>
      <c r="D180" s="389"/>
      <c r="E180" s="389"/>
      <c r="F180" s="389"/>
      <c r="G180" s="389"/>
      <c r="H180" s="389"/>
      <c r="I180" s="390"/>
    </row>
    <row r="181" spans="1:29" ht="17.25" customHeight="1">
      <c r="A181" s="391" t="s">
        <v>198</v>
      </c>
      <c r="B181" s="392"/>
      <c r="C181" s="392"/>
      <c r="D181" s="392"/>
      <c r="E181" s="392"/>
      <c r="F181" s="392"/>
      <c r="G181" s="392"/>
      <c r="H181" s="392"/>
      <c r="I181" s="393"/>
    </row>
    <row r="182" spans="1:29" ht="6.75" customHeight="1">
      <c r="A182" s="394"/>
      <c r="B182" s="276"/>
      <c r="C182" s="276"/>
      <c r="D182" s="276"/>
      <c r="E182" s="276"/>
      <c r="F182" s="276"/>
      <c r="G182" s="276"/>
      <c r="H182" s="276"/>
      <c r="I182" s="270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 spans="1:29" ht="18.75" customHeight="1">
      <c r="A183" s="396" t="s">
        <v>199</v>
      </c>
      <c r="B183" s="278"/>
      <c r="C183" s="278"/>
      <c r="D183" s="278"/>
      <c r="E183" s="278"/>
      <c r="F183" s="279"/>
      <c r="G183" s="395">
        <f>$H$179</f>
        <v>12377.95</v>
      </c>
      <c r="H183" s="278"/>
      <c r="I183" s="279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 spans="1:29" ht="8.25" customHeight="1">
      <c r="A184" s="397"/>
      <c r="B184" s="398"/>
      <c r="C184" s="398"/>
      <c r="D184" s="398"/>
      <c r="E184" s="398"/>
      <c r="F184" s="398"/>
      <c r="G184" s="398"/>
      <c r="H184" s="398"/>
      <c r="I184" s="399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 spans="1:29" ht="19.5" customHeight="1">
      <c r="A185" s="396" t="s">
        <v>200</v>
      </c>
      <c r="B185" s="278"/>
      <c r="C185" s="278"/>
      <c r="D185" s="278"/>
      <c r="E185" s="278"/>
      <c r="F185" s="279"/>
      <c r="G185" s="400">
        <f>$H$10</f>
        <v>12</v>
      </c>
      <c r="H185" s="278"/>
      <c r="I185" s="279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 spans="1:29" ht="8.25" customHeight="1">
      <c r="A186" s="401"/>
      <c r="B186" s="278"/>
      <c r="C186" s="278"/>
      <c r="D186" s="278"/>
      <c r="E186" s="278"/>
      <c r="F186" s="278"/>
      <c r="G186" s="278"/>
      <c r="H186" s="278"/>
      <c r="I186" s="293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 spans="1:29" ht="31.5" customHeight="1">
      <c r="A187" s="396" t="s">
        <v>201</v>
      </c>
      <c r="B187" s="278"/>
      <c r="C187" s="278"/>
      <c r="D187" s="278"/>
      <c r="E187" s="278"/>
      <c r="F187" s="279"/>
      <c r="G187" s="402">
        <f>ROUND(G183*G185,2)</f>
        <v>148535.4</v>
      </c>
      <c r="H187" s="278"/>
      <c r="I187" s="279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 spans="1:29" ht="8.25" customHeight="1">
      <c r="A188" s="405"/>
      <c r="B188" s="278"/>
      <c r="C188" s="278"/>
      <c r="D188" s="278"/>
      <c r="E188" s="278"/>
      <c r="F188" s="278"/>
      <c r="G188" s="278"/>
      <c r="H188" s="278"/>
      <c r="I188" s="279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 spans="1:29" ht="29.25" customHeight="1">
      <c r="A189" s="406" t="s">
        <v>202</v>
      </c>
      <c r="B189" s="278"/>
      <c r="C189" s="278"/>
      <c r="D189" s="278"/>
      <c r="E189" s="278"/>
      <c r="F189" s="278"/>
      <c r="G189" s="278"/>
      <c r="H189" s="278"/>
      <c r="I189" s="279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 spans="1:29" ht="12" customHeight="1">
      <c r="A190" s="407" t="s">
        <v>203</v>
      </c>
      <c r="B190" s="296"/>
      <c r="C190" s="408"/>
      <c r="D190" s="410" t="s">
        <v>204</v>
      </c>
      <c r="E190" s="368"/>
      <c r="F190" s="368"/>
      <c r="G190" s="368"/>
      <c r="H190" s="368"/>
      <c r="I190" s="268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 spans="1:29" ht="12" customHeight="1">
      <c r="A191" s="409"/>
      <c r="B191" s="276"/>
      <c r="C191" s="270"/>
      <c r="D191" s="409"/>
      <c r="E191" s="276"/>
      <c r="F191" s="276"/>
      <c r="G191" s="276"/>
      <c r="H191" s="276"/>
      <c r="I191" s="270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 spans="1:29" ht="14.25" customHeight="1">
      <c r="A192" s="403" t="s">
        <v>205</v>
      </c>
      <c r="B192" s="278"/>
      <c r="C192" s="279"/>
      <c r="D192" s="411">
        <v>2</v>
      </c>
      <c r="E192" s="278"/>
      <c r="F192" s="278"/>
      <c r="G192" s="278"/>
      <c r="H192" s="278"/>
      <c r="I192" s="279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 spans="1:29" ht="12.75" customHeight="1">
      <c r="A193" s="403"/>
      <c r="B193" s="278"/>
      <c r="C193" s="279"/>
      <c r="D193" s="411"/>
      <c r="E193" s="278"/>
      <c r="F193" s="278"/>
      <c r="G193" s="278"/>
      <c r="H193" s="278"/>
      <c r="I193" s="279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 spans="1:29" ht="12.75" customHeight="1">
      <c r="A194" s="404"/>
      <c r="B194" s="278"/>
      <c r="C194" s="279"/>
      <c r="D194" s="411"/>
      <c r="E194" s="278"/>
      <c r="F194" s="278"/>
      <c r="G194" s="278"/>
      <c r="H194" s="278"/>
      <c r="I194" s="279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 spans="1:29" ht="15" customHeight="1">
      <c r="A195" s="417"/>
      <c r="B195" s="368"/>
      <c r="C195" s="368"/>
      <c r="D195" s="368"/>
      <c r="E195" s="368"/>
      <c r="F195" s="368"/>
      <c r="G195" s="368"/>
      <c r="H195" s="368"/>
      <c r="I195" s="268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 spans="1:29" ht="12" hidden="1" customHeight="1">
      <c r="A196" s="418"/>
      <c r="B196" s="419"/>
      <c r="C196" s="419"/>
      <c r="D196" s="419"/>
      <c r="E196" s="419"/>
      <c r="F196" s="419"/>
      <c r="G196" s="419"/>
      <c r="H196" s="419"/>
      <c r="I196" s="408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 spans="1:29" ht="27" customHeight="1">
      <c r="A197" s="420" t="s">
        <v>206</v>
      </c>
      <c r="B197" s="421"/>
      <c r="C197" s="421"/>
      <c r="D197" s="421"/>
      <c r="E197" s="421"/>
      <c r="F197" s="421"/>
      <c r="G197" s="421"/>
      <c r="H197" s="421"/>
      <c r="I197" s="422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 spans="1:29" ht="12.75" customHeight="1">
      <c r="A198" s="423" t="s">
        <v>207</v>
      </c>
      <c r="B198" s="242"/>
      <c r="C198" s="242"/>
      <c r="D198" s="242"/>
      <c r="E198" s="242"/>
      <c r="F198" s="242"/>
      <c r="G198" s="243"/>
      <c r="H198" s="413" t="s">
        <v>208</v>
      </c>
      <c r="I198" s="260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 spans="1:29" ht="15" customHeight="1">
      <c r="A199" s="424"/>
      <c r="B199" s="242"/>
      <c r="C199" s="242"/>
      <c r="D199" s="242"/>
      <c r="E199" s="242"/>
      <c r="F199" s="242"/>
      <c r="G199" s="243"/>
      <c r="H199" s="413"/>
      <c r="I199" s="260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 spans="1:29" ht="12.75" customHeight="1">
      <c r="A200" s="412"/>
      <c r="B200" s="242"/>
      <c r="C200" s="242"/>
      <c r="D200" s="242"/>
      <c r="E200" s="242"/>
      <c r="F200" s="242"/>
      <c r="G200" s="243"/>
      <c r="H200" s="413"/>
      <c r="I200" s="260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 spans="1:29" ht="12.75" customHeight="1">
      <c r="A201" s="414"/>
      <c r="B201" s="265"/>
      <c r="C201" s="265"/>
      <c r="D201" s="265"/>
      <c r="E201" s="265"/>
      <c r="F201" s="265"/>
      <c r="G201" s="266"/>
      <c r="H201" s="415"/>
      <c r="I201" s="416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 spans="1:29" ht="12" customHeight="1">
      <c r="A202" s="24"/>
      <c r="B202" s="24"/>
      <c r="C202" s="24"/>
      <c r="D202" s="24"/>
      <c r="E202" s="24"/>
      <c r="F202" s="24"/>
      <c r="G202" s="24"/>
      <c r="H202" s="24"/>
      <c r="I202" s="108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 spans="1:29" ht="12" customHeight="1">
      <c r="A203" s="24"/>
      <c r="B203" s="24"/>
      <c r="C203" s="24"/>
      <c r="D203" s="24"/>
      <c r="E203" s="24"/>
      <c r="F203" s="24"/>
      <c r="G203" s="24"/>
      <c r="H203" s="24"/>
      <c r="I203" s="108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 spans="1:29" ht="12" customHeight="1">
      <c r="A204" s="24"/>
      <c r="B204" s="24"/>
      <c r="C204" s="24"/>
      <c r="D204" s="24"/>
      <c r="E204" s="24"/>
      <c r="F204" s="24"/>
      <c r="G204" s="24"/>
      <c r="H204" s="24"/>
      <c r="I204" s="108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 spans="1:29" ht="12" customHeight="1">
      <c r="A205" s="24"/>
      <c r="B205" s="24"/>
      <c r="C205" s="24"/>
      <c r="D205" s="24"/>
      <c r="E205" s="24"/>
      <c r="F205" s="24"/>
      <c r="G205" s="24"/>
      <c r="H205" s="24"/>
      <c r="I205" s="108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 spans="1:29" ht="12" customHeight="1">
      <c r="A206" s="24"/>
      <c r="B206" s="24"/>
      <c r="C206" s="24"/>
      <c r="D206" s="24"/>
      <c r="E206" s="24"/>
      <c r="F206" s="24"/>
      <c r="G206" s="24"/>
      <c r="H206" s="24"/>
      <c r="I206" s="108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 spans="1:29" ht="12" customHeight="1">
      <c r="A207" s="24"/>
      <c r="B207" s="24"/>
      <c r="C207" s="24"/>
      <c r="D207" s="24"/>
      <c r="E207" s="24"/>
      <c r="F207" s="24"/>
      <c r="G207" s="24"/>
      <c r="H207" s="24"/>
      <c r="I207" s="108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 spans="1:29" ht="12" customHeight="1">
      <c r="A208" s="24"/>
      <c r="B208" s="24"/>
      <c r="C208" s="24"/>
      <c r="D208" s="24"/>
      <c r="E208" s="24"/>
      <c r="F208" s="24"/>
      <c r="G208" s="24"/>
      <c r="H208" s="24"/>
      <c r="I208" s="108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 spans="1:29" ht="12" customHeight="1">
      <c r="A209" s="24"/>
      <c r="B209" s="24"/>
      <c r="C209" s="24"/>
      <c r="D209" s="24"/>
      <c r="E209" s="24"/>
      <c r="F209" s="24"/>
      <c r="G209" s="24"/>
      <c r="H209" s="24"/>
      <c r="I209" s="108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 spans="1:29" ht="12" customHeight="1">
      <c r="A210" s="24"/>
      <c r="B210" s="24"/>
      <c r="C210" s="24"/>
      <c r="D210" s="24"/>
      <c r="E210" s="24"/>
      <c r="F210" s="24"/>
      <c r="G210" s="24"/>
      <c r="H210" s="24"/>
      <c r="I210" s="108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 spans="1:29" ht="12" customHeight="1">
      <c r="A211" s="24"/>
      <c r="B211" s="24"/>
      <c r="C211" s="24"/>
      <c r="D211" s="24"/>
      <c r="E211" s="24"/>
      <c r="F211" s="24"/>
      <c r="G211" s="24"/>
      <c r="H211" s="24"/>
      <c r="I211" s="108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 spans="1:29" ht="12" customHeight="1">
      <c r="A212" s="24"/>
      <c r="B212" s="24"/>
      <c r="C212" s="24"/>
      <c r="D212" s="24"/>
      <c r="E212" s="24"/>
      <c r="F212" s="24"/>
      <c r="G212" s="24"/>
      <c r="H212" s="24"/>
      <c r="I212" s="108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 spans="1:29" ht="12" customHeight="1">
      <c r="A213" s="24"/>
      <c r="B213" s="24"/>
      <c r="C213" s="24"/>
      <c r="D213" s="24"/>
      <c r="E213" s="24"/>
      <c r="F213" s="24"/>
      <c r="G213" s="24"/>
      <c r="H213" s="24"/>
      <c r="I213" s="108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 spans="1:29" ht="12" customHeight="1">
      <c r="A214" s="24"/>
      <c r="B214" s="24"/>
      <c r="C214" s="24"/>
      <c r="D214" s="24"/>
      <c r="E214" s="24"/>
      <c r="F214" s="24"/>
      <c r="G214" s="24"/>
      <c r="H214" s="24"/>
      <c r="I214" s="108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 spans="1:29" ht="12" customHeight="1">
      <c r="A215" s="24"/>
      <c r="B215" s="24"/>
      <c r="C215" s="24"/>
      <c r="D215" s="24"/>
      <c r="E215" s="24"/>
      <c r="F215" s="24"/>
      <c r="G215" s="24"/>
      <c r="H215" s="24"/>
      <c r="I215" s="108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 spans="1:29" ht="12" customHeight="1">
      <c r="A216" s="24"/>
      <c r="B216" s="24"/>
      <c r="C216" s="24"/>
      <c r="D216" s="24"/>
      <c r="E216" s="24"/>
      <c r="F216" s="24"/>
      <c r="G216" s="24"/>
      <c r="H216" s="24"/>
      <c r="I216" s="108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 spans="1:29" ht="12" customHeight="1">
      <c r="A217" s="24"/>
      <c r="B217" s="24"/>
      <c r="C217" s="24"/>
      <c r="D217" s="24"/>
      <c r="E217" s="24"/>
      <c r="F217" s="24"/>
      <c r="G217" s="24"/>
      <c r="H217" s="24"/>
      <c r="I217" s="108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 spans="1:29" ht="12" customHeight="1">
      <c r="A218" s="24"/>
      <c r="B218" s="24"/>
      <c r="C218" s="24"/>
      <c r="D218" s="24"/>
      <c r="E218" s="24"/>
      <c r="F218" s="24"/>
      <c r="G218" s="24"/>
      <c r="H218" s="24"/>
      <c r="I218" s="108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 spans="1:29" ht="12" customHeight="1">
      <c r="A219" s="24"/>
      <c r="B219" s="24"/>
      <c r="C219" s="24"/>
      <c r="D219" s="24"/>
      <c r="E219" s="24"/>
      <c r="F219" s="24"/>
      <c r="G219" s="24"/>
      <c r="H219" s="24"/>
      <c r="I219" s="108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 spans="1:29" ht="12" customHeight="1">
      <c r="A220" s="24"/>
      <c r="B220" s="24"/>
      <c r="C220" s="24"/>
      <c r="D220" s="24"/>
      <c r="E220" s="24"/>
      <c r="F220" s="24"/>
      <c r="G220" s="24"/>
      <c r="H220" s="24"/>
      <c r="I220" s="108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 spans="1:29" ht="12" customHeight="1">
      <c r="A221" s="24"/>
      <c r="B221" s="24"/>
      <c r="C221" s="24"/>
      <c r="D221" s="24"/>
      <c r="E221" s="24"/>
      <c r="F221" s="24"/>
      <c r="G221" s="24"/>
      <c r="H221" s="24"/>
      <c r="I221" s="108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 spans="1:29" ht="12" customHeight="1">
      <c r="A222" s="24"/>
      <c r="B222" s="24"/>
      <c r="C222" s="24"/>
      <c r="D222" s="24"/>
      <c r="E222" s="24"/>
      <c r="F222" s="24"/>
      <c r="G222" s="24"/>
      <c r="H222" s="24"/>
      <c r="I222" s="108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 spans="1:29" ht="12" customHeight="1">
      <c r="A223" s="24"/>
      <c r="B223" s="24"/>
      <c r="C223" s="24"/>
      <c r="D223" s="24"/>
      <c r="E223" s="24"/>
      <c r="F223" s="24"/>
      <c r="G223" s="24"/>
      <c r="H223" s="24"/>
      <c r="I223" s="108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 spans="1:29" ht="12" customHeight="1">
      <c r="A224" s="24"/>
      <c r="B224" s="24"/>
      <c r="C224" s="24"/>
      <c r="D224" s="24"/>
      <c r="E224" s="24"/>
      <c r="F224" s="24"/>
      <c r="G224" s="24"/>
      <c r="H224" s="24"/>
      <c r="I224" s="108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 spans="1:29" ht="12" customHeight="1">
      <c r="A225" s="24"/>
      <c r="B225" s="24"/>
      <c r="C225" s="24"/>
      <c r="D225" s="24"/>
      <c r="E225" s="24"/>
      <c r="F225" s="24"/>
      <c r="G225" s="24"/>
      <c r="H225" s="24"/>
      <c r="I225" s="108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 spans="1:29" ht="12" customHeight="1">
      <c r="A226" s="24"/>
      <c r="B226" s="24"/>
      <c r="C226" s="24"/>
      <c r="D226" s="24"/>
      <c r="E226" s="24"/>
      <c r="F226" s="24"/>
      <c r="G226" s="24"/>
      <c r="H226" s="24"/>
      <c r="I226" s="108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 spans="1:29" ht="12" customHeight="1">
      <c r="A227" s="24"/>
      <c r="B227" s="24"/>
      <c r="C227" s="24"/>
      <c r="D227" s="24"/>
      <c r="E227" s="24"/>
      <c r="F227" s="24"/>
      <c r="G227" s="24"/>
      <c r="H227" s="24"/>
      <c r="I227" s="108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 spans="1:29" ht="12" customHeight="1">
      <c r="A228" s="24"/>
      <c r="B228" s="24"/>
      <c r="C228" s="24"/>
      <c r="D228" s="24"/>
      <c r="E228" s="24"/>
      <c r="F228" s="24"/>
      <c r="G228" s="24"/>
      <c r="H228" s="24"/>
      <c r="I228" s="108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 spans="1:29" ht="12" customHeight="1">
      <c r="A229" s="24"/>
      <c r="B229" s="24"/>
      <c r="C229" s="24"/>
      <c r="D229" s="24"/>
      <c r="E229" s="24"/>
      <c r="F229" s="24"/>
      <c r="G229" s="24"/>
      <c r="H229" s="24"/>
      <c r="I229" s="108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 spans="1:29" ht="12" customHeight="1">
      <c r="A230" s="24"/>
      <c r="B230" s="24"/>
      <c r="C230" s="24"/>
      <c r="D230" s="24"/>
      <c r="E230" s="24"/>
      <c r="F230" s="24"/>
      <c r="G230" s="24"/>
      <c r="H230" s="24"/>
      <c r="I230" s="108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 spans="1:29" ht="12" customHeight="1">
      <c r="A231" s="24"/>
      <c r="B231" s="24"/>
      <c r="C231" s="24"/>
      <c r="D231" s="24"/>
      <c r="E231" s="24"/>
      <c r="F231" s="24"/>
      <c r="G231" s="24"/>
      <c r="H231" s="24"/>
      <c r="I231" s="108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 spans="1:29" ht="12" customHeight="1">
      <c r="A232" s="24"/>
      <c r="B232" s="24"/>
      <c r="C232" s="24"/>
      <c r="D232" s="24"/>
      <c r="E232" s="24"/>
      <c r="F232" s="24"/>
      <c r="G232" s="24"/>
      <c r="H232" s="24"/>
      <c r="I232" s="108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 spans="1:29" ht="12" customHeight="1">
      <c r="A233" s="24"/>
      <c r="B233" s="24"/>
      <c r="C233" s="24"/>
      <c r="D233" s="24"/>
      <c r="E233" s="24"/>
      <c r="F233" s="24"/>
      <c r="G233" s="24"/>
      <c r="H233" s="24"/>
      <c r="I233" s="108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 spans="1:29" ht="12" customHeight="1">
      <c r="A234" s="24"/>
      <c r="B234" s="24"/>
      <c r="C234" s="24"/>
      <c r="D234" s="24"/>
      <c r="E234" s="24"/>
      <c r="F234" s="24"/>
      <c r="G234" s="24"/>
      <c r="H234" s="24"/>
      <c r="I234" s="108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 spans="1:29" ht="12" customHeight="1">
      <c r="A235" s="24"/>
      <c r="B235" s="24"/>
      <c r="C235" s="24"/>
      <c r="D235" s="24"/>
      <c r="E235" s="24"/>
      <c r="F235" s="24"/>
      <c r="G235" s="24"/>
      <c r="H235" s="24"/>
      <c r="I235" s="108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 spans="1:29" ht="12" customHeight="1">
      <c r="A236" s="24"/>
      <c r="B236" s="24"/>
      <c r="C236" s="24"/>
      <c r="D236" s="24"/>
      <c r="E236" s="24"/>
      <c r="F236" s="24"/>
      <c r="G236" s="24"/>
      <c r="H236" s="24"/>
      <c r="I236" s="108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 spans="1:29" ht="12" customHeight="1">
      <c r="A237" s="24"/>
      <c r="B237" s="24"/>
      <c r="C237" s="24"/>
      <c r="D237" s="24"/>
      <c r="E237" s="24"/>
      <c r="F237" s="24"/>
      <c r="G237" s="24"/>
      <c r="H237" s="24"/>
      <c r="I237" s="108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 spans="1:29" ht="12" customHeight="1">
      <c r="A238" s="24"/>
      <c r="B238" s="24"/>
      <c r="C238" s="24"/>
      <c r="D238" s="24"/>
      <c r="E238" s="24"/>
      <c r="F238" s="24"/>
      <c r="G238" s="24"/>
      <c r="H238" s="24"/>
      <c r="I238" s="108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 spans="1:29" ht="12" customHeight="1">
      <c r="A239" s="24"/>
      <c r="B239" s="24"/>
      <c r="C239" s="24"/>
      <c r="D239" s="24"/>
      <c r="E239" s="24"/>
      <c r="F239" s="24"/>
      <c r="G239" s="24"/>
      <c r="H239" s="24"/>
      <c r="I239" s="108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 spans="1:29" ht="12" customHeight="1">
      <c r="A240" s="24"/>
      <c r="B240" s="24"/>
      <c r="C240" s="24"/>
      <c r="D240" s="24"/>
      <c r="E240" s="24"/>
      <c r="F240" s="24"/>
      <c r="G240" s="24"/>
      <c r="H240" s="24"/>
      <c r="I240" s="108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 spans="1:29" ht="12" customHeight="1">
      <c r="A241" s="24"/>
      <c r="B241" s="24"/>
      <c r="C241" s="24"/>
      <c r="D241" s="24"/>
      <c r="E241" s="24"/>
      <c r="F241" s="24"/>
      <c r="G241" s="24"/>
      <c r="H241" s="24"/>
      <c r="I241" s="108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 spans="1:29" ht="12" customHeight="1">
      <c r="A242" s="24"/>
      <c r="B242" s="24"/>
      <c r="C242" s="24"/>
      <c r="D242" s="24"/>
      <c r="E242" s="24"/>
      <c r="F242" s="24"/>
      <c r="G242" s="24"/>
      <c r="H242" s="24"/>
      <c r="I242" s="108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 spans="1:29" ht="12" customHeight="1">
      <c r="A243" s="24"/>
      <c r="B243" s="24"/>
      <c r="C243" s="24"/>
      <c r="D243" s="24"/>
      <c r="E243" s="24"/>
      <c r="F243" s="24"/>
      <c r="G243" s="24"/>
      <c r="H243" s="24"/>
      <c r="I243" s="108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 spans="1:29" ht="12" customHeight="1">
      <c r="A244" s="24"/>
      <c r="B244" s="24"/>
      <c r="C244" s="24"/>
      <c r="D244" s="24"/>
      <c r="E244" s="24"/>
      <c r="F244" s="24"/>
      <c r="G244" s="24"/>
      <c r="H244" s="24"/>
      <c r="I244" s="108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 spans="1:29" ht="12" customHeight="1">
      <c r="A245" s="24"/>
      <c r="B245" s="24"/>
      <c r="C245" s="24"/>
      <c r="D245" s="24"/>
      <c r="E245" s="24"/>
      <c r="F245" s="24"/>
      <c r="G245" s="24"/>
      <c r="H245" s="24"/>
      <c r="I245" s="108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 spans="1:29" ht="12" customHeight="1">
      <c r="A246" s="24"/>
      <c r="B246" s="24"/>
      <c r="C246" s="24"/>
      <c r="D246" s="24"/>
      <c r="E246" s="24"/>
      <c r="F246" s="24"/>
      <c r="G246" s="24"/>
      <c r="H246" s="24"/>
      <c r="I246" s="108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 spans="1:29" ht="12" customHeight="1">
      <c r="A247" s="24"/>
      <c r="B247" s="24"/>
      <c r="C247" s="24"/>
      <c r="D247" s="24"/>
      <c r="E247" s="24"/>
      <c r="F247" s="24"/>
      <c r="G247" s="24"/>
      <c r="H247" s="24"/>
      <c r="I247" s="108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 spans="1:29" ht="12" customHeight="1">
      <c r="A248" s="24"/>
      <c r="B248" s="24"/>
      <c r="C248" s="24"/>
      <c r="D248" s="24"/>
      <c r="E248" s="24"/>
      <c r="F248" s="24"/>
      <c r="G248" s="24"/>
      <c r="H248" s="24"/>
      <c r="I248" s="108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 spans="1:29" ht="12" customHeight="1">
      <c r="A249" s="24"/>
      <c r="B249" s="24"/>
      <c r="C249" s="24"/>
      <c r="D249" s="24"/>
      <c r="E249" s="24"/>
      <c r="F249" s="24"/>
      <c r="G249" s="24"/>
      <c r="H249" s="24"/>
      <c r="I249" s="108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 spans="1:29" ht="12" customHeight="1">
      <c r="A250" s="24"/>
      <c r="B250" s="24"/>
      <c r="C250" s="24"/>
      <c r="D250" s="24"/>
      <c r="E250" s="24"/>
      <c r="F250" s="24"/>
      <c r="G250" s="24"/>
      <c r="H250" s="24"/>
      <c r="I250" s="108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 spans="1:29" ht="12" customHeight="1">
      <c r="A251" s="24"/>
      <c r="B251" s="24"/>
      <c r="C251" s="24"/>
      <c r="D251" s="24"/>
      <c r="E251" s="24"/>
      <c r="F251" s="24"/>
      <c r="G251" s="24"/>
      <c r="H251" s="24"/>
      <c r="I251" s="108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 spans="1:29" ht="12" customHeight="1">
      <c r="A252" s="24"/>
      <c r="B252" s="24"/>
      <c r="C252" s="24"/>
      <c r="D252" s="24"/>
      <c r="E252" s="24"/>
      <c r="F252" s="24"/>
      <c r="G252" s="24"/>
      <c r="H252" s="24"/>
      <c r="I252" s="108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 spans="1:29" ht="12" customHeight="1">
      <c r="A253" s="24"/>
      <c r="B253" s="24"/>
      <c r="C253" s="24"/>
      <c r="D253" s="24"/>
      <c r="E253" s="24"/>
      <c r="F253" s="24"/>
      <c r="G253" s="24"/>
      <c r="H253" s="24"/>
      <c r="I253" s="108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 spans="1:29" ht="12" customHeight="1">
      <c r="A254" s="24"/>
      <c r="B254" s="24"/>
      <c r="C254" s="24"/>
      <c r="D254" s="24"/>
      <c r="E254" s="24"/>
      <c r="F254" s="24"/>
      <c r="G254" s="24"/>
      <c r="H254" s="24"/>
      <c r="I254" s="108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 spans="1:29" ht="12" customHeight="1">
      <c r="A255" s="24"/>
      <c r="B255" s="24"/>
      <c r="C255" s="24"/>
      <c r="D255" s="24"/>
      <c r="E255" s="24"/>
      <c r="F255" s="24"/>
      <c r="G255" s="24"/>
      <c r="H255" s="24"/>
      <c r="I255" s="108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 spans="1:29" ht="12" customHeight="1">
      <c r="A256" s="24"/>
      <c r="B256" s="24"/>
      <c r="C256" s="24"/>
      <c r="D256" s="24"/>
      <c r="E256" s="24"/>
      <c r="F256" s="24"/>
      <c r="G256" s="24"/>
      <c r="H256" s="24"/>
      <c r="I256" s="108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 spans="1:29" ht="12" customHeight="1">
      <c r="A257" s="24"/>
      <c r="B257" s="24"/>
      <c r="C257" s="24"/>
      <c r="D257" s="24"/>
      <c r="E257" s="24"/>
      <c r="F257" s="24"/>
      <c r="G257" s="24"/>
      <c r="H257" s="24"/>
      <c r="I257" s="108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 spans="1:29" ht="12" customHeight="1">
      <c r="A258" s="24"/>
      <c r="B258" s="24"/>
      <c r="C258" s="24"/>
      <c r="D258" s="24"/>
      <c r="E258" s="24"/>
      <c r="F258" s="24"/>
      <c r="G258" s="24"/>
      <c r="H258" s="24"/>
      <c r="I258" s="108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 spans="1:29" ht="12" customHeight="1">
      <c r="A259" s="24"/>
      <c r="B259" s="24"/>
      <c r="C259" s="24"/>
      <c r="D259" s="24"/>
      <c r="E259" s="24"/>
      <c r="F259" s="24"/>
      <c r="G259" s="24"/>
      <c r="H259" s="24"/>
      <c r="I259" s="108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 spans="1:29" ht="12" customHeight="1">
      <c r="A260" s="24"/>
      <c r="B260" s="24"/>
      <c r="C260" s="24"/>
      <c r="D260" s="24"/>
      <c r="E260" s="24"/>
      <c r="F260" s="24"/>
      <c r="G260" s="24"/>
      <c r="H260" s="24"/>
      <c r="I260" s="108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 spans="1:29" ht="12" customHeight="1">
      <c r="A261" s="24"/>
      <c r="B261" s="24"/>
      <c r="C261" s="24"/>
      <c r="D261" s="24"/>
      <c r="E261" s="24"/>
      <c r="F261" s="24"/>
      <c r="G261" s="24"/>
      <c r="H261" s="24"/>
      <c r="I261" s="108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 spans="1:29" ht="12" customHeight="1">
      <c r="A262" s="24"/>
      <c r="B262" s="24"/>
      <c r="C262" s="24"/>
      <c r="D262" s="24"/>
      <c r="E262" s="24"/>
      <c r="F262" s="24"/>
      <c r="G262" s="24"/>
      <c r="H262" s="24"/>
      <c r="I262" s="108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 spans="1:29" ht="12" customHeight="1">
      <c r="A263" s="24"/>
      <c r="B263" s="24"/>
      <c r="C263" s="24"/>
      <c r="D263" s="24"/>
      <c r="E263" s="24"/>
      <c r="F263" s="24"/>
      <c r="G263" s="24"/>
      <c r="H263" s="24"/>
      <c r="I263" s="108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 spans="1:29" ht="12" customHeight="1">
      <c r="A264" s="24"/>
      <c r="B264" s="24"/>
      <c r="C264" s="24"/>
      <c r="D264" s="24"/>
      <c r="E264" s="24"/>
      <c r="F264" s="24"/>
      <c r="G264" s="24"/>
      <c r="H264" s="24"/>
      <c r="I264" s="108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 spans="1:29" ht="12" customHeight="1">
      <c r="A265" s="24"/>
      <c r="B265" s="24"/>
      <c r="C265" s="24"/>
      <c r="D265" s="24"/>
      <c r="E265" s="24"/>
      <c r="F265" s="24"/>
      <c r="G265" s="24"/>
      <c r="H265" s="24"/>
      <c r="I265" s="108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 spans="1:29" ht="12" customHeight="1">
      <c r="A266" s="24"/>
      <c r="B266" s="24"/>
      <c r="C266" s="24"/>
      <c r="D266" s="24"/>
      <c r="E266" s="24"/>
      <c r="F266" s="24"/>
      <c r="G266" s="24"/>
      <c r="H266" s="24"/>
      <c r="I266" s="108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 spans="1:29" ht="12" customHeight="1">
      <c r="A267" s="24"/>
      <c r="B267" s="24"/>
      <c r="C267" s="24"/>
      <c r="D267" s="24"/>
      <c r="E267" s="24"/>
      <c r="F267" s="24"/>
      <c r="G267" s="24"/>
      <c r="H267" s="24"/>
      <c r="I267" s="108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 spans="1:29" ht="12" customHeight="1">
      <c r="A268" s="24"/>
      <c r="B268" s="24"/>
      <c r="C268" s="24"/>
      <c r="D268" s="24"/>
      <c r="E268" s="24"/>
      <c r="F268" s="24"/>
      <c r="G268" s="24"/>
      <c r="H268" s="24"/>
      <c r="I268" s="108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 spans="1:29" ht="12" customHeight="1">
      <c r="A269" s="24"/>
      <c r="B269" s="24"/>
      <c r="C269" s="24"/>
      <c r="D269" s="24"/>
      <c r="E269" s="24"/>
      <c r="F269" s="24"/>
      <c r="G269" s="24"/>
      <c r="H269" s="24"/>
      <c r="I269" s="108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</sheetData>
  <mergeCells count="236">
    <mergeCell ref="B152:G152"/>
    <mergeCell ref="B153:G153"/>
    <mergeCell ref="B167:H167"/>
    <mergeCell ref="B168:H168"/>
    <mergeCell ref="B169:H169"/>
    <mergeCell ref="B170:H170"/>
    <mergeCell ref="A171:H171"/>
    <mergeCell ref="B172:H172"/>
    <mergeCell ref="A173:H173"/>
    <mergeCell ref="A161:I161"/>
    <mergeCell ref="A162:I162"/>
    <mergeCell ref="A163:I163"/>
    <mergeCell ref="A164:I164"/>
    <mergeCell ref="A165:H165"/>
    <mergeCell ref="B166:H166"/>
    <mergeCell ref="A143:G143"/>
    <mergeCell ref="B144:G144"/>
    <mergeCell ref="A145:G145"/>
    <mergeCell ref="B146:G146"/>
    <mergeCell ref="B147:G147"/>
    <mergeCell ref="B148:G148"/>
    <mergeCell ref="B149:G149"/>
    <mergeCell ref="B150:G150"/>
    <mergeCell ref="B151:G151"/>
    <mergeCell ref="B133:H133"/>
    <mergeCell ref="B134:H134"/>
    <mergeCell ref="A135:H135"/>
    <mergeCell ref="A136:I136"/>
    <mergeCell ref="A137:I137"/>
    <mergeCell ref="A139:I139"/>
    <mergeCell ref="B140:G140"/>
    <mergeCell ref="A141:G141"/>
    <mergeCell ref="B142:G142"/>
    <mergeCell ref="A124:I124"/>
    <mergeCell ref="B125:H125"/>
    <mergeCell ref="B126:H126"/>
    <mergeCell ref="B127:H127"/>
    <mergeCell ref="A128:H128"/>
    <mergeCell ref="A129:I129"/>
    <mergeCell ref="A130:I130"/>
    <mergeCell ref="B131:H131"/>
    <mergeCell ref="B132:H132"/>
    <mergeCell ref="A200:G200"/>
    <mergeCell ref="H200:I200"/>
    <mergeCell ref="A201:G201"/>
    <mergeCell ref="H201:I201"/>
    <mergeCell ref="D194:I194"/>
    <mergeCell ref="A195:I196"/>
    <mergeCell ref="A197:I197"/>
    <mergeCell ref="A198:G198"/>
    <mergeCell ref="H198:I198"/>
    <mergeCell ref="A199:G199"/>
    <mergeCell ref="H199:I199"/>
    <mergeCell ref="A184:I184"/>
    <mergeCell ref="A185:F185"/>
    <mergeCell ref="G185:I185"/>
    <mergeCell ref="A186:I186"/>
    <mergeCell ref="A187:F187"/>
    <mergeCell ref="G187:I187"/>
    <mergeCell ref="A193:C193"/>
    <mergeCell ref="A194:C194"/>
    <mergeCell ref="A188:I188"/>
    <mergeCell ref="A189:I189"/>
    <mergeCell ref="A190:C191"/>
    <mergeCell ref="D190:I191"/>
    <mergeCell ref="A192:C192"/>
    <mergeCell ref="D192:I192"/>
    <mergeCell ref="D193:I193"/>
    <mergeCell ref="E178:F178"/>
    <mergeCell ref="H178:I178"/>
    <mergeCell ref="A178:D178"/>
    <mergeCell ref="A179:F179"/>
    <mergeCell ref="H179:I179"/>
    <mergeCell ref="A180:I180"/>
    <mergeCell ref="A181:I181"/>
    <mergeCell ref="A182:I182"/>
    <mergeCell ref="G183:I183"/>
    <mergeCell ref="A183:F183"/>
    <mergeCell ref="A174:I174"/>
    <mergeCell ref="A176:I176"/>
    <mergeCell ref="A177:D177"/>
    <mergeCell ref="E177:F177"/>
    <mergeCell ref="H177:I177"/>
    <mergeCell ref="A108:I108"/>
    <mergeCell ref="A109:I109"/>
    <mergeCell ref="B110:H110"/>
    <mergeCell ref="B154:G154"/>
    <mergeCell ref="A155:H155"/>
    <mergeCell ref="A156:I156"/>
    <mergeCell ref="A157:G157"/>
    <mergeCell ref="A158:B160"/>
    <mergeCell ref="C158:I158"/>
    <mergeCell ref="C159:I159"/>
    <mergeCell ref="C160:I160"/>
    <mergeCell ref="B111:F111"/>
    <mergeCell ref="B112:H112"/>
    <mergeCell ref="B113:H113"/>
    <mergeCell ref="B114:H114"/>
    <mergeCell ref="B115:H115"/>
    <mergeCell ref="B116:H116"/>
    <mergeCell ref="A117:H117"/>
    <mergeCell ref="A118:I118"/>
    <mergeCell ref="A119:I119"/>
    <mergeCell ref="B120:H120"/>
    <mergeCell ref="B121:H121"/>
    <mergeCell ref="A122:H122"/>
    <mergeCell ref="A123:I123"/>
    <mergeCell ref="B98:H98"/>
    <mergeCell ref="B99:H99"/>
    <mergeCell ref="B100:G100"/>
    <mergeCell ref="A101:H101"/>
    <mergeCell ref="A102:I102"/>
    <mergeCell ref="A103:I103"/>
    <mergeCell ref="A104:I104"/>
    <mergeCell ref="A105:I105"/>
    <mergeCell ref="A106:I106"/>
    <mergeCell ref="B89:H89"/>
    <mergeCell ref="B90:H90"/>
    <mergeCell ref="B91:H91"/>
    <mergeCell ref="A92:H92"/>
    <mergeCell ref="A93:I93"/>
    <mergeCell ref="A94:I94"/>
    <mergeCell ref="B95:H95"/>
    <mergeCell ref="B96:H96"/>
    <mergeCell ref="B97:H97"/>
    <mergeCell ref="B80:H80"/>
    <mergeCell ref="B81:H81"/>
    <mergeCell ref="B82:H82"/>
    <mergeCell ref="B83:H83"/>
    <mergeCell ref="A84:I84"/>
    <mergeCell ref="A85:I85"/>
    <mergeCell ref="A86:I86"/>
    <mergeCell ref="A87:I87"/>
    <mergeCell ref="B88:H88"/>
    <mergeCell ref="B71:G71"/>
    <mergeCell ref="B72:G72"/>
    <mergeCell ref="B73:G73"/>
    <mergeCell ref="B74:G74"/>
    <mergeCell ref="B75:H75"/>
    <mergeCell ref="B76:G76"/>
    <mergeCell ref="B77:G77"/>
    <mergeCell ref="B78:G78"/>
    <mergeCell ref="B79:H79"/>
    <mergeCell ref="B61:G61"/>
    <mergeCell ref="B62:G62"/>
    <mergeCell ref="B63:G63"/>
    <mergeCell ref="A64:G64"/>
    <mergeCell ref="A66:I66"/>
    <mergeCell ref="A67:I67"/>
    <mergeCell ref="A68:I68"/>
    <mergeCell ref="B69:H69"/>
    <mergeCell ref="B70:H70"/>
    <mergeCell ref="A52:I52"/>
    <mergeCell ref="A53:I53"/>
    <mergeCell ref="A54:I54"/>
    <mergeCell ref="B55:G55"/>
    <mergeCell ref="B56:G56"/>
    <mergeCell ref="B57:G57"/>
    <mergeCell ref="B58:C58"/>
    <mergeCell ref="B59:G59"/>
    <mergeCell ref="B60:G60"/>
    <mergeCell ref="A43:I43"/>
    <mergeCell ref="A44:I44"/>
    <mergeCell ref="A45:I45"/>
    <mergeCell ref="A46:I46"/>
    <mergeCell ref="A47:I47"/>
    <mergeCell ref="B48:H48"/>
    <mergeCell ref="B49:G49"/>
    <mergeCell ref="B50:G50"/>
    <mergeCell ref="A51:H51"/>
    <mergeCell ref="B34:H34"/>
    <mergeCell ref="B35:H35"/>
    <mergeCell ref="B36:H36"/>
    <mergeCell ref="B37:G37"/>
    <mergeCell ref="A38:H38"/>
    <mergeCell ref="A39:I39"/>
    <mergeCell ref="B40:H40"/>
    <mergeCell ref="A41:I41"/>
    <mergeCell ref="A42:H42"/>
    <mergeCell ref="B27:G27"/>
    <mergeCell ref="H27:I27"/>
    <mergeCell ref="B28:G28"/>
    <mergeCell ref="H28:I28"/>
    <mergeCell ref="A29:I29"/>
    <mergeCell ref="A30:I30"/>
    <mergeCell ref="A31:I31"/>
    <mergeCell ref="A32:I32"/>
    <mergeCell ref="B33:G33"/>
    <mergeCell ref="B26:G26"/>
    <mergeCell ref="H26:I26"/>
    <mergeCell ref="B19:G19"/>
    <mergeCell ref="H19:I19"/>
    <mergeCell ref="B20:G20"/>
    <mergeCell ref="H20:I20"/>
    <mergeCell ref="B21:G21"/>
    <mergeCell ref="H21:I21"/>
    <mergeCell ref="H22:I22"/>
    <mergeCell ref="B22:G22"/>
    <mergeCell ref="B23:G23"/>
    <mergeCell ref="H23:I23"/>
    <mergeCell ref="B24:G24"/>
    <mergeCell ref="H24:I24"/>
    <mergeCell ref="B25:G25"/>
    <mergeCell ref="H25:I25"/>
    <mergeCell ref="Q18:X18"/>
    <mergeCell ref="Y18:AC18"/>
    <mergeCell ref="A14:G14"/>
    <mergeCell ref="H14:I14"/>
    <mergeCell ref="A15:I15"/>
    <mergeCell ref="A16:I16"/>
    <mergeCell ref="A17:I17"/>
    <mergeCell ref="A18:I18"/>
    <mergeCell ref="J18:P18"/>
    <mergeCell ref="B8:G8"/>
    <mergeCell ref="H8:I8"/>
    <mergeCell ref="B9:G9"/>
    <mergeCell ref="H9:I9"/>
    <mergeCell ref="F13:G13"/>
    <mergeCell ref="H13:I13"/>
    <mergeCell ref="B10:G10"/>
    <mergeCell ref="H10:I10"/>
    <mergeCell ref="A11:I11"/>
    <mergeCell ref="A12:E12"/>
    <mergeCell ref="F12:G12"/>
    <mergeCell ref="H12:I12"/>
    <mergeCell ref="A13:E13"/>
    <mergeCell ref="A1:I1"/>
    <mergeCell ref="A2:I2"/>
    <mergeCell ref="A3:E3"/>
    <mergeCell ref="F3:I3"/>
    <mergeCell ref="A4:E4"/>
    <mergeCell ref="F4:I4"/>
    <mergeCell ref="A5:I5"/>
    <mergeCell ref="A6:I6"/>
    <mergeCell ref="B7:G7"/>
    <mergeCell ref="H7:I7"/>
  </mergeCells>
  <pageMargins left="0.7" right="0.7" top="0.75" bottom="0.75" header="0" footer="0"/>
  <pageSetup scale="69" fitToWidth="0" fitToHeight="0" orientation="portrait" r:id="rId1"/>
  <rowBreaks count="4" manualBreakCount="4">
    <brk id="44" max="10" man="1"/>
    <brk id="85" max="10" man="1"/>
    <brk id="117" max="10" man="1"/>
    <brk id="16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3"/>
  <sheetViews>
    <sheetView view="pageBreakPreview" topLeftCell="A43" zoomScale="90" zoomScaleNormal="90" zoomScaleSheetLayoutView="90" workbookViewId="0">
      <selection activeCell="A2" sqref="A2:I2"/>
    </sheetView>
  </sheetViews>
  <sheetFormatPr defaultColWidth="12.5703125" defaultRowHeight="15" customHeight="1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9.85546875" customWidth="1"/>
    <col min="8" max="8" width="11.28515625" customWidth="1"/>
    <col min="9" max="9" width="14.5703125" customWidth="1"/>
    <col min="10" max="10" width="10.7109375" customWidth="1"/>
    <col min="11" max="11" width="11.140625" customWidth="1"/>
    <col min="12" max="12" width="7.42578125" customWidth="1"/>
    <col min="13" max="13" width="6.5703125" customWidth="1"/>
    <col min="14" max="15" width="9.28515625" customWidth="1"/>
    <col min="16" max="29" width="9.140625" customWidth="1"/>
  </cols>
  <sheetData>
    <row r="1" spans="1:29" ht="32.25" customHeight="1">
      <c r="A1" s="436" t="s">
        <v>209</v>
      </c>
      <c r="B1" s="437"/>
      <c r="C1" s="437"/>
      <c r="D1" s="437"/>
      <c r="E1" s="437"/>
      <c r="F1" s="437"/>
      <c r="G1" s="437"/>
      <c r="H1" s="437"/>
      <c r="I1" s="437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41.25" customHeight="1">
      <c r="A2" s="277" t="s">
        <v>434</v>
      </c>
      <c r="B2" s="278"/>
      <c r="C2" s="278"/>
      <c r="D2" s="278"/>
      <c r="E2" s="278"/>
      <c r="F2" s="278"/>
      <c r="G2" s="278"/>
      <c r="H2" s="278"/>
      <c r="I2" s="279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 ht="15.75" customHeight="1">
      <c r="A3" s="280" t="s">
        <v>43</v>
      </c>
      <c r="B3" s="276"/>
      <c r="C3" s="276"/>
      <c r="D3" s="276"/>
      <c r="E3" s="270"/>
      <c r="F3" s="281" t="s">
        <v>396</v>
      </c>
      <c r="G3" s="276"/>
      <c r="H3" s="276"/>
      <c r="I3" s="270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15.75" customHeight="1">
      <c r="A4" s="282" t="s">
        <v>44</v>
      </c>
      <c r="B4" s="278"/>
      <c r="C4" s="278"/>
      <c r="D4" s="278"/>
      <c r="E4" s="279"/>
      <c r="F4" s="283" t="s">
        <v>397</v>
      </c>
      <c r="G4" s="284"/>
      <c r="H4" s="284"/>
      <c r="I4" s="28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ht="14.25" customHeight="1">
      <c r="A5" s="282" t="s">
        <v>45</v>
      </c>
      <c r="B5" s="278"/>
      <c r="C5" s="278"/>
      <c r="D5" s="278"/>
      <c r="E5" s="278"/>
      <c r="F5" s="278"/>
      <c r="G5" s="278"/>
      <c r="H5" s="278"/>
      <c r="I5" s="279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ht="20.25" customHeight="1">
      <c r="A6" s="286" t="s">
        <v>46</v>
      </c>
      <c r="B6" s="278"/>
      <c r="C6" s="278"/>
      <c r="D6" s="278"/>
      <c r="E6" s="278"/>
      <c r="F6" s="278"/>
      <c r="G6" s="278"/>
      <c r="H6" s="278"/>
      <c r="I6" s="279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ht="15.75" customHeight="1">
      <c r="A7" s="25" t="s">
        <v>47</v>
      </c>
      <c r="B7" s="282" t="s">
        <v>48</v>
      </c>
      <c r="C7" s="278"/>
      <c r="D7" s="278"/>
      <c r="E7" s="278"/>
      <c r="F7" s="278"/>
      <c r="G7" s="279"/>
      <c r="H7" s="287"/>
      <c r="I7" s="279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ht="15.75" customHeight="1">
      <c r="A8" s="25" t="s">
        <v>49</v>
      </c>
      <c r="B8" s="282" t="s">
        <v>50</v>
      </c>
      <c r="C8" s="278"/>
      <c r="D8" s="278"/>
      <c r="E8" s="278"/>
      <c r="F8" s="278"/>
      <c r="G8" s="279"/>
      <c r="H8" s="438" t="s">
        <v>9</v>
      </c>
      <c r="I8" s="279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ht="19.5" customHeight="1">
      <c r="A9" s="25" t="s">
        <v>51</v>
      </c>
      <c r="B9" s="282" t="s">
        <v>52</v>
      </c>
      <c r="C9" s="278"/>
      <c r="D9" s="278"/>
      <c r="E9" s="278"/>
      <c r="F9" s="278"/>
      <c r="G9" s="279"/>
      <c r="H9" s="438" t="s">
        <v>53</v>
      </c>
      <c r="I9" s="279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ht="24.95" customHeight="1">
      <c r="A10" s="25" t="s">
        <v>54</v>
      </c>
      <c r="B10" s="282" t="s">
        <v>55</v>
      </c>
      <c r="C10" s="278"/>
      <c r="D10" s="278"/>
      <c r="E10" s="278"/>
      <c r="F10" s="278"/>
      <c r="G10" s="279"/>
      <c r="H10" s="438">
        <v>12</v>
      </c>
      <c r="I10" s="279"/>
      <c r="J10" s="24"/>
      <c r="K10" s="26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ht="21" customHeight="1">
      <c r="A11" s="291" t="s">
        <v>56</v>
      </c>
      <c r="B11" s="278"/>
      <c r="C11" s="278"/>
      <c r="D11" s="278"/>
      <c r="E11" s="278"/>
      <c r="F11" s="278"/>
      <c r="G11" s="278"/>
      <c r="H11" s="278"/>
      <c r="I11" s="279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ht="50.25" customHeight="1">
      <c r="A12" s="292" t="s">
        <v>57</v>
      </c>
      <c r="B12" s="278"/>
      <c r="C12" s="278"/>
      <c r="D12" s="278"/>
      <c r="E12" s="293"/>
      <c r="F12" s="292" t="s">
        <v>58</v>
      </c>
      <c r="G12" s="279"/>
      <c r="H12" s="292" t="s">
        <v>59</v>
      </c>
      <c r="I12" s="279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ht="12.75" customHeight="1">
      <c r="A13" s="294" t="s">
        <v>210</v>
      </c>
      <c r="B13" s="278"/>
      <c r="C13" s="278"/>
      <c r="D13" s="278"/>
      <c r="E13" s="279"/>
      <c r="F13" s="289" t="s">
        <v>61</v>
      </c>
      <c r="G13" s="279"/>
      <c r="H13" s="290">
        <v>1</v>
      </c>
      <c r="I13" s="279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12.75" customHeight="1">
      <c r="A14" s="439" t="s">
        <v>62</v>
      </c>
      <c r="B14" s="278"/>
      <c r="C14" s="278"/>
      <c r="D14" s="278"/>
      <c r="E14" s="278"/>
      <c r="F14" s="278"/>
      <c r="G14" s="279"/>
      <c r="H14" s="440">
        <f>SUM(H13)</f>
        <v>1</v>
      </c>
      <c r="I14" s="279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51.75" customHeight="1">
      <c r="A15" s="300" t="s">
        <v>211</v>
      </c>
      <c r="B15" s="278"/>
      <c r="C15" s="278"/>
      <c r="D15" s="278"/>
      <c r="E15" s="278"/>
      <c r="F15" s="278"/>
      <c r="G15" s="278"/>
      <c r="H15" s="278"/>
      <c r="I15" s="279"/>
      <c r="J15" s="27"/>
      <c r="K15" s="28"/>
      <c r="L15" s="29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ht="21.75" customHeight="1">
      <c r="A16" s="286" t="s">
        <v>64</v>
      </c>
      <c r="B16" s="278"/>
      <c r="C16" s="278"/>
      <c r="D16" s="278"/>
      <c r="E16" s="278"/>
      <c r="F16" s="278"/>
      <c r="G16" s="278"/>
      <c r="H16" s="278"/>
      <c r="I16" s="279"/>
      <c r="J16" s="295"/>
      <c r="K16" s="296"/>
      <c r="L16" s="296"/>
      <c r="M16" s="296"/>
      <c r="N16" s="296"/>
      <c r="O16" s="296"/>
      <c r="P16" s="296"/>
      <c r="Q16" s="295"/>
      <c r="R16" s="296"/>
      <c r="S16" s="296"/>
      <c r="T16" s="296"/>
      <c r="U16" s="296"/>
      <c r="V16" s="296"/>
      <c r="W16" s="296"/>
      <c r="X16" s="296"/>
      <c r="Y16" s="295"/>
      <c r="Z16" s="296"/>
      <c r="AA16" s="296"/>
      <c r="AB16" s="296"/>
      <c r="AC16" s="296"/>
    </row>
    <row r="17" spans="1:29" ht="27" customHeight="1">
      <c r="A17" s="25">
        <v>1</v>
      </c>
      <c r="B17" s="282" t="s">
        <v>65</v>
      </c>
      <c r="C17" s="278"/>
      <c r="D17" s="278"/>
      <c r="E17" s="278"/>
      <c r="F17" s="278"/>
      <c r="G17" s="279"/>
      <c r="H17" s="443" t="s">
        <v>66</v>
      </c>
      <c r="I17" s="279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ht="19.5" customHeight="1">
      <c r="A18" s="13">
        <v>2</v>
      </c>
      <c r="B18" s="444" t="s">
        <v>67</v>
      </c>
      <c r="C18" s="278"/>
      <c r="D18" s="278"/>
      <c r="E18" s="278"/>
      <c r="F18" s="278"/>
      <c r="G18" s="279"/>
      <c r="H18" s="445" t="s">
        <v>68</v>
      </c>
      <c r="I18" s="279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ht="15.75" customHeight="1">
      <c r="A19" s="25">
        <v>3</v>
      </c>
      <c r="B19" s="282" t="s">
        <v>69</v>
      </c>
      <c r="C19" s="278"/>
      <c r="D19" s="278"/>
      <c r="E19" s="278"/>
      <c r="F19" s="278"/>
      <c r="G19" s="279"/>
      <c r="H19" s="446">
        <f>Consolidação!D10</f>
        <v>1977.8</v>
      </c>
      <c r="I19" s="279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15.75" customHeight="1">
      <c r="A20" s="25">
        <v>4</v>
      </c>
      <c r="B20" s="282" t="s">
        <v>70</v>
      </c>
      <c r="C20" s="278"/>
      <c r="D20" s="278"/>
      <c r="E20" s="278"/>
      <c r="F20" s="278"/>
      <c r="G20" s="279"/>
      <c r="H20" s="447" t="s">
        <v>71</v>
      </c>
      <c r="I20" s="279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15.75" customHeight="1">
      <c r="A21" s="25">
        <v>5</v>
      </c>
      <c r="B21" s="282" t="s">
        <v>72</v>
      </c>
      <c r="C21" s="278"/>
      <c r="D21" s="278"/>
      <c r="E21" s="278"/>
      <c r="F21" s="278"/>
      <c r="G21" s="279"/>
      <c r="H21" s="448" t="s">
        <v>53</v>
      </c>
      <c r="I21" s="279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7" customHeight="1">
      <c r="A22" s="30">
        <v>6</v>
      </c>
      <c r="B22" s="441" t="s">
        <v>212</v>
      </c>
      <c r="C22" s="278"/>
      <c r="D22" s="278"/>
      <c r="E22" s="278"/>
      <c r="F22" s="278"/>
      <c r="G22" s="279"/>
      <c r="H22" s="442">
        <f>ROUND((H19/220),2)</f>
        <v>8.99</v>
      </c>
      <c r="I22" s="279"/>
      <c r="AC22" s="24"/>
    </row>
    <row r="23" spans="1:29" ht="23.25" customHeight="1">
      <c r="A23" s="30">
        <v>7</v>
      </c>
      <c r="B23" s="441" t="s">
        <v>213</v>
      </c>
      <c r="C23" s="278"/>
      <c r="D23" s="278"/>
      <c r="E23" s="278"/>
      <c r="F23" s="278"/>
      <c r="G23" s="279"/>
      <c r="H23" s="449">
        <f>TRUNC(H22*1.5,2)</f>
        <v>13.48</v>
      </c>
      <c r="I23" s="279"/>
      <c r="AC23" s="24"/>
    </row>
    <row r="24" spans="1:29" ht="26.25" customHeight="1">
      <c r="A24" s="30">
        <v>8</v>
      </c>
      <c r="B24" s="441" t="s">
        <v>214</v>
      </c>
      <c r="C24" s="278"/>
      <c r="D24" s="278"/>
      <c r="E24" s="278"/>
      <c r="F24" s="278"/>
      <c r="G24" s="279"/>
      <c r="H24" s="442">
        <f>ROUND(H22*0.2,2)</f>
        <v>1.8</v>
      </c>
      <c r="I24" s="279"/>
      <c r="AC24" s="24"/>
    </row>
    <row r="25" spans="1:29" ht="16.5" customHeight="1">
      <c r="A25" s="30">
        <v>9</v>
      </c>
      <c r="B25" s="441" t="s">
        <v>76</v>
      </c>
      <c r="C25" s="278"/>
      <c r="D25" s="278"/>
      <c r="E25" s="278"/>
      <c r="F25" s="278"/>
      <c r="G25" s="279"/>
      <c r="H25" s="442">
        <f>ROUND(H22/6,2)</f>
        <v>1.5</v>
      </c>
      <c r="I25" s="279"/>
    </row>
    <row r="26" spans="1:29" ht="15.75" customHeight="1">
      <c r="A26" s="30">
        <v>10</v>
      </c>
      <c r="B26" s="450" t="s">
        <v>77</v>
      </c>
      <c r="C26" s="278"/>
      <c r="D26" s="278"/>
      <c r="E26" s="278"/>
      <c r="F26" s="278"/>
      <c r="G26" s="279"/>
      <c r="H26" s="303">
        <v>2</v>
      </c>
      <c r="I26" s="279"/>
    </row>
    <row r="27" spans="1:29" ht="9" customHeight="1">
      <c r="A27" s="314"/>
      <c r="B27" s="278"/>
      <c r="C27" s="278"/>
      <c r="D27" s="278"/>
      <c r="E27" s="278"/>
      <c r="F27" s="278"/>
      <c r="G27" s="278"/>
      <c r="H27" s="278"/>
      <c r="I27" s="279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ht="21.75" customHeight="1">
      <c r="A28" s="315" t="s">
        <v>78</v>
      </c>
      <c r="B28" s="278"/>
      <c r="C28" s="278"/>
      <c r="D28" s="278"/>
      <c r="E28" s="278"/>
      <c r="F28" s="278"/>
      <c r="G28" s="278"/>
      <c r="H28" s="278"/>
      <c r="I28" s="279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9" customHeight="1">
      <c r="A29" s="316"/>
      <c r="B29" s="278"/>
      <c r="C29" s="278"/>
      <c r="D29" s="278"/>
      <c r="E29" s="278"/>
      <c r="F29" s="278"/>
      <c r="G29" s="278"/>
      <c r="H29" s="278"/>
      <c r="I29" s="279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ht="20.25" customHeight="1">
      <c r="A30" s="317" t="s">
        <v>79</v>
      </c>
      <c r="B30" s="278"/>
      <c r="C30" s="278"/>
      <c r="D30" s="278"/>
      <c r="E30" s="278"/>
      <c r="F30" s="278"/>
      <c r="G30" s="278"/>
      <c r="H30" s="278"/>
      <c r="I30" s="279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ht="30" customHeight="1">
      <c r="A31" s="31">
        <v>1</v>
      </c>
      <c r="B31" s="318" t="s">
        <v>80</v>
      </c>
      <c r="C31" s="278"/>
      <c r="D31" s="278"/>
      <c r="E31" s="278"/>
      <c r="F31" s="278"/>
      <c r="G31" s="279"/>
      <c r="H31" s="32" t="s">
        <v>81</v>
      </c>
      <c r="I31" s="31" t="s">
        <v>82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ht="24.95" customHeight="1">
      <c r="A32" s="25" t="s">
        <v>47</v>
      </c>
      <c r="B32" s="352" t="s">
        <v>413</v>
      </c>
      <c r="C32" s="333"/>
      <c r="D32" s="333"/>
      <c r="E32" s="333"/>
      <c r="F32" s="333"/>
      <c r="G32" s="333"/>
      <c r="H32" s="334"/>
      <c r="I32" s="109">
        <f>H19*2</f>
        <v>3955.6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ht="38.25" customHeight="1">
      <c r="A33" s="25" t="s">
        <v>49</v>
      </c>
      <c r="B33" s="282" t="s">
        <v>215</v>
      </c>
      <c r="C33" s="278"/>
      <c r="D33" s="278"/>
      <c r="E33" s="278"/>
      <c r="F33" s="278"/>
      <c r="G33" s="278"/>
      <c r="H33" s="279"/>
      <c r="I33" s="109">
        <f>ROUND(2*8*15*H24,2)</f>
        <v>432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ht="51" customHeight="1">
      <c r="A34" s="25" t="s">
        <v>51</v>
      </c>
      <c r="B34" s="444" t="s">
        <v>216</v>
      </c>
      <c r="C34" s="278"/>
      <c r="D34" s="278"/>
      <c r="E34" s="278"/>
      <c r="F34" s="278"/>
      <c r="G34" s="278"/>
      <c r="H34" s="279"/>
      <c r="I34" s="109">
        <f>ROUND(H26*(((12*15)+15)-((44/6)*26))*H23,2)*0+ROUND(2*4.33*H23,2)</f>
        <v>116.74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ht="35.1" customHeight="1">
      <c r="A35" s="25" t="s">
        <v>54</v>
      </c>
      <c r="B35" s="451" t="s">
        <v>407</v>
      </c>
      <c r="C35" s="426"/>
      <c r="D35" s="426"/>
      <c r="E35" s="426"/>
      <c r="F35" s="426"/>
      <c r="G35" s="426"/>
      <c r="H35" s="427"/>
      <c r="I35" s="109">
        <f>ROUND(H25*H26*15,2)</f>
        <v>45</v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ht="39" customHeight="1">
      <c r="A36" s="25" t="s">
        <v>109</v>
      </c>
      <c r="B36" s="282" t="s">
        <v>217</v>
      </c>
      <c r="C36" s="278"/>
      <c r="D36" s="278"/>
      <c r="E36" s="278"/>
      <c r="F36" s="278"/>
      <c r="G36" s="278"/>
      <c r="H36" s="279"/>
      <c r="I36" s="109">
        <f>ROUND(SUM(I33:I35)*0.2,2)</f>
        <v>118.75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ht="24.75" customHeight="1">
      <c r="A37" s="25" t="s">
        <v>111</v>
      </c>
      <c r="B37" s="282" t="s">
        <v>218</v>
      </c>
      <c r="C37" s="278"/>
      <c r="D37" s="278"/>
      <c r="E37" s="278"/>
      <c r="F37" s="278"/>
      <c r="G37" s="279"/>
      <c r="H37" s="110">
        <v>0.3</v>
      </c>
      <c r="I37" s="109">
        <f>ROUND(H37*SUM(I32:I36),2)</f>
        <v>1400.43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8.75" customHeight="1">
      <c r="A38" s="25" t="s">
        <v>113</v>
      </c>
      <c r="B38" s="282" t="s">
        <v>219</v>
      </c>
      <c r="C38" s="278"/>
      <c r="D38" s="278"/>
      <c r="E38" s="278"/>
      <c r="F38" s="278"/>
      <c r="G38" s="278"/>
      <c r="H38" s="279"/>
      <c r="I38" s="111" t="s">
        <v>22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ht="27.75" customHeight="1">
      <c r="A39" s="286" t="s">
        <v>86</v>
      </c>
      <c r="B39" s="278"/>
      <c r="C39" s="278"/>
      <c r="D39" s="278"/>
      <c r="E39" s="278"/>
      <c r="F39" s="278"/>
      <c r="G39" s="278"/>
      <c r="H39" s="279"/>
      <c r="I39" s="112">
        <f>SUM(I32:I38)</f>
        <v>6068.52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ht="9.75" customHeight="1">
      <c r="A40" s="322"/>
      <c r="B40" s="278"/>
      <c r="C40" s="278"/>
      <c r="D40" s="278"/>
      <c r="E40" s="278"/>
      <c r="F40" s="278"/>
      <c r="G40" s="278"/>
      <c r="H40" s="278"/>
      <c r="I40" s="279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ht="29.25" customHeight="1">
      <c r="A41" s="25" t="s">
        <v>87</v>
      </c>
      <c r="B41" s="282" t="s">
        <v>220</v>
      </c>
      <c r="C41" s="278"/>
      <c r="D41" s="278"/>
      <c r="E41" s="278"/>
      <c r="F41" s="278"/>
      <c r="G41" s="278"/>
      <c r="H41" s="279"/>
      <c r="I41" s="109">
        <f>ROUND(H23*15*H26*0.5,2)</f>
        <v>202.2</v>
      </c>
      <c r="J41" s="24"/>
      <c r="K41" s="24"/>
      <c r="L41" s="37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ht="15.75" customHeight="1">
      <c r="A42" s="405" t="s">
        <v>395</v>
      </c>
      <c r="B42" s="452"/>
      <c r="C42" s="452"/>
      <c r="D42" s="452"/>
      <c r="E42" s="452"/>
      <c r="F42" s="452"/>
      <c r="G42" s="452"/>
      <c r="H42" s="452"/>
      <c r="I42" s="453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ht="45" customHeight="1">
      <c r="A43" s="326" t="s">
        <v>221</v>
      </c>
      <c r="B43" s="278"/>
      <c r="C43" s="278"/>
      <c r="D43" s="278"/>
      <c r="E43" s="278"/>
      <c r="F43" s="278"/>
      <c r="G43" s="278"/>
      <c r="H43" s="279"/>
      <c r="I43" s="113">
        <f>SUM(I39+I41)</f>
        <v>6270.72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29" ht="9" customHeight="1">
      <c r="A44" s="322"/>
      <c r="B44" s="278"/>
      <c r="C44" s="278"/>
      <c r="D44" s="278"/>
      <c r="E44" s="278"/>
      <c r="F44" s="278"/>
      <c r="G44" s="278"/>
      <c r="H44" s="278"/>
      <c r="I44" s="279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ht="17.25" customHeight="1">
      <c r="A45" s="327" t="s">
        <v>90</v>
      </c>
      <c r="B45" s="278"/>
      <c r="C45" s="278"/>
      <c r="D45" s="278"/>
      <c r="E45" s="278"/>
      <c r="F45" s="278"/>
      <c r="G45" s="278"/>
      <c r="H45" s="278"/>
      <c r="I45" s="279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ht="8.25" customHeight="1">
      <c r="A46" s="328"/>
      <c r="B46" s="278"/>
      <c r="C46" s="278"/>
      <c r="D46" s="278"/>
      <c r="E46" s="278"/>
      <c r="F46" s="278"/>
      <c r="G46" s="278"/>
      <c r="H46" s="278"/>
      <c r="I46" s="279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ht="27" customHeight="1">
      <c r="A47" s="329" t="s">
        <v>91</v>
      </c>
      <c r="B47" s="278"/>
      <c r="C47" s="278"/>
      <c r="D47" s="278"/>
      <c r="E47" s="278"/>
      <c r="F47" s="278"/>
      <c r="G47" s="278"/>
      <c r="H47" s="278"/>
      <c r="I47" s="279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ht="27" customHeight="1">
      <c r="A48" s="330" t="s">
        <v>222</v>
      </c>
      <c r="B48" s="278"/>
      <c r="C48" s="278"/>
      <c r="D48" s="278"/>
      <c r="E48" s="278"/>
      <c r="F48" s="278"/>
      <c r="G48" s="278"/>
      <c r="H48" s="278"/>
      <c r="I48" s="279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pans="1:29" ht="22.5" customHeight="1">
      <c r="A49" s="39" t="s">
        <v>93</v>
      </c>
      <c r="B49" s="331" t="s">
        <v>223</v>
      </c>
      <c r="C49" s="278"/>
      <c r="D49" s="278"/>
      <c r="E49" s="278"/>
      <c r="F49" s="278"/>
      <c r="G49" s="278"/>
      <c r="H49" s="279"/>
      <c r="I49" s="40" t="s">
        <v>95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pans="1:29" ht="27" customHeight="1">
      <c r="A50" s="39" t="s">
        <v>47</v>
      </c>
      <c r="B50" s="444" t="s">
        <v>224</v>
      </c>
      <c r="C50" s="278"/>
      <c r="D50" s="278"/>
      <c r="E50" s="278"/>
      <c r="F50" s="278"/>
      <c r="G50" s="279"/>
      <c r="H50" s="114">
        <v>8.3299999999999999E-2</v>
      </c>
      <c r="I50" s="115">
        <f>ROUND(I39*H50,2)</f>
        <v>505.51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 spans="1:29" ht="114.95" customHeight="1">
      <c r="A51" s="39" t="s">
        <v>49</v>
      </c>
      <c r="B51" s="454" t="s">
        <v>225</v>
      </c>
      <c r="C51" s="333"/>
      <c r="D51" s="333"/>
      <c r="E51" s="333"/>
      <c r="F51" s="333"/>
      <c r="G51" s="334"/>
      <c r="H51" s="116">
        <v>3.0249999999999999E-2</v>
      </c>
      <c r="I51" s="115">
        <f>ROUND(I39*H51,2)</f>
        <v>183.57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29" ht="15.75" customHeight="1">
      <c r="A52" s="335" t="s">
        <v>98</v>
      </c>
      <c r="B52" s="278"/>
      <c r="C52" s="278"/>
      <c r="D52" s="278"/>
      <c r="E52" s="278"/>
      <c r="F52" s="278"/>
      <c r="G52" s="278"/>
      <c r="H52" s="279"/>
      <c r="I52" s="44">
        <f>SUM(I50+I51)</f>
        <v>689.07999999999993</v>
      </c>
      <c r="J52" s="24"/>
      <c r="K52" s="24"/>
      <c r="L52" s="37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ht="60" customHeight="1">
      <c r="A53" s="435" t="s">
        <v>422</v>
      </c>
      <c r="B53" s="278"/>
      <c r="C53" s="278"/>
      <c r="D53" s="278"/>
      <c r="E53" s="278"/>
      <c r="F53" s="278"/>
      <c r="G53" s="278"/>
      <c r="H53" s="278"/>
      <c r="I53" s="279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ht="7.5" customHeight="1">
      <c r="A54" s="336"/>
      <c r="B54" s="278"/>
      <c r="C54" s="278"/>
      <c r="D54" s="278"/>
      <c r="E54" s="278"/>
      <c r="F54" s="278"/>
      <c r="G54" s="278"/>
      <c r="H54" s="278"/>
      <c r="I54" s="279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 spans="1:29" ht="32.25" customHeight="1">
      <c r="A55" s="337" t="s">
        <v>390</v>
      </c>
      <c r="B55" s="278"/>
      <c r="C55" s="278"/>
      <c r="D55" s="278"/>
      <c r="E55" s="278"/>
      <c r="F55" s="278"/>
      <c r="G55" s="278"/>
      <c r="H55" s="278"/>
      <c r="I55" s="279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 spans="1:29" ht="27" customHeight="1">
      <c r="A56" s="45" t="s">
        <v>100</v>
      </c>
      <c r="B56" s="338" t="s">
        <v>101</v>
      </c>
      <c r="C56" s="278"/>
      <c r="D56" s="278"/>
      <c r="E56" s="278"/>
      <c r="F56" s="278"/>
      <c r="G56" s="279"/>
      <c r="H56" s="46" t="s">
        <v>81</v>
      </c>
      <c r="I56" s="47" t="s">
        <v>102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 spans="1:29" ht="18.75" customHeight="1">
      <c r="A57" s="48" t="s">
        <v>47</v>
      </c>
      <c r="B57" s="282" t="s">
        <v>103</v>
      </c>
      <c r="C57" s="278"/>
      <c r="D57" s="278"/>
      <c r="E57" s="278"/>
      <c r="F57" s="278"/>
      <c r="G57" s="279"/>
      <c r="H57" s="117">
        <v>0.2</v>
      </c>
      <c r="I57" s="118">
        <f>ROUND(($I$39+$I$52)*H57,2)</f>
        <v>1351.52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 spans="1:29" ht="18.75" customHeight="1">
      <c r="A58" s="48" t="s">
        <v>49</v>
      </c>
      <c r="B58" s="282" t="s">
        <v>104</v>
      </c>
      <c r="C58" s="278"/>
      <c r="D58" s="278"/>
      <c r="E58" s="278"/>
      <c r="F58" s="278"/>
      <c r="G58" s="279"/>
      <c r="H58" s="117">
        <v>2.5000000000000001E-2</v>
      </c>
      <c r="I58" s="118">
        <f t="shared" ref="I58:I64" si="0">ROUND(($I$39+$I$52)*H58,2)</f>
        <v>168.94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ht="56.25" customHeight="1">
      <c r="A59" s="48" t="s">
        <v>51</v>
      </c>
      <c r="B59" s="337" t="s">
        <v>226</v>
      </c>
      <c r="C59" s="279"/>
      <c r="D59" s="119" t="s">
        <v>106</v>
      </c>
      <c r="E59" s="120">
        <v>0.03</v>
      </c>
      <c r="F59" s="119" t="s">
        <v>107</v>
      </c>
      <c r="G59" s="121">
        <v>1</v>
      </c>
      <c r="H59" s="122">
        <f>ROUND((E59*G59),6)</f>
        <v>0.03</v>
      </c>
      <c r="I59" s="118">
        <f t="shared" si="0"/>
        <v>202.73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1:29" ht="15.75" customHeight="1">
      <c r="A60" s="48" t="s">
        <v>54</v>
      </c>
      <c r="B60" s="282" t="s">
        <v>108</v>
      </c>
      <c r="C60" s="278"/>
      <c r="D60" s="278"/>
      <c r="E60" s="278"/>
      <c r="F60" s="278"/>
      <c r="G60" s="279"/>
      <c r="H60" s="117">
        <v>1.4999999999999999E-2</v>
      </c>
      <c r="I60" s="118">
        <f t="shared" si="0"/>
        <v>101.36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ht="15.75" customHeight="1">
      <c r="A61" s="48" t="s">
        <v>109</v>
      </c>
      <c r="B61" s="282" t="s">
        <v>110</v>
      </c>
      <c r="C61" s="278"/>
      <c r="D61" s="278"/>
      <c r="E61" s="278"/>
      <c r="F61" s="278"/>
      <c r="G61" s="279"/>
      <c r="H61" s="117">
        <v>0.01</v>
      </c>
      <c r="I61" s="118">
        <f t="shared" si="0"/>
        <v>67.58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 spans="1:29" ht="15.75" customHeight="1">
      <c r="A62" s="48" t="s">
        <v>111</v>
      </c>
      <c r="B62" s="282" t="s">
        <v>112</v>
      </c>
      <c r="C62" s="278"/>
      <c r="D62" s="278"/>
      <c r="E62" s="278"/>
      <c r="F62" s="278"/>
      <c r="G62" s="279"/>
      <c r="H62" s="117">
        <v>6.0000000000000001E-3</v>
      </c>
      <c r="I62" s="118">
        <f t="shared" si="0"/>
        <v>40.549999999999997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 spans="1:29" ht="15.75" customHeight="1">
      <c r="A63" s="48" t="s">
        <v>113</v>
      </c>
      <c r="B63" s="282" t="s">
        <v>114</v>
      </c>
      <c r="C63" s="278"/>
      <c r="D63" s="278"/>
      <c r="E63" s="278"/>
      <c r="F63" s="278"/>
      <c r="G63" s="279"/>
      <c r="H63" s="117">
        <v>2E-3</v>
      </c>
      <c r="I63" s="118">
        <f t="shared" si="0"/>
        <v>13.52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 spans="1:29" ht="15.75" customHeight="1">
      <c r="A64" s="48" t="s">
        <v>87</v>
      </c>
      <c r="B64" s="282" t="s">
        <v>115</v>
      </c>
      <c r="C64" s="278"/>
      <c r="D64" s="278"/>
      <c r="E64" s="278"/>
      <c r="F64" s="278"/>
      <c r="G64" s="279"/>
      <c r="H64" s="117">
        <v>0.08</v>
      </c>
      <c r="I64" s="118">
        <f t="shared" si="0"/>
        <v>540.61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pans="1:29" ht="15.75" customHeight="1">
      <c r="A65" s="340" t="s">
        <v>98</v>
      </c>
      <c r="B65" s="278"/>
      <c r="C65" s="278"/>
      <c r="D65" s="278"/>
      <c r="E65" s="278"/>
      <c r="F65" s="278"/>
      <c r="G65" s="279"/>
      <c r="H65" s="55">
        <f t="shared" ref="H65:I65" si="1">SUM(H57:H64)</f>
        <v>0.36800000000000005</v>
      </c>
      <c r="I65" s="44">
        <f t="shared" si="1"/>
        <v>2486.81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1:29" ht="8.25" customHeight="1">
      <c r="A66" s="56"/>
      <c r="B66" s="57"/>
      <c r="C66" s="57"/>
      <c r="D66" s="57"/>
      <c r="E66" s="57"/>
      <c r="F66" s="57"/>
      <c r="G66" s="57"/>
      <c r="H66" s="58"/>
      <c r="I66" s="59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 ht="35.25" customHeight="1">
      <c r="A67" s="315" t="s">
        <v>116</v>
      </c>
      <c r="B67" s="278"/>
      <c r="C67" s="278"/>
      <c r="D67" s="278"/>
      <c r="E67" s="278"/>
      <c r="F67" s="278"/>
      <c r="G67" s="278"/>
      <c r="H67" s="278"/>
      <c r="I67" s="279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 spans="1:29" ht="9.75" customHeight="1">
      <c r="A68" s="314"/>
      <c r="B68" s="278"/>
      <c r="C68" s="278"/>
      <c r="D68" s="278"/>
      <c r="E68" s="278"/>
      <c r="F68" s="278"/>
      <c r="G68" s="278"/>
      <c r="H68" s="278"/>
      <c r="I68" s="279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1:29" ht="20.25" customHeight="1">
      <c r="A69" s="341" t="s">
        <v>117</v>
      </c>
      <c r="B69" s="278"/>
      <c r="C69" s="278"/>
      <c r="D69" s="278"/>
      <c r="E69" s="278"/>
      <c r="F69" s="278"/>
      <c r="G69" s="278"/>
      <c r="H69" s="278"/>
      <c r="I69" s="279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 spans="1:29" ht="27" customHeight="1">
      <c r="A70" s="60" t="s">
        <v>118</v>
      </c>
      <c r="B70" s="318" t="s">
        <v>119</v>
      </c>
      <c r="C70" s="278"/>
      <c r="D70" s="278"/>
      <c r="E70" s="278"/>
      <c r="F70" s="278"/>
      <c r="G70" s="278"/>
      <c r="H70" s="279"/>
      <c r="I70" s="47" t="s">
        <v>95</v>
      </c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 spans="1:29" ht="23.25" customHeight="1">
      <c r="A71" s="61" t="s">
        <v>47</v>
      </c>
      <c r="B71" s="282" t="s">
        <v>227</v>
      </c>
      <c r="C71" s="278"/>
      <c r="D71" s="278"/>
      <c r="E71" s="278"/>
      <c r="F71" s="278"/>
      <c r="G71" s="278"/>
      <c r="H71" s="278"/>
      <c r="I71" s="118">
        <f>IF(ROUND((H72*H74*H73)-(I32*H75),2)&lt;0,0,ROUND((H72*H74*H73)-(I32*H75),2))</f>
        <v>50.66</v>
      </c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ht="27" customHeight="1">
      <c r="A72" s="61"/>
      <c r="B72" s="282" t="s">
        <v>411</v>
      </c>
      <c r="C72" s="278"/>
      <c r="D72" s="278"/>
      <c r="E72" s="278"/>
      <c r="F72" s="278"/>
      <c r="G72" s="278"/>
      <c r="H72" s="62">
        <v>4.8</v>
      </c>
      <c r="I72" s="111" t="s">
        <v>22</v>
      </c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 spans="1:29" ht="19.5" customHeight="1">
      <c r="A73" s="61"/>
      <c r="B73" s="282" t="s">
        <v>228</v>
      </c>
      <c r="C73" s="278"/>
      <c r="D73" s="278"/>
      <c r="E73" s="278"/>
      <c r="F73" s="278"/>
      <c r="G73" s="279"/>
      <c r="H73" s="123">
        <v>2</v>
      </c>
      <c r="I73" s="111" t="s">
        <v>22</v>
      </c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 spans="1:29" ht="19.5" customHeight="1">
      <c r="A74" s="61"/>
      <c r="B74" s="441" t="s">
        <v>122</v>
      </c>
      <c r="C74" s="278"/>
      <c r="D74" s="278"/>
      <c r="E74" s="278"/>
      <c r="F74" s="278"/>
      <c r="G74" s="279"/>
      <c r="H74" s="124">
        <v>30</v>
      </c>
      <c r="I74" s="111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 spans="1:29" ht="25.5" customHeight="1">
      <c r="A75" s="61"/>
      <c r="B75" s="441" t="s">
        <v>229</v>
      </c>
      <c r="C75" s="278"/>
      <c r="D75" s="278"/>
      <c r="E75" s="278"/>
      <c r="F75" s="278"/>
      <c r="G75" s="279"/>
      <c r="H75" s="125">
        <v>0.06</v>
      </c>
      <c r="I75" s="111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 spans="1:29" ht="14.25" customHeight="1">
      <c r="A76" s="61" t="s">
        <v>49</v>
      </c>
      <c r="B76" s="282" t="s">
        <v>230</v>
      </c>
      <c r="C76" s="278"/>
      <c r="D76" s="278"/>
      <c r="E76" s="278"/>
      <c r="F76" s="278"/>
      <c r="G76" s="278"/>
      <c r="H76" s="278"/>
      <c r="I76" s="118">
        <f>ROUND(H78*H77*(1-H79),2)*1+ROUND(21.726*6*(1-H79),2)*0</f>
        <v>648</v>
      </c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1:29" ht="15.75" customHeight="1">
      <c r="A77" s="61"/>
      <c r="B77" s="282" t="s">
        <v>408</v>
      </c>
      <c r="C77" s="278"/>
      <c r="D77" s="278"/>
      <c r="E77" s="278"/>
      <c r="F77" s="278"/>
      <c r="G77" s="278"/>
      <c r="H77" s="62">
        <f>Consolidação!D14</f>
        <v>27</v>
      </c>
      <c r="I77" s="111" t="s">
        <v>22</v>
      </c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 spans="1:29" ht="15.75" customHeight="1">
      <c r="A78" s="61"/>
      <c r="B78" s="282" t="s">
        <v>231</v>
      </c>
      <c r="C78" s="278"/>
      <c r="D78" s="278"/>
      <c r="E78" s="278"/>
      <c r="F78" s="278"/>
      <c r="G78" s="278"/>
      <c r="H78" s="124">
        <v>30</v>
      </c>
      <c r="I78" s="111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 spans="1:29" ht="22.5" customHeight="1">
      <c r="A79" s="61"/>
      <c r="B79" s="455" t="s">
        <v>409</v>
      </c>
      <c r="C79" s="333"/>
      <c r="D79" s="333"/>
      <c r="E79" s="333"/>
      <c r="F79" s="333"/>
      <c r="G79" s="334"/>
      <c r="H79" s="125">
        <v>0.2</v>
      </c>
      <c r="I79" s="111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 spans="1:29" ht="15.75" customHeight="1">
      <c r="A80" s="61" t="s">
        <v>51</v>
      </c>
      <c r="B80" s="282" t="s">
        <v>126</v>
      </c>
      <c r="C80" s="278"/>
      <c r="D80" s="278"/>
      <c r="E80" s="278"/>
      <c r="F80" s="278"/>
      <c r="G80" s="278"/>
      <c r="H80" s="278"/>
      <c r="I80" s="118">
        <v>0</v>
      </c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 spans="1:29" ht="34.5" customHeight="1">
      <c r="A81" s="61" t="s">
        <v>54</v>
      </c>
      <c r="B81" s="282" t="s">
        <v>232</v>
      </c>
      <c r="C81" s="278"/>
      <c r="D81" s="278"/>
      <c r="E81" s="278"/>
      <c r="F81" s="278"/>
      <c r="G81" s="278"/>
      <c r="H81" s="278"/>
      <c r="I81" s="118">
        <v>36.29</v>
      </c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 spans="1:29" ht="33" customHeight="1">
      <c r="A82" s="61" t="s">
        <v>109</v>
      </c>
      <c r="B82" s="282" t="s">
        <v>233</v>
      </c>
      <c r="C82" s="278"/>
      <c r="D82" s="278"/>
      <c r="E82" s="278"/>
      <c r="F82" s="278"/>
      <c r="G82" s="278"/>
      <c r="H82" s="279"/>
      <c r="I82" s="118">
        <v>1.72</v>
      </c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 spans="1:29" ht="15.75" customHeight="1">
      <c r="A83" s="61" t="s">
        <v>111</v>
      </c>
      <c r="B83" s="456" t="s">
        <v>127</v>
      </c>
      <c r="C83" s="278"/>
      <c r="D83" s="278"/>
      <c r="E83" s="278"/>
      <c r="F83" s="278"/>
      <c r="G83" s="278"/>
      <c r="H83" s="278"/>
      <c r="I83" s="99">
        <v>0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 spans="1:29" ht="18" customHeight="1">
      <c r="A84" s="67"/>
      <c r="B84" s="340" t="s">
        <v>98</v>
      </c>
      <c r="C84" s="278"/>
      <c r="D84" s="278"/>
      <c r="E84" s="278"/>
      <c r="F84" s="278"/>
      <c r="G84" s="278"/>
      <c r="H84" s="293"/>
      <c r="I84" s="44">
        <f>SUM(I71:I83)</f>
        <v>736.67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 spans="1:29" ht="9" customHeight="1">
      <c r="A85" s="314"/>
      <c r="B85" s="278"/>
      <c r="C85" s="278"/>
      <c r="D85" s="278"/>
      <c r="E85" s="278"/>
      <c r="F85" s="278"/>
      <c r="G85" s="278"/>
      <c r="H85" s="278"/>
      <c r="I85" s="279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 spans="1:29" ht="32.25" customHeight="1">
      <c r="A86" s="315" t="s">
        <v>128</v>
      </c>
      <c r="B86" s="278"/>
      <c r="C86" s="278"/>
      <c r="D86" s="278"/>
      <c r="E86" s="278"/>
      <c r="F86" s="278"/>
      <c r="G86" s="278"/>
      <c r="H86" s="278"/>
      <c r="I86" s="279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 spans="1:29" ht="8.25" customHeight="1">
      <c r="A87" s="299"/>
      <c r="B87" s="278"/>
      <c r="C87" s="278"/>
      <c r="D87" s="278"/>
      <c r="E87" s="278"/>
      <c r="F87" s="278"/>
      <c r="G87" s="278"/>
      <c r="H87" s="278"/>
      <c r="I87" s="279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 spans="1:29" ht="17.25" customHeight="1">
      <c r="A88" s="347" t="s">
        <v>129</v>
      </c>
      <c r="B88" s="278"/>
      <c r="C88" s="278"/>
      <c r="D88" s="278"/>
      <c r="E88" s="278"/>
      <c r="F88" s="278"/>
      <c r="G88" s="278"/>
      <c r="H88" s="278"/>
      <c r="I88" s="279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 spans="1:29" ht="15.75" customHeight="1">
      <c r="A89" s="68">
        <v>2</v>
      </c>
      <c r="B89" s="338" t="s">
        <v>130</v>
      </c>
      <c r="C89" s="278"/>
      <c r="D89" s="278"/>
      <c r="E89" s="278"/>
      <c r="F89" s="278"/>
      <c r="G89" s="278"/>
      <c r="H89" s="279"/>
      <c r="I89" s="68" t="s">
        <v>95</v>
      </c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 spans="1:29" ht="14.25" customHeight="1">
      <c r="A90" s="13" t="s">
        <v>93</v>
      </c>
      <c r="B90" s="444" t="s">
        <v>234</v>
      </c>
      <c r="C90" s="278"/>
      <c r="D90" s="278"/>
      <c r="E90" s="278"/>
      <c r="F90" s="278"/>
      <c r="G90" s="278"/>
      <c r="H90" s="279"/>
      <c r="I90" s="126">
        <f>I52</f>
        <v>689.07999999999993</v>
      </c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 spans="1:29" ht="14.25" customHeight="1">
      <c r="A91" s="13" t="s">
        <v>100</v>
      </c>
      <c r="B91" s="444" t="s">
        <v>101</v>
      </c>
      <c r="C91" s="278"/>
      <c r="D91" s="278"/>
      <c r="E91" s="278"/>
      <c r="F91" s="278"/>
      <c r="G91" s="278"/>
      <c r="H91" s="279"/>
      <c r="I91" s="126">
        <f>I65</f>
        <v>2486.81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 spans="1:29" ht="14.25" customHeight="1">
      <c r="A92" s="13" t="s">
        <v>118</v>
      </c>
      <c r="B92" s="444" t="s">
        <v>119</v>
      </c>
      <c r="C92" s="278"/>
      <c r="D92" s="278"/>
      <c r="E92" s="278"/>
      <c r="F92" s="278"/>
      <c r="G92" s="278"/>
      <c r="H92" s="279"/>
      <c r="I92" s="126">
        <f>I84</f>
        <v>736.67</v>
      </c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 spans="1:29" ht="14.25" customHeight="1">
      <c r="A93" s="348" t="s">
        <v>98</v>
      </c>
      <c r="B93" s="278"/>
      <c r="C93" s="278"/>
      <c r="D93" s="278"/>
      <c r="E93" s="278"/>
      <c r="F93" s="278"/>
      <c r="G93" s="278"/>
      <c r="H93" s="279"/>
      <c r="I93" s="69">
        <f>SUM(I90+I91+I92)</f>
        <v>3912.56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 spans="1:29" ht="8.25" customHeight="1">
      <c r="A94" s="349"/>
      <c r="B94" s="278"/>
      <c r="C94" s="278"/>
      <c r="D94" s="278"/>
      <c r="E94" s="278"/>
      <c r="F94" s="278"/>
      <c r="G94" s="278"/>
      <c r="H94" s="278"/>
      <c r="I94" s="279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 spans="1:29" ht="20.25" customHeight="1">
      <c r="A95" s="350" t="s">
        <v>132</v>
      </c>
      <c r="B95" s="278"/>
      <c r="C95" s="278"/>
      <c r="D95" s="278"/>
      <c r="E95" s="278"/>
      <c r="F95" s="278"/>
      <c r="G95" s="278"/>
      <c r="H95" s="278"/>
      <c r="I95" s="279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 spans="1:29" ht="15" customHeight="1">
      <c r="A96" s="60">
        <v>3</v>
      </c>
      <c r="B96" s="351" t="s">
        <v>133</v>
      </c>
      <c r="C96" s="278"/>
      <c r="D96" s="278"/>
      <c r="E96" s="278"/>
      <c r="F96" s="278"/>
      <c r="G96" s="278"/>
      <c r="H96" s="279"/>
      <c r="I96" s="60" t="s">
        <v>95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 spans="1:29" ht="44.25" customHeight="1">
      <c r="A97" s="61" t="s">
        <v>47</v>
      </c>
      <c r="B97" s="352" t="s">
        <v>432</v>
      </c>
      <c r="C97" s="333"/>
      <c r="D97" s="333"/>
      <c r="E97" s="333"/>
      <c r="F97" s="333"/>
      <c r="G97" s="333"/>
      <c r="H97" s="334"/>
      <c r="I97" s="118">
        <f>ROUND(((I39/12)+($I$50/12)+(I39*0.121/12))*(30/30)*0.05,2)</f>
        <v>30.45</v>
      </c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 spans="1:29" ht="14.25" customHeight="1">
      <c r="A98" s="61" t="s">
        <v>49</v>
      </c>
      <c r="B98" s="456" t="s">
        <v>134</v>
      </c>
      <c r="C98" s="278"/>
      <c r="D98" s="278"/>
      <c r="E98" s="278"/>
      <c r="F98" s="278"/>
      <c r="G98" s="278"/>
      <c r="H98" s="279"/>
      <c r="I98" s="118">
        <f>ROUND($H$64*I97,2)</f>
        <v>2.44</v>
      </c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 spans="1:29" ht="51.75" customHeight="1">
      <c r="A99" s="61" t="s">
        <v>51</v>
      </c>
      <c r="B99" s="345" t="s">
        <v>431</v>
      </c>
      <c r="C99" s="333"/>
      <c r="D99" s="333"/>
      <c r="E99" s="333"/>
      <c r="F99" s="333"/>
      <c r="G99" s="333"/>
      <c r="H99" s="334"/>
      <c r="I99" s="118">
        <f>ROUND(((7/30)/$H$10)*I39*1,2)</f>
        <v>118</v>
      </c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 spans="1:29" ht="19.5" customHeight="1">
      <c r="A100" s="61" t="s">
        <v>54</v>
      </c>
      <c r="B100" s="456" t="s">
        <v>135</v>
      </c>
      <c r="C100" s="278"/>
      <c r="D100" s="278"/>
      <c r="E100" s="278"/>
      <c r="F100" s="278"/>
      <c r="G100" s="278"/>
      <c r="H100" s="279"/>
      <c r="I100" s="118">
        <f>ROUND($H$65*I99,2)</f>
        <v>43.42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 spans="1:29" ht="36.75" customHeight="1">
      <c r="A101" s="61" t="s">
        <v>109</v>
      </c>
      <c r="B101" s="282" t="s">
        <v>235</v>
      </c>
      <c r="C101" s="278"/>
      <c r="D101" s="278"/>
      <c r="E101" s="278"/>
      <c r="F101" s="278"/>
      <c r="G101" s="279"/>
      <c r="H101" s="127">
        <v>0.04</v>
      </c>
      <c r="I101" s="118">
        <f>ROUND(I39*H101,2)</f>
        <v>242.74</v>
      </c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 spans="1:29" ht="15.75" customHeight="1">
      <c r="A102" s="340" t="s">
        <v>41</v>
      </c>
      <c r="B102" s="278"/>
      <c r="C102" s="278"/>
      <c r="D102" s="278"/>
      <c r="E102" s="278"/>
      <c r="F102" s="278"/>
      <c r="G102" s="278"/>
      <c r="H102" s="279"/>
      <c r="I102" s="44">
        <f>SUM(I97:I101)</f>
        <v>437.05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 spans="1:29" ht="9" customHeight="1">
      <c r="A103" s="357"/>
      <c r="B103" s="278"/>
      <c r="C103" s="278"/>
      <c r="D103" s="278"/>
      <c r="E103" s="278"/>
      <c r="F103" s="278"/>
      <c r="G103" s="278"/>
      <c r="H103" s="278"/>
      <c r="I103" s="279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 spans="1:29" ht="24" customHeight="1">
      <c r="A104" s="358" t="s">
        <v>137</v>
      </c>
      <c r="B104" s="278"/>
      <c r="C104" s="278"/>
      <c r="D104" s="278"/>
      <c r="E104" s="278"/>
      <c r="F104" s="278"/>
      <c r="G104" s="278"/>
      <c r="H104" s="278"/>
      <c r="I104" s="279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 spans="1:29" ht="24.75" customHeight="1">
      <c r="A105" s="315" t="s">
        <v>138</v>
      </c>
      <c r="B105" s="278"/>
      <c r="C105" s="278"/>
      <c r="D105" s="278"/>
      <c r="E105" s="278"/>
      <c r="F105" s="278"/>
      <c r="G105" s="278"/>
      <c r="H105" s="278"/>
      <c r="I105" s="279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 spans="1:29" ht="55.5" customHeight="1">
      <c r="A106" s="359" t="s">
        <v>236</v>
      </c>
      <c r="B106" s="278"/>
      <c r="C106" s="278"/>
      <c r="D106" s="278"/>
      <c r="E106" s="278"/>
      <c r="F106" s="278"/>
      <c r="G106" s="278"/>
      <c r="H106" s="278"/>
      <c r="I106" s="279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 spans="1:29" ht="7.5" customHeight="1">
      <c r="A107" s="360"/>
      <c r="B107" s="278"/>
      <c r="C107" s="278"/>
      <c r="D107" s="278"/>
      <c r="E107" s="278"/>
      <c r="F107" s="278"/>
      <c r="G107" s="278"/>
      <c r="H107" s="278"/>
      <c r="I107" s="279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 spans="1:29" ht="58.5" customHeight="1">
      <c r="A108" s="128" t="s">
        <v>140</v>
      </c>
      <c r="B108" s="129">
        <f>I39</f>
        <v>6068.52</v>
      </c>
      <c r="C108" s="130"/>
      <c r="D108" s="128" t="s">
        <v>237</v>
      </c>
      <c r="E108" s="129">
        <f>I93-I71-I76+I112</f>
        <v>3967.28496</v>
      </c>
      <c r="F108" s="131"/>
      <c r="G108" s="128" t="s">
        <v>142</v>
      </c>
      <c r="H108" s="129">
        <f>I102</f>
        <v>437.05</v>
      </c>
      <c r="I108" s="75">
        <f>B108+E108+H108</f>
        <v>10472.854960000001</v>
      </c>
      <c r="J108" s="37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 spans="1:29" ht="7.5" customHeight="1">
      <c r="A109" s="366"/>
      <c r="B109" s="278"/>
      <c r="C109" s="278"/>
      <c r="D109" s="278"/>
      <c r="E109" s="278"/>
      <c r="F109" s="278"/>
      <c r="G109" s="278"/>
      <c r="H109" s="278"/>
      <c r="I109" s="279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 spans="1:29" ht="24" customHeight="1">
      <c r="A110" s="359" t="s">
        <v>143</v>
      </c>
      <c r="B110" s="278"/>
      <c r="C110" s="278"/>
      <c r="D110" s="278"/>
      <c r="E110" s="278"/>
      <c r="F110" s="278"/>
      <c r="G110" s="278"/>
      <c r="H110" s="278"/>
      <c r="I110" s="279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 spans="1:29" ht="24" customHeight="1">
      <c r="A111" s="76" t="s">
        <v>144</v>
      </c>
      <c r="B111" s="351" t="s">
        <v>145</v>
      </c>
      <c r="C111" s="278"/>
      <c r="D111" s="278"/>
      <c r="E111" s="278"/>
      <c r="F111" s="278"/>
      <c r="G111" s="278"/>
      <c r="H111" s="279"/>
      <c r="I111" s="76" t="s">
        <v>95</v>
      </c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 spans="1:29" ht="63.75" customHeight="1">
      <c r="A112" s="77" t="s">
        <v>47</v>
      </c>
      <c r="B112" s="444" t="s">
        <v>238</v>
      </c>
      <c r="C112" s="278"/>
      <c r="D112" s="278"/>
      <c r="E112" s="278"/>
      <c r="F112" s="278"/>
      <c r="G112" s="132">
        <v>9.0749999999999997E-2</v>
      </c>
      <c r="H112" s="133">
        <f>H65</f>
        <v>0.36800000000000005</v>
      </c>
      <c r="I112" s="118">
        <f>ROUND(G112*I39,2)*(1+H112)</f>
        <v>753.38496000000009</v>
      </c>
      <c r="J112" s="37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 spans="1:29" ht="30" customHeight="1">
      <c r="A113" s="61" t="s">
        <v>49</v>
      </c>
      <c r="B113" s="444" t="s">
        <v>239</v>
      </c>
      <c r="C113" s="278"/>
      <c r="D113" s="278"/>
      <c r="E113" s="278"/>
      <c r="F113" s="278"/>
      <c r="G113" s="278"/>
      <c r="H113" s="279"/>
      <c r="I113" s="118">
        <f>ROUND((1/30)/12*(I108),2)</f>
        <v>29.09</v>
      </c>
      <c r="J113" s="24"/>
      <c r="K113" s="37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 spans="1:29" ht="31.5" customHeight="1">
      <c r="A114" s="61" t="s">
        <v>51</v>
      </c>
      <c r="B114" s="444" t="s">
        <v>240</v>
      </c>
      <c r="C114" s="278"/>
      <c r="D114" s="278"/>
      <c r="E114" s="278"/>
      <c r="F114" s="278"/>
      <c r="G114" s="278"/>
      <c r="H114" s="279"/>
      <c r="I114" s="118">
        <f>ROUND((5/30)/12*0.015*(I108),2)</f>
        <v>2.1800000000000002</v>
      </c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 spans="1:29" ht="30.75" customHeight="1">
      <c r="A115" s="61" t="s">
        <v>54</v>
      </c>
      <c r="B115" s="460" t="s">
        <v>241</v>
      </c>
      <c r="C115" s="278"/>
      <c r="D115" s="278"/>
      <c r="E115" s="278"/>
      <c r="F115" s="278"/>
      <c r="G115" s="278"/>
      <c r="H115" s="279"/>
      <c r="I115" s="118">
        <f>ROUND(((($I$108)/30)*0.69)/12,2)</f>
        <v>20.07</v>
      </c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 spans="1:29" ht="78" customHeight="1">
      <c r="A116" s="61" t="s">
        <v>109</v>
      </c>
      <c r="B116" s="451" t="s">
        <v>423</v>
      </c>
      <c r="C116" s="426"/>
      <c r="D116" s="426"/>
      <c r="E116" s="426"/>
      <c r="F116" s="426"/>
      <c r="G116" s="426"/>
      <c r="H116" s="427"/>
      <c r="I116" s="118">
        <f>ROUND((((B108*0.121)+(H65)*(B108*0.121))*(4/12))*0.02,2)+ROUND(((H64*B108+H65*I50+I84-I71-I76+I102)*4/12)*0.02,2)</f>
        <v>14.34</v>
      </c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 spans="1:29" ht="39" customHeight="1">
      <c r="A117" s="61" t="s">
        <v>111</v>
      </c>
      <c r="B117" s="282" t="s">
        <v>242</v>
      </c>
      <c r="C117" s="278"/>
      <c r="D117" s="278"/>
      <c r="E117" s="278"/>
      <c r="F117" s="278"/>
      <c r="G117" s="278"/>
      <c r="H117" s="279"/>
      <c r="I117" s="118">
        <f>ROUND(((3/30)/12)*(I108),2)</f>
        <v>87.27</v>
      </c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 spans="1:29" ht="15.75" customHeight="1">
      <c r="A118" s="340" t="s">
        <v>98</v>
      </c>
      <c r="B118" s="278"/>
      <c r="C118" s="278"/>
      <c r="D118" s="278"/>
      <c r="E118" s="278"/>
      <c r="F118" s="278"/>
      <c r="G118" s="278"/>
      <c r="H118" s="279"/>
      <c r="I118" s="44">
        <f>SUM(I112:I117)</f>
        <v>906.33496000000014</v>
      </c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 spans="1:29" ht="9" customHeight="1">
      <c r="A119" s="382"/>
      <c r="B119" s="278"/>
      <c r="C119" s="278"/>
      <c r="D119" s="278"/>
      <c r="E119" s="278"/>
      <c r="F119" s="278"/>
      <c r="G119" s="278"/>
      <c r="H119" s="278"/>
      <c r="I119" s="279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 spans="1:29" ht="15.75" customHeight="1">
      <c r="A120" s="341" t="s">
        <v>152</v>
      </c>
      <c r="B120" s="278"/>
      <c r="C120" s="278"/>
      <c r="D120" s="278"/>
      <c r="E120" s="278"/>
      <c r="F120" s="278"/>
      <c r="G120" s="278"/>
      <c r="H120" s="278"/>
      <c r="I120" s="279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 spans="1:29" ht="15.75" customHeight="1">
      <c r="A121" s="80" t="s">
        <v>153</v>
      </c>
      <c r="B121" s="353" t="s">
        <v>154</v>
      </c>
      <c r="C121" s="278"/>
      <c r="D121" s="278"/>
      <c r="E121" s="278"/>
      <c r="F121" s="278"/>
      <c r="G121" s="278"/>
      <c r="H121" s="279"/>
      <c r="I121" s="81" t="s">
        <v>95</v>
      </c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 spans="1:29" ht="15.75" customHeight="1">
      <c r="A122" s="4" t="s">
        <v>47</v>
      </c>
      <c r="B122" s="488" t="s">
        <v>155</v>
      </c>
      <c r="C122" s="278"/>
      <c r="D122" s="278"/>
      <c r="E122" s="278"/>
      <c r="F122" s="278"/>
      <c r="G122" s="278"/>
      <c r="H122" s="279"/>
      <c r="I122" s="134">
        <v>0</v>
      </c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 spans="1:29" ht="15.75" customHeight="1">
      <c r="A123" s="355" t="s">
        <v>98</v>
      </c>
      <c r="B123" s="278"/>
      <c r="C123" s="278"/>
      <c r="D123" s="278"/>
      <c r="E123" s="278"/>
      <c r="F123" s="278"/>
      <c r="G123" s="278"/>
      <c r="H123" s="279"/>
      <c r="I123" s="134">
        <v>0</v>
      </c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 spans="1:29" ht="7.5" customHeight="1">
      <c r="A124" s="356"/>
      <c r="B124" s="278"/>
      <c r="C124" s="278"/>
      <c r="D124" s="278"/>
      <c r="E124" s="278"/>
      <c r="F124" s="278"/>
      <c r="G124" s="278"/>
      <c r="H124" s="278"/>
      <c r="I124" s="279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 spans="1:29" ht="23.25" customHeight="1">
      <c r="A125" s="329" t="s">
        <v>156</v>
      </c>
      <c r="B125" s="278"/>
      <c r="C125" s="278"/>
      <c r="D125" s="278"/>
      <c r="E125" s="278"/>
      <c r="F125" s="278"/>
      <c r="G125" s="278"/>
      <c r="H125" s="278"/>
      <c r="I125" s="279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 spans="1:29" ht="23.25" customHeight="1">
      <c r="A126" s="68">
        <v>4</v>
      </c>
      <c r="B126" s="353" t="s">
        <v>157</v>
      </c>
      <c r="C126" s="278"/>
      <c r="D126" s="278"/>
      <c r="E126" s="278"/>
      <c r="F126" s="278"/>
      <c r="G126" s="278"/>
      <c r="H126" s="279"/>
      <c r="I126" s="81" t="s">
        <v>95</v>
      </c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 spans="1:29" ht="18.75" customHeight="1">
      <c r="A127" s="13" t="s">
        <v>144</v>
      </c>
      <c r="B127" s="488" t="s">
        <v>145</v>
      </c>
      <c r="C127" s="278"/>
      <c r="D127" s="278"/>
      <c r="E127" s="278"/>
      <c r="F127" s="278"/>
      <c r="G127" s="278"/>
      <c r="H127" s="279"/>
      <c r="I127" s="134">
        <f>I118</f>
        <v>906.33496000000014</v>
      </c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 spans="1:29" ht="21.75" customHeight="1">
      <c r="A128" s="13" t="s">
        <v>158</v>
      </c>
      <c r="B128" s="488" t="s">
        <v>154</v>
      </c>
      <c r="C128" s="278"/>
      <c r="D128" s="278"/>
      <c r="E128" s="278"/>
      <c r="F128" s="278"/>
      <c r="G128" s="278"/>
      <c r="H128" s="279"/>
      <c r="I128" s="134">
        <f>I123</f>
        <v>0</v>
      </c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 spans="1:29" ht="23.25" customHeight="1">
      <c r="A129" s="348" t="s">
        <v>98</v>
      </c>
      <c r="B129" s="278"/>
      <c r="C129" s="278"/>
      <c r="D129" s="278"/>
      <c r="E129" s="278"/>
      <c r="F129" s="278"/>
      <c r="G129" s="278"/>
      <c r="H129" s="279"/>
      <c r="I129" s="83">
        <f>SUM(I127+I128)</f>
        <v>906.33496000000014</v>
      </c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 spans="1:29" ht="7.5" customHeight="1">
      <c r="A130" s="357"/>
      <c r="B130" s="278"/>
      <c r="C130" s="278"/>
      <c r="D130" s="278"/>
      <c r="E130" s="278"/>
      <c r="F130" s="278"/>
      <c r="G130" s="278"/>
      <c r="H130" s="278"/>
      <c r="I130" s="279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 spans="1:29" ht="27.75" customHeight="1">
      <c r="A131" s="358" t="s">
        <v>159</v>
      </c>
      <c r="B131" s="278"/>
      <c r="C131" s="278"/>
      <c r="D131" s="278"/>
      <c r="E131" s="278"/>
      <c r="F131" s="278"/>
      <c r="G131" s="278"/>
      <c r="H131" s="278"/>
      <c r="I131" s="279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 spans="1:29" ht="27" customHeight="1">
      <c r="A132" s="60">
        <v>3</v>
      </c>
      <c r="B132" s="318" t="s">
        <v>160</v>
      </c>
      <c r="C132" s="278"/>
      <c r="D132" s="278"/>
      <c r="E132" s="278"/>
      <c r="F132" s="278"/>
      <c r="G132" s="278"/>
      <c r="H132" s="279"/>
      <c r="I132" s="60" t="s">
        <v>95</v>
      </c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 spans="1:29" ht="27" customHeight="1">
      <c r="A133" s="61" t="s">
        <v>47</v>
      </c>
      <c r="B133" s="345" t="s">
        <v>430</v>
      </c>
      <c r="C133" s="333"/>
      <c r="D133" s="333"/>
      <c r="E133" s="333"/>
      <c r="F133" s="333"/>
      <c r="G133" s="333"/>
      <c r="H133" s="334"/>
      <c r="I133" s="118">
        <f>Uniformes!G15*2</f>
        <v>162.40416666666667</v>
      </c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 spans="1:29" ht="15.75" customHeight="1">
      <c r="A134" s="61" t="s">
        <v>49</v>
      </c>
      <c r="B134" s="282" t="s">
        <v>384</v>
      </c>
      <c r="C134" s="278"/>
      <c r="D134" s="278"/>
      <c r="E134" s="278"/>
      <c r="F134" s="278"/>
      <c r="G134" s="278"/>
      <c r="H134" s="279"/>
      <c r="I134" s="99">
        <f>Equipamentos!F48</f>
        <v>56.27791666666667</v>
      </c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 spans="1:29" ht="24.95" customHeight="1">
      <c r="A135" s="61" t="s">
        <v>51</v>
      </c>
      <c r="B135" s="425" t="s">
        <v>369</v>
      </c>
      <c r="C135" s="426"/>
      <c r="D135" s="426"/>
      <c r="E135" s="426"/>
      <c r="F135" s="426"/>
      <c r="G135" s="426"/>
      <c r="H135" s="427"/>
      <c r="I135" s="99">
        <f>Equipamentos!F40*2</f>
        <v>15.645277777777778</v>
      </c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 spans="1:29" ht="15.75" customHeight="1">
      <c r="A136" s="340" t="s">
        <v>161</v>
      </c>
      <c r="B136" s="278"/>
      <c r="C136" s="278"/>
      <c r="D136" s="278"/>
      <c r="E136" s="278"/>
      <c r="F136" s="278"/>
      <c r="G136" s="278"/>
      <c r="H136" s="279"/>
      <c r="I136" s="84">
        <f>ROUND(SUM(I133:I135),2)</f>
        <v>234.33</v>
      </c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 spans="1:29" ht="7.5" customHeight="1">
      <c r="A137" s="428"/>
      <c r="B137" s="278"/>
      <c r="C137" s="278"/>
      <c r="D137" s="278"/>
      <c r="E137" s="278"/>
      <c r="F137" s="278"/>
      <c r="G137" s="278"/>
      <c r="H137" s="278"/>
      <c r="I137" s="279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 spans="1:29" ht="15.75" customHeight="1">
      <c r="A138" s="429" t="s">
        <v>162</v>
      </c>
      <c r="B138" s="278"/>
      <c r="C138" s="278"/>
      <c r="D138" s="278"/>
      <c r="E138" s="278"/>
      <c r="F138" s="278"/>
      <c r="G138" s="278"/>
      <c r="H138" s="278"/>
      <c r="I138" s="279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 spans="1:29" ht="6.75" customHeight="1">
      <c r="A139" s="85"/>
      <c r="B139" s="86"/>
      <c r="C139" s="86"/>
      <c r="D139" s="86"/>
      <c r="E139" s="86"/>
      <c r="F139" s="86"/>
      <c r="G139" s="86"/>
      <c r="H139" s="86"/>
      <c r="I139" s="87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 spans="1:29" ht="15.75" customHeight="1">
      <c r="A140" s="350" t="s">
        <v>163</v>
      </c>
      <c r="B140" s="278"/>
      <c r="C140" s="278"/>
      <c r="D140" s="278"/>
      <c r="E140" s="278"/>
      <c r="F140" s="278"/>
      <c r="G140" s="278"/>
      <c r="H140" s="278"/>
      <c r="I140" s="279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 spans="1:29" ht="30" customHeight="1">
      <c r="A141" s="60">
        <v>6</v>
      </c>
      <c r="B141" s="351" t="s">
        <v>164</v>
      </c>
      <c r="C141" s="278"/>
      <c r="D141" s="278"/>
      <c r="E141" s="278"/>
      <c r="F141" s="278"/>
      <c r="G141" s="279"/>
      <c r="H141" s="46" t="s">
        <v>81</v>
      </c>
      <c r="I141" s="88" t="s">
        <v>102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 spans="1:29" ht="50.25" customHeight="1">
      <c r="A142" s="441" t="s">
        <v>165</v>
      </c>
      <c r="B142" s="278"/>
      <c r="C142" s="278"/>
      <c r="D142" s="278"/>
      <c r="E142" s="278"/>
      <c r="F142" s="278"/>
      <c r="G142" s="279"/>
      <c r="H142" s="135" t="s">
        <v>22</v>
      </c>
      <c r="I142" s="136">
        <f>SUM(I43+I93+I102+I129+I136)</f>
        <v>11760.99496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 spans="1:29" ht="15.75" customHeight="1">
      <c r="A143" s="61" t="s">
        <v>47</v>
      </c>
      <c r="B143" s="489" t="s">
        <v>24</v>
      </c>
      <c r="C143" s="278"/>
      <c r="D143" s="278"/>
      <c r="E143" s="278"/>
      <c r="F143" s="278"/>
      <c r="G143" s="279"/>
      <c r="H143" s="117">
        <v>0.06</v>
      </c>
      <c r="I143" s="118">
        <f>ROUND(H143*I142,2)</f>
        <v>705.66</v>
      </c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 spans="1:29" ht="50.25" customHeight="1">
      <c r="A144" s="441" t="s">
        <v>166</v>
      </c>
      <c r="B144" s="278"/>
      <c r="C144" s="278"/>
      <c r="D144" s="278"/>
      <c r="E144" s="278"/>
      <c r="F144" s="278"/>
      <c r="G144" s="279"/>
      <c r="H144" s="137" t="s">
        <v>22</v>
      </c>
      <c r="I144" s="136">
        <f>SUM(I43+I93+I102+I129+I136+I143)</f>
        <v>12466.65496</v>
      </c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 spans="1:29" ht="15.75" customHeight="1">
      <c r="A145" s="61" t="s">
        <v>49</v>
      </c>
      <c r="B145" s="489" t="s">
        <v>26</v>
      </c>
      <c r="C145" s="278"/>
      <c r="D145" s="278"/>
      <c r="E145" s="278"/>
      <c r="F145" s="278"/>
      <c r="G145" s="279"/>
      <c r="H145" s="117">
        <v>6.7900000000000002E-2</v>
      </c>
      <c r="I145" s="118">
        <f>ROUND(H145*I144,2)</f>
        <v>846.49</v>
      </c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 spans="1:29" ht="48.75" customHeight="1">
      <c r="A146" s="441" t="s">
        <v>167</v>
      </c>
      <c r="B146" s="278"/>
      <c r="C146" s="278"/>
      <c r="D146" s="278"/>
      <c r="E146" s="278"/>
      <c r="F146" s="278"/>
      <c r="G146" s="279"/>
      <c r="H146" s="137" t="s">
        <v>22</v>
      </c>
      <c r="I146" s="136">
        <f>SUM(I142+I143+I145)</f>
        <v>13313.14496</v>
      </c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 spans="1:29" ht="16.5" customHeight="1">
      <c r="A147" s="138" t="s">
        <v>51</v>
      </c>
      <c r="B147" s="350" t="s">
        <v>168</v>
      </c>
      <c r="C147" s="278"/>
      <c r="D147" s="278"/>
      <c r="E147" s="278"/>
      <c r="F147" s="278"/>
      <c r="G147" s="279"/>
      <c r="H147" s="110" t="s">
        <v>22</v>
      </c>
      <c r="I147" s="111" t="s">
        <v>22</v>
      </c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 spans="1:29" ht="12.75" customHeight="1">
      <c r="A148" s="61"/>
      <c r="B148" s="456" t="s">
        <v>169</v>
      </c>
      <c r="C148" s="278"/>
      <c r="D148" s="278"/>
      <c r="E148" s="278"/>
      <c r="F148" s="278"/>
      <c r="G148" s="279"/>
      <c r="H148" s="110" t="s">
        <v>22</v>
      </c>
      <c r="I148" s="111" t="s">
        <v>22</v>
      </c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 spans="1:29" ht="22.5" customHeight="1">
      <c r="A149" s="61"/>
      <c r="B149" s="302" t="s">
        <v>243</v>
      </c>
      <c r="C149" s="278"/>
      <c r="D149" s="278"/>
      <c r="E149" s="278"/>
      <c r="F149" s="278"/>
      <c r="G149" s="279"/>
      <c r="H149" s="92">
        <v>0.03</v>
      </c>
      <c r="I149" s="139">
        <f t="shared" ref="I149:I150" si="2">ROUND(($I$146/(1-$H$158))*H149,2)</f>
        <v>425.57</v>
      </c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 spans="1:29" ht="22.5" customHeight="1">
      <c r="A150" s="61"/>
      <c r="B150" s="302" t="s">
        <v>244</v>
      </c>
      <c r="C150" s="278"/>
      <c r="D150" s="278"/>
      <c r="E150" s="278"/>
      <c r="F150" s="278"/>
      <c r="G150" s="279"/>
      <c r="H150" s="92">
        <v>6.4999999999999997E-3</v>
      </c>
      <c r="I150" s="139">
        <f t="shared" si="2"/>
        <v>92.21</v>
      </c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 spans="1:29" ht="29.25" customHeight="1">
      <c r="A151" s="61"/>
      <c r="B151" s="282" t="s">
        <v>245</v>
      </c>
      <c r="C151" s="278"/>
      <c r="D151" s="278"/>
      <c r="E151" s="278"/>
      <c r="F151" s="278"/>
      <c r="G151" s="279"/>
      <c r="H151" s="140" t="s">
        <v>22</v>
      </c>
      <c r="I151" s="111" t="s">
        <v>22</v>
      </c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 spans="1:29" ht="29.25" customHeight="1">
      <c r="A152" s="61"/>
      <c r="B152" s="282" t="s">
        <v>246</v>
      </c>
      <c r="C152" s="278"/>
      <c r="D152" s="278"/>
      <c r="E152" s="278"/>
      <c r="F152" s="278"/>
      <c r="G152" s="279"/>
      <c r="H152" s="140" t="s">
        <v>22</v>
      </c>
      <c r="I152" s="111" t="s">
        <v>22</v>
      </c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 spans="1:29" ht="18" customHeight="1">
      <c r="A153" s="61"/>
      <c r="B153" s="282" t="s">
        <v>174</v>
      </c>
      <c r="C153" s="278"/>
      <c r="D153" s="278"/>
      <c r="E153" s="278"/>
      <c r="F153" s="278"/>
      <c r="G153" s="278"/>
      <c r="H153" s="141" t="s">
        <v>22</v>
      </c>
      <c r="I153" s="142" t="s">
        <v>22</v>
      </c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 spans="1:29" ht="18" customHeight="1">
      <c r="A154" s="61"/>
      <c r="B154" s="282" t="s">
        <v>175</v>
      </c>
      <c r="C154" s="278"/>
      <c r="D154" s="278"/>
      <c r="E154" s="278"/>
      <c r="F154" s="278"/>
      <c r="G154" s="278"/>
      <c r="H154" s="141" t="s">
        <v>22</v>
      </c>
      <c r="I154" s="142" t="s">
        <v>22</v>
      </c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 spans="1:29" ht="24.75" customHeight="1">
      <c r="A155" s="61"/>
      <c r="B155" s="345" t="s">
        <v>399</v>
      </c>
      <c r="C155" s="333"/>
      <c r="D155" s="333"/>
      <c r="E155" s="333"/>
      <c r="F155" s="333"/>
      <c r="G155" s="334"/>
      <c r="H155" s="92">
        <v>2.5000000000000001E-2</v>
      </c>
      <c r="I155" s="139">
        <f>ROUND(($I$146/(1-$H$158))*H155,2)</f>
        <v>354.64</v>
      </c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 spans="1:29" ht="15.75" customHeight="1">
      <c r="A156" s="340" t="s">
        <v>41</v>
      </c>
      <c r="B156" s="278"/>
      <c r="C156" s="278"/>
      <c r="D156" s="278"/>
      <c r="E156" s="278"/>
      <c r="F156" s="278"/>
      <c r="G156" s="278"/>
      <c r="H156" s="279"/>
      <c r="I156" s="44">
        <f>SUM(I143+I145+I149+I150+I155)</f>
        <v>2424.5699999999997</v>
      </c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 spans="1:29" ht="6.75" customHeight="1">
      <c r="A157" s="357"/>
      <c r="B157" s="278"/>
      <c r="C157" s="278"/>
      <c r="D157" s="278"/>
      <c r="E157" s="278"/>
      <c r="F157" s="278"/>
      <c r="G157" s="278"/>
      <c r="H157" s="278"/>
      <c r="I157" s="279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 spans="1:29" ht="15.75" customHeight="1">
      <c r="A158" s="457" t="s">
        <v>176</v>
      </c>
      <c r="B158" s="368"/>
      <c r="C158" s="368"/>
      <c r="D158" s="368"/>
      <c r="E158" s="368"/>
      <c r="F158" s="368"/>
      <c r="G158" s="268"/>
      <c r="H158" s="185">
        <f t="shared" ref="H158:I158" si="3">SUM(H149:H155)</f>
        <v>6.1499999999999999E-2</v>
      </c>
      <c r="I158" s="186">
        <f t="shared" si="3"/>
        <v>872.42</v>
      </c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 spans="1:29" ht="12.75" customHeight="1">
      <c r="A159" s="459" t="s">
        <v>177</v>
      </c>
      <c r="B159" s="370"/>
      <c r="C159" s="458" t="s">
        <v>178</v>
      </c>
      <c r="D159" s="370"/>
      <c r="E159" s="370"/>
      <c r="F159" s="370"/>
      <c r="G159" s="370"/>
      <c r="H159" s="370"/>
      <c r="I159" s="376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 spans="1:29" ht="12" customHeight="1">
      <c r="A160" s="371"/>
      <c r="B160" s="372"/>
      <c r="C160" s="490" t="s">
        <v>179</v>
      </c>
      <c r="D160" s="372"/>
      <c r="E160" s="372"/>
      <c r="F160" s="372"/>
      <c r="G160" s="372"/>
      <c r="H160" s="372"/>
      <c r="I160" s="378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 spans="1:29" ht="13.5" customHeight="1">
      <c r="A161" s="373"/>
      <c r="B161" s="374"/>
      <c r="C161" s="491" t="s">
        <v>180</v>
      </c>
      <c r="D161" s="374"/>
      <c r="E161" s="374"/>
      <c r="F161" s="374"/>
      <c r="G161" s="374"/>
      <c r="H161" s="374"/>
      <c r="I161" s="380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 spans="1:29" ht="6.75" customHeight="1">
      <c r="A162" s="434"/>
      <c r="B162" s="276"/>
      <c r="C162" s="276"/>
      <c r="D162" s="276"/>
      <c r="E162" s="276"/>
      <c r="F162" s="276"/>
      <c r="G162" s="276"/>
      <c r="H162" s="276"/>
      <c r="I162" s="276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 spans="1:29" ht="24" customHeight="1">
      <c r="A163" s="435" t="s">
        <v>181</v>
      </c>
      <c r="B163" s="278"/>
      <c r="C163" s="278"/>
      <c r="D163" s="278"/>
      <c r="E163" s="278"/>
      <c r="F163" s="278"/>
      <c r="G163" s="278"/>
      <c r="H163" s="278"/>
      <c r="I163" s="279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 spans="1:29" ht="5.25" customHeight="1">
      <c r="A164" s="357"/>
      <c r="B164" s="278"/>
      <c r="C164" s="278"/>
      <c r="D164" s="278"/>
      <c r="E164" s="278"/>
      <c r="F164" s="278"/>
      <c r="G164" s="278"/>
      <c r="H164" s="278"/>
      <c r="I164" s="279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 spans="1:29" ht="27.75" customHeight="1">
      <c r="A165" s="358" t="s">
        <v>247</v>
      </c>
      <c r="B165" s="278"/>
      <c r="C165" s="278"/>
      <c r="D165" s="278"/>
      <c r="E165" s="278"/>
      <c r="F165" s="278"/>
      <c r="G165" s="278"/>
      <c r="H165" s="278"/>
      <c r="I165" s="279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 spans="1:29" ht="15" customHeight="1">
      <c r="A166" s="286" t="s">
        <v>183</v>
      </c>
      <c r="B166" s="278"/>
      <c r="C166" s="278"/>
      <c r="D166" s="278"/>
      <c r="E166" s="278"/>
      <c r="F166" s="278"/>
      <c r="G166" s="278"/>
      <c r="H166" s="279"/>
      <c r="I166" s="46" t="s">
        <v>95</v>
      </c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 spans="1:29" ht="15" customHeight="1">
      <c r="A167" s="98" t="s">
        <v>47</v>
      </c>
      <c r="B167" s="432" t="s">
        <v>248</v>
      </c>
      <c r="C167" s="278"/>
      <c r="D167" s="278"/>
      <c r="E167" s="278"/>
      <c r="F167" s="278"/>
      <c r="G167" s="278"/>
      <c r="H167" s="278"/>
      <c r="I167" s="99">
        <f>I43</f>
        <v>6270.72</v>
      </c>
      <c r="J167" s="24"/>
      <c r="K167" s="182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 spans="1:29" ht="15" customHeight="1">
      <c r="A168" s="98" t="s">
        <v>49</v>
      </c>
      <c r="B168" s="432" t="s">
        <v>185</v>
      </c>
      <c r="C168" s="278"/>
      <c r="D168" s="278"/>
      <c r="E168" s="278"/>
      <c r="F168" s="278"/>
      <c r="G168" s="278"/>
      <c r="H168" s="278"/>
      <c r="I168" s="99">
        <f>I93</f>
        <v>3912.56</v>
      </c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 spans="1:29" ht="15" customHeight="1">
      <c r="A169" s="98" t="s">
        <v>51</v>
      </c>
      <c r="B169" s="432" t="s">
        <v>186</v>
      </c>
      <c r="C169" s="278"/>
      <c r="D169" s="278"/>
      <c r="E169" s="278"/>
      <c r="F169" s="278"/>
      <c r="G169" s="278"/>
      <c r="H169" s="278"/>
      <c r="I169" s="99">
        <f>I102</f>
        <v>437.05</v>
      </c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 spans="1:29" ht="15" customHeight="1">
      <c r="A170" s="98" t="s">
        <v>54</v>
      </c>
      <c r="B170" s="432" t="s">
        <v>187</v>
      </c>
      <c r="C170" s="278"/>
      <c r="D170" s="278"/>
      <c r="E170" s="278"/>
      <c r="F170" s="278"/>
      <c r="G170" s="278"/>
      <c r="H170" s="278"/>
      <c r="I170" s="99">
        <f>I129</f>
        <v>906.33496000000014</v>
      </c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 spans="1:29" ht="15" customHeight="1">
      <c r="A171" s="98" t="s">
        <v>109</v>
      </c>
      <c r="B171" s="432" t="s">
        <v>188</v>
      </c>
      <c r="C171" s="278"/>
      <c r="D171" s="278"/>
      <c r="E171" s="278"/>
      <c r="F171" s="278"/>
      <c r="G171" s="278"/>
      <c r="H171" s="278"/>
      <c r="I171" s="99">
        <f>I136</f>
        <v>234.33</v>
      </c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 spans="1:29" ht="15" customHeight="1">
      <c r="A172" s="433" t="s">
        <v>189</v>
      </c>
      <c r="B172" s="278"/>
      <c r="C172" s="278"/>
      <c r="D172" s="278"/>
      <c r="E172" s="278"/>
      <c r="F172" s="278"/>
      <c r="G172" s="278"/>
      <c r="H172" s="293"/>
      <c r="I172" s="99">
        <f>ROUND(SUM(I167:I171),2)</f>
        <v>11760.99</v>
      </c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 spans="1:29" ht="15" customHeight="1">
      <c r="A173" s="100" t="s">
        <v>111</v>
      </c>
      <c r="B173" s="432" t="s">
        <v>163</v>
      </c>
      <c r="C173" s="278"/>
      <c r="D173" s="278"/>
      <c r="E173" s="278"/>
      <c r="F173" s="278"/>
      <c r="G173" s="278"/>
      <c r="H173" s="278"/>
      <c r="I173" s="84">
        <f>I156</f>
        <v>2424.5699999999997</v>
      </c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 spans="1:29" ht="15" customHeight="1">
      <c r="A174" s="433" t="s">
        <v>190</v>
      </c>
      <c r="B174" s="278"/>
      <c r="C174" s="278"/>
      <c r="D174" s="278"/>
      <c r="E174" s="278"/>
      <c r="F174" s="278"/>
      <c r="G174" s="278"/>
      <c r="H174" s="293"/>
      <c r="I174" s="99">
        <f>I172+I173</f>
        <v>14185.56</v>
      </c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 spans="1:29" ht="7.5" customHeight="1">
      <c r="A175" s="361"/>
      <c r="B175" s="278"/>
      <c r="C175" s="278"/>
      <c r="D175" s="278"/>
      <c r="E175" s="278"/>
      <c r="F175" s="278"/>
      <c r="G175" s="278"/>
      <c r="H175" s="278"/>
      <c r="I175" s="279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 spans="1:29" ht="15" hidden="1" customHeight="1">
      <c r="A176" s="101"/>
      <c r="B176" s="101"/>
      <c r="C176" s="101"/>
      <c r="D176" s="101"/>
      <c r="E176" s="101"/>
      <c r="F176" s="101"/>
      <c r="G176" s="101"/>
      <c r="H176" s="102"/>
      <c r="I176" s="103"/>
      <c r="J176" s="27"/>
      <c r="K176" s="104"/>
      <c r="L176" s="27"/>
      <c r="M176" s="105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 spans="1:29" ht="31.5" customHeight="1">
      <c r="A177" s="463" t="s">
        <v>191</v>
      </c>
      <c r="B177" s="370"/>
      <c r="C177" s="370"/>
      <c r="D177" s="370"/>
      <c r="E177" s="370"/>
      <c r="F177" s="370"/>
      <c r="G177" s="370"/>
      <c r="H177" s="370"/>
      <c r="I177" s="376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 spans="1:29" ht="45" customHeight="1">
      <c r="A178" s="464" t="s">
        <v>192</v>
      </c>
      <c r="B178" s="242"/>
      <c r="C178" s="242"/>
      <c r="D178" s="243"/>
      <c r="E178" s="461" t="s">
        <v>193</v>
      </c>
      <c r="F178" s="243"/>
      <c r="G178" s="46" t="s">
        <v>194</v>
      </c>
      <c r="H178" s="461" t="s">
        <v>195</v>
      </c>
      <c r="I178" s="260"/>
    </row>
    <row r="179" spans="1:29" ht="41.25" customHeight="1">
      <c r="A179" s="465" t="s">
        <v>249</v>
      </c>
      <c r="B179" s="242"/>
      <c r="C179" s="242"/>
      <c r="D179" s="243"/>
      <c r="E179" s="466">
        <f>I174</f>
        <v>14185.56</v>
      </c>
      <c r="F179" s="243"/>
      <c r="G179" s="106">
        <f>H13</f>
        <v>1</v>
      </c>
      <c r="H179" s="462">
        <f>E179*G179</f>
        <v>14185.56</v>
      </c>
      <c r="I179" s="260"/>
    </row>
    <row r="180" spans="1:29" ht="20.25" customHeight="1">
      <c r="A180" s="467" t="s">
        <v>197</v>
      </c>
      <c r="B180" s="242"/>
      <c r="C180" s="242"/>
      <c r="D180" s="242"/>
      <c r="E180" s="242"/>
      <c r="F180" s="243"/>
      <c r="G180" s="143">
        <f>SUM(G179)</f>
        <v>1</v>
      </c>
      <c r="H180" s="468">
        <f>SUM(H179:I179)</f>
        <v>14185.56</v>
      </c>
      <c r="I180" s="260"/>
    </row>
    <row r="181" spans="1:29" ht="6.75" customHeight="1">
      <c r="A181" s="469"/>
      <c r="B181" s="470"/>
      <c r="C181" s="470"/>
      <c r="D181" s="470"/>
      <c r="E181" s="470"/>
      <c r="F181" s="470"/>
      <c r="G181" s="470"/>
      <c r="H181" s="470"/>
      <c r="I181" s="471"/>
    </row>
    <row r="182" spans="1:29" ht="17.25" customHeight="1">
      <c r="A182" s="472" t="s">
        <v>198</v>
      </c>
      <c r="B182" s="276"/>
      <c r="C182" s="276"/>
      <c r="D182" s="276"/>
      <c r="E182" s="276"/>
      <c r="F182" s="276"/>
      <c r="G182" s="276"/>
      <c r="H182" s="276"/>
      <c r="I182" s="473"/>
    </row>
    <row r="183" spans="1:29" ht="6.75" customHeight="1">
      <c r="A183" s="474"/>
      <c r="B183" s="242"/>
      <c r="C183" s="242"/>
      <c r="D183" s="242"/>
      <c r="E183" s="242"/>
      <c r="F183" s="242"/>
      <c r="G183" s="242"/>
      <c r="H183" s="242"/>
      <c r="I183" s="260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 spans="1:29" ht="18.75" customHeight="1">
      <c r="A184" s="475" t="s">
        <v>199</v>
      </c>
      <c r="B184" s="242"/>
      <c r="C184" s="242"/>
      <c r="D184" s="242"/>
      <c r="E184" s="242"/>
      <c r="F184" s="243"/>
      <c r="G184" s="476">
        <f>$H$180</f>
        <v>14185.56</v>
      </c>
      <c r="H184" s="242"/>
      <c r="I184" s="260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 spans="1:29" ht="8.25" customHeight="1">
      <c r="A185" s="477"/>
      <c r="B185" s="368"/>
      <c r="C185" s="368"/>
      <c r="D185" s="368"/>
      <c r="E185" s="368"/>
      <c r="F185" s="368"/>
      <c r="G185" s="368"/>
      <c r="H185" s="368"/>
      <c r="I185" s="478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 spans="1:29" ht="19.5" customHeight="1">
      <c r="A186" s="475" t="s">
        <v>200</v>
      </c>
      <c r="B186" s="242"/>
      <c r="C186" s="242"/>
      <c r="D186" s="242"/>
      <c r="E186" s="242"/>
      <c r="F186" s="243"/>
      <c r="G186" s="479">
        <f>$H$10</f>
        <v>12</v>
      </c>
      <c r="H186" s="242"/>
      <c r="I186" s="260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 spans="1:29" ht="8.25" customHeight="1">
      <c r="A187" s="480"/>
      <c r="B187" s="242"/>
      <c r="C187" s="242"/>
      <c r="D187" s="242"/>
      <c r="E187" s="242"/>
      <c r="F187" s="242"/>
      <c r="G187" s="242"/>
      <c r="H187" s="242"/>
      <c r="I187" s="260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 spans="1:29" ht="31.5" customHeight="1">
      <c r="A188" s="475" t="s">
        <v>250</v>
      </c>
      <c r="B188" s="242"/>
      <c r="C188" s="242"/>
      <c r="D188" s="242"/>
      <c r="E188" s="242"/>
      <c r="F188" s="243"/>
      <c r="G188" s="481">
        <f>ROUND(G184*G186,2)</f>
        <v>170226.72</v>
      </c>
      <c r="H188" s="242"/>
      <c r="I188" s="260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 spans="1:29" ht="8.25" customHeight="1">
      <c r="A189" s="482"/>
      <c r="B189" s="242"/>
      <c r="C189" s="242"/>
      <c r="D189" s="242"/>
      <c r="E189" s="242"/>
      <c r="F189" s="242"/>
      <c r="G189" s="242"/>
      <c r="H189" s="242"/>
      <c r="I189" s="260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 spans="1:29" ht="29.25" customHeight="1">
      <c r="A190" s="483" t="s">
        <v>251</v>
      </c>
      <c r="B190" s="242"/>
      <c r="C190" s="242"/>
      <c r="D190" s="242"/>
      <c r="E190" s="242"/>
      <c r="F190" s="242"/>
      <c r="G190" s="242"/>
      <c r="H190" s="242"/>
      <c r="I190" s="260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 spans="1:29" ht="12" customHeight="1">
      <c r="A191" s="484" t="s">
        <v>203</v>
      </c>
      <c r="B191" s="372"/>
      <c r="C191" s="408"/>
      <c r="D191" s="410" t="s">
        <v>204</v>
      </c>
      <c r="E191" s="368"/>
      <c r="F191" s="368"/>
      <c r="G191" s="368"/>
      <c r="H191" s="368"/>
      <c r="I191" s="478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 spans="1:29" ht="12" customHeight="1">
      <c r="A192" s="269"/>
      <c r="B192" s="276"/>
      <c r="C192" s="270"/>
      <c r="D192" s="409"/>
      <c r="E192" s="276"/>
      <c r="F192" s="276"/>
      <c r="G192" s="276"/>
      <c r="H192" s="276"/>
      <c r="I192" s="473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 spans="1:29" ht="14.25" customHeight="1">
      <c r="A193" s="412" t="s">
        <v>205</v>
      </c>
      <c r="B193" s="242"/>
      <c r="C193" s="243"/>
      <c r="D193" s="485">
        <v>2</v>
      </c>
      <c r="E193" s="242"/>
      <c r="F193" s="242"/>
      <c r="G193" s="242"/>
      <c r="H193" s="242"/>
      <c r="I193" s="260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 spans="1:29" ht="15" customHeight="1">
      <c r="A194" s="486"/>
      <c r="B194" s="368"/>
      <c r="C194" s="368"/>
      <c r="D194" s="368"/>
      <c r="E194" s="368"/>
      <c r="F194" s="368"/>
      <c r="G194" s="368"/>
      <c r="H194" s="368"/>
      <c r="I194" s="478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 spans="1:29" ht="12" hidden="1" customHeight="1">
      <c r="A195" s="371"/>
      <c r="B195" s="419"/>
      <c r="C195" s="419"/>
      <c r="D195" s="419"/>
      <c r="E195" s="419"/>
      <c r="F195" s="419"/>
      <c r="G195" s="419"/>
      <c r="H195" s="419"/>
      <c r="I195" s="487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 spans="1:29" ht="27" customHeight="1">
      <c r="A196" s="420" t="s">
        <v>252</v>
      </c>
      <c r="B196" s="421"/>
      <c r="C196" s="421"/>
      <c r="D196" s="421"/>
      <c r="E196" s="421"/>
      <c r="F196" s="421"/>
      <c r="G196" s="421"/>
      <c r="H196" s="421"/>
      <c r="I196" s="422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 spans="1:29" ht="12.75" customHeight="1">
      <c r="A197" s="423" t="s">
        <v>207</v>
      </c>
      <c r="B197" s="242"/>
      <c r="C197" s="242"/>
      <c r="D197" s="242"/>
      <c r="E197" s="242"/>
      <c r="F197" s="242"/>
      <c r="G197" s="243"/>
      <c r="H197" s="413" t="s">
        <v>208</v>
      </c>
      <c r="I197" s="260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 spans="1:29" ht="15" customHeight="1">
      <c r="A198" s="424"/>
      <c r="B198" s="242"/>
      <c r="C198" s="242"/>
      <c r="D198" s="242"/>
      <c r="E198" s="242"/>
      <c r="F198" s="242"/>
      <c r="G198" s="243"/>
      <c r="H198" s="413"/>
      <c r="I198" s="260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 spans="1:29" ht="12" customHeight="1">
      <c r="A199" s="187"/>
      <c r="B199" s="188"/>
      <c r="C199" s="188"/>
      <c r="D199" s="188"/>
      <c r="E199" s="188"/>
      <c r="F199" s="188"/>
      <c r="G199" s="188"/>
      <c r="H199" s="188"/>
      <c r="I199" s="189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 spans="1:29" ht="12" customHeight="1">
      <c r="A200" s="24"/>
      <c r="B200" s="24"/>
      <c r="C200" s="24"/>
      <c r="D200" s="24"/>
      <c r="E200" s="24"/>
      <c r="F200" s="24"/>
      <c r="G200" s="24"/>
      <c r="H200" s="24"/>
      <c r="I200" s="108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 spans="1:29" ht="12" customHeight="1">
      <c r="A201" s="24"/>
      <c r="B201" s="24"/>
      <c r="C201" s="24"/>
      <c r="D201" s="24"/>
      <c r="E201" s="24"/>
      <c r="F201" s="24"/>
      <c r="G201" s="24"/>
      <c r="H201" s="24"/>
      <c r="I201" s="108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 spans="1:29" ht="12" customHeight="1">
      <c r="A202" s="24"/>
      <c r="B202" s="24"/>
      <c r="C202" s="24"/>
      <c r="D202" s="24"/>
      <c r="E202" s="24"/>
      <c r="F202" s="24"/>
      <c r="G202" s="24"/>
      <c r="H202" s="24"/>
      <c r="I202" s="108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 spans="1:29" ht="12" customHeight="1">
      <c r="A203" s="24"/>
      <c r="B203" s="24"/>
      <c r="C203" s="24"/>
      <c r="D203" s="24"/>
      <c r="E203" s="24"/>
      <c r="F203" s="24"/>
      <c r="G203" s="24"/>
      <c r="H203" s="24"/>
      <c r="I203" s="108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 spans="1:29" ht="12" customHeight="1">
      <c r="A204" s="24"/>
      <c r="B204" s="24"/>
      <c r="C204" s="24"/>
      <c r="D204" s="24"/>
      <c r="E204" s="24"/>
      <c r="F204" s="24"/>
      <c r="G204" s="24"/>
      <c r="H204" s="24"/>
      <c r="I204" s="108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 spans="1:29" ht="12" customHeight="1">
      <c r="A205" s="24"/>
      <c r="B205" s="24"/>
      <c r="C205" s="24"/>
      <c r="D205" s="24"/>
      <c r="E205" s="24"/>
      <c r="F205" s="24"/>
      <c r="G205" s="24"/>
      <c r="H205" s="24"/>
      <c r="I205" s="108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 spans="1:29" ht="12" customHeight="1">
      <c r="A206" s="24"/>
      <c r="B206" s="24"/>
      <c r="C206" s="24"/>
      <c r="D206" s="24"/>
      <c r="E206" s="24"/>
      <c r="F206" s="24"/>
      <c r="G206" s="24"/>
      <c r="H206" s="24"/>
      <c r="I206" s="108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 spans="1:29" ht="12" customHeight="1">
      <c r="A207" s="24"/>
      <c r="B207" s="24"/>
      <c r="C207" s="24"/>
      <c r="D207" s="24"/>
      <c r="E207" s="24"/>
      <c r="F207" s="24"/>
      <c r="G207" s="24"/>
      <c r="H207" s="24"/>
      <c r="I207" s="108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 spans="1:29" ht="12.75" customHeight="1">
      <c r="A208" s="24"/>
      <c r="B208" s="24"/>
      <c r="C208" s="24"/>
      <c r="D208" s="24"/>
      <c r="E208" s="24"/>
      <c r="F208" s="24"/>
      <c r="G208" s="24"/>
      <c r="H208" s="24"/>
      <c r="I208" s="108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 spans="1:29" ht="12" customHeight="1">
      <c r="A209" s="24"/>
      <c r="B209" s="24"/>
      <c r="C209" s="24"/>
      <c r="D209" s="24"/>
      <c r="E209" s="24"/>
      <c r="F209" s="24"/>
      <c r="G209" s="24"/>
      <c r="H209" s="24"/>
      <c r="I209" s="108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 spans="1:29" ht="12" customHeight="1">
      <c r="A210" s="24"/>
      <c r="B210" s="24"/>
      <c r="C210" s="24"/>
      <c r="D210" s="24"/>
      <c r="E210" s="24"/>
      <c r="F210" s="24"/>
      <c r="G210" s="24"/>
      <c r="H210" s="24"/>
      <c r="I210" s="108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 spans="1:29" ht="12" customHeight="1">
      <c r="A211" s="24"/>
      <c r="B211" s="24"/>
      <c r="C211" s="24"/>
      <c r="D211" s="24"/>
      <c r="E211" s="24"/>
      <c r="F211" s="24"/>
      <c r="G211" s="24"/>
      <c r="H211" s="24"/>
      <c r="I211" s="108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 spans="1:29" ht="12" customHeight="1">
      <c r="A212" s="24"/>
      <c r="B212" s="24"/>
      <c r="C212" s="24"/>
      <c r="D212" s="24"/>
      <c r="E212" s="24"/>
      <c r="F212" s="24"/>
      <c r="G212" s="24"/>
      <c r="H212" s="24"/>
      <c r="I212" s="108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 spans="1:29" ht="12" customHeight="1">
      <c r="A213" s="24"/>
      <c r="B213" s="24"/>
      <c r="C213" s="24"/>
      <c r="D213" s="24"/>
      <c r="E213" s="24"/>
      <c r="F213" s="24"/>
      <c r="G213" s="24"/>
      <c r="H213" s="24"/>
      <c r="I213" s="108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 spans="1:29" ht="12" customHeight="1">
      <c r="A214" s="24"/>
      <c r="B214" s="24"/>
      <c r="C214" s="24"/>
      <c r="D214" s="24"/>
      <c r="E214" s="24"/>
      <c r="F214" s="24"/>
      <c r="G214" s="24"/>
      <c r="H214" s="24"/>
      <c r="I214" s="108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 spans="1:29" ht="12" customHeight="1">
      <c r="A215" s="24"/>
      <c r="B215" s="24"/>
      <c r="C215" s="24"/>
      <c r="D215" s="24"/>
      <c r="E215" s="24"/>
      <c r="F215" s="24"/>
      <c r="G215" s="24"/>
      <c r="H215" s="24"/>
      <c r="I215" s="108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 spans="1:29" ht="12" customHeight="1">
      <c r="A216" s="24"/>
      <c r="B216" s="24"/>
      <c r="C216" s="24"/>
      <c r="D216" s="24"/>
      <c r="E216" s="24"/>
      <c r="F216" s="24"/>
      <c r="G216" s="24"/>
      <c r="H216" s="24"/>
      <c r="I216" s="108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 spans="1:29" ht="12" customHeight="1">
      <c r="A217" s="24"/>
      <c r="B217" s="24"/>
      <c r="C217" s="24"/>
      <c r="D217" s="24"/>
      <c r="E217" s="24"/>
      <c r="F217" s="24"/>
      <c r="G217" s="24"/>
      <c r="H217" s="24"/>
      <c r="I217" s="108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 spans="1:29" ht="12" customHeight="1">
      <c r="A218" s="24"/>
      <c r="B218" s="24"/>
      <c r="C218" s="24"/>
      <c r="D218" s="24"/>
      <c r="E218" s="24"/>
      <c r="F218" s="24"/>
      <c r="G218" s="24"/>
      <c r="H218" s="24"/>
      <c r="I218" s="108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 spans="1:29" ht="12" customHeight="1">
      <c r="A219" s="24"/>
      <c r="B219" s="24"/>
      <c r="C219" s="24"/>
      <c r="D219" s="24"/>
      <c r="E219" s="24"/>
      <c r="F219" s="24"/>
      <c r="G219" s="24"/>
      <c r="H219" s="24"/>
      <c r="I219" s="108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 spans="1:29" ht="12" customHeight="1">
      <c r="A220" s="24"/>
      <c r="B220" s="24"/>
      <c r="C220" s="24"/>
      <c r="D220" s="24"/>
      <c r="E220" s="24"/>
      <c r="F220" s="24"/>
      <c r="G220" s="24"/>
      <c r="H220" s="24"/>
      <c r="I220" s="108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 spans="1:29" ht="12" customHeight="1">
      <c r="A221" s="24"/>
      <c r="B221" s="24"/>
      <c r="C221" s="24"/>
      <c r="D221" s="24"/>
      <c r="E221" s="24"/>
      <c r="F221" s="24"/>
      <c r="G221" s="24"/>
      <c r="H221" s="24"/>
      <c r="I221" s="108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 spans="1:29" ht="12" customHeight="1">
      <c r="A222" s="24"/>
      <c r="B222" s="24"/>
      <c r="C222" s="24"/>
      <c r="D222" s="24"/>
      <c r="E222" s="24"/>
      <c r="F222" s="24"/>
      <c r="G222" s="24"/>
      <c r="H222" s="24"/>
      <c r="I222" s="108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 spans="1:29" ht="12" customHeight="1">
      <c r="A223" s="24"/>
      <c r="B223" s="24"/>
      <c r="C223" s="24"/>
      <c r="D223" s="24"/>
      <c r="E223" s="24"/>
      <c r="F223" s="24"/>
      <c r="G223" s="24"/>
      <c r="H223" s="24"/>
      <c r="I223" s="108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 spans="1:29" ht="12" customHeight="1">
      <c r="A224" s="24"/>
      <c r="B224" s="24"/>
      <c r="C224" s="24"/>
      <c r="D224" s="24"/>
      <c r="E224" s="24"/>
      <c r="F224" s="24"/>
      <c r="G224" s="24"/>
      <c r="H224" s="24"/>
      <c r="I224" s="108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 spans="1:29" ht="12" customHeight="1">
      <c r="A225" s="24"/>
      <c r="B225" s="24"/>
      <c r="C225" s="24"/>
      <c r="D225" s="24"/>
      <c r="E225" s="24"/>
      <c r="F225" s="24"/>
      <c r="G225" s="24"/>
      <c r="H225" s="24"/>
      <c r="I225" s="108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 spans="1:29" ht="12" customHeight="1">
      <c r="A226" s="24"/>
      <c r="B226" s="24"/>
      <c r="C226" s="24"/>
      <c r="D226" s="24"/>
      <c r="E226" s="24"/>
      <c r="F226" s="24"/>
      <c r="G226" s="24"/>
      <c r="H226" s="24"/>
      <c r="I226" s="108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 spans="1:29" ht="12" customHeight="1">
      <c r="A227" s="24"/>
      <c r="B227" s="24"/>
      <c r="C227" s="24"/>
      <c r="D227" s="24"/>
      <c r="E227" s="24"/>
      <c r="F227" s="24"/>
      <c r="G227" s="24"/>
      <c r="H227" s="24"/>
      <c r="I227" s="108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 spans="1:29" ht="12" customHeight="1">
      <c r="A228" s="24"/>
      <c r="B228" s="24"/>
      <c r="C228" s="24"/>
      <c r="D228" s="24"/>
      <c r="E228" s="24"/>
      <c r="F228" s="24"/>
      <c r="G228" s="24"/>
      <c r="H228" s="24"/>
      <c r="I228" s="108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 spans="1:29" ht="12" customHeight="1">
      <c r="A229" s="24"/>
      <c r="B229" s="24"/>
      <c r="C229" s="24"/>
      <c r="D229" s="24"/>
      <c r="E229" s="24"/>
      <c r="F229" s="24"/>
      <c r="G229" s="24"/>
      <c r="H229" s="24"/>
      <c r="I229" s="108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 spans="1:29" ht="12" customHeight="1">
      <c r="A230" s="24"/>
      <c r="B230" s="24"/>
      <c r="C230" s="24"/>
      <c r="D230" s="24"/>
      <c r="E230" s="24"/>
      <c r="F230" s="24"/>
      <c r="G230" s="24"/>
      <c r="H230" s="24"/>
      <c r="I230" s="108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 spans="1:29" ht="12" customHeight="1">
      <c r="A231" s="24"/>
      <c r="B231" s="24"/>
      <c r="C231" s="24"/>
      <c r="D231" s="24"/>
      <c r="E231" s="24"/>
      <c r="F231" s="24"/>
      <c r="G231" s="24"/>
      <c r="H231" s="24"/>
      <c r="I231" s="108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 spans="1:29" ht="12" customHeight="1">
      <c r="A232" s="24"/>
      <c r="B232" s="24"/>
      <c r="C232" s="24"/>
      <c r="D232" s="24"/>
      <c r="E232" s="24"/>
      <c r="F232" s="24"/>
      <c r="G232" s="24"/>
      <c r="H232" s="24"/>
      <c r="I232" s="108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 spans="1:29" ht="12" customHeight="1">
      <c r="A233" s="24"/>
      <c r="B233" s="24"/>
      <c r="C233" s="24"/>
      <c r="D233" s="24"/>
      <c r="E233" s="24"/>
      <c r="F233" s="24"/>
      <c r="G233" s="24"/>
      <c r="H233" s="24"/>
      <c r="I233" s="108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</sheetData>
  <mergeCells count="229">
    <mergeCell ref="A166:H166"/>
    <mergeCell ref="B149:G149"/>
    <mergeCell ref="B150:G150"/>
    <mergeCell ref="B151:G151"/>
    <mergeCell ref="C160:I160"/>
    <mergeCell ref="C161:I161"/>
    <mergeCell ref="A162:I162"/>
    <mergeCell ref="A163:I163"/>
    <mergeCell ref="A164:I164"/>
    <mergeCell ref="A165:I165"/>
    <mergeCell ref="A140:I140"/>
    <mergeCell ref="B141:G141"/>
    <mergeCell ref="A142:G142"/>
    <mergeCell ref="B143:G143"/>
    <mergeCell ref="A144:G144"/>
    <mergeCell ref="B145:G145"/>
    <mergeCell ref="A146:G146"/>
    <mergeCell ref="B147:G147"/>
    <mergeCell ref="B148:G148"/>
    <mergeCell ref="A198:G198"/>
    <mergeCell ref="A194:I195"/>
    <mergeCell ref="A196:I196"/>
    <mergeCell ref="A197:G197"/>
    <mergeCell ref="H197:I197"/>
    <mergeCell ref="H198:I198"/>
    <mergeCell ref="B121:H121"/>
    <mergeCell ref="B122:H122"/>
    <mergeCell ref="A123:H123"/>
    <mergeCell ref="A124:I124"/>
    <mergeCell ref="A125:I125"/>
    <mergeCell ref="B126:H126"/>
    <mergeCell ref="B127:H127"/>
    <mergeCell ref="B128:H128"/>
    <mergeCell ref="A129:H129"/>
    <mergeCell ref="A130:I130"/>
    <mergeCell ref="A131:I131"/>
    <mergeCell ref="B132:H132"/>
    <mergeCell ref="B133:H133"/>
    <mergeCell ref="B134:H134"/>
    <mergeCell ref="B135:H135"/>
    <mergeCell ref="A136:H136"/>
    <mergeCell ref="A137:I137"/>
    <mergeCell ref="A138:I138"/>
    <mergeCell ref="A187:I187"/>
    <mergeCell ref="A188:F188"/>
    <mergeCell ref="G188:I188"/>
    <mergeCell ref="A189:I189"/>
    <mergeCell ref="A190:I190"/>
    <mergeCell ref="A191:C192"/>
    <mergeCell ref="D191:I192"/>
    <mergeCell ref="A193:C193"/>
    <mergeCell ref="D193:I193"/>
    <mergeCell ref="A180:F180"/>
    <mergeCell ref="H180:I180"/>
    <mergeCell ref="A181:I181"/>
    <mergeCell ref="A182:I182"/>
    <mergeCell ref="A183:I183"/>
    <mergeCell ref="A184:F184"/>
    <mergeCell ref="G184:I184"/>
    <mergeCell ref="A185:I185"/>
    <mergeCell ref="A186:F186"/>
    <mergeCell ref="G186:I186"/>
    <mergeCell ref="B167:H167"/>
    <mergeCell ref="B168:H168"/>
    <mergeCell ref="B169:H169"/>
    <mergeCell ref="B170:H170"/>
    <mergeCell ref="B171:H171"/>
    <mergeCell ref="A172:H172"/>
    <mergeCell ref="B173:H173"/>
    <mergeCell ref="H178:I178"/>
    <mergeCell ref="H179:I179"/>
    <mergeCell ref="A174:H174"/>
    <mergeCell ref="A175:I175"/>
    <mergeCell ref="A177:I177"/>
    <mergeCell ref="A178:D178"/>
    <mergeCell ref="E178:F178"/>
    <mergeCell ref="A179:D179"/>
    <mergeCell ref="E179:F179"/>
    <mergeCell ref="A105:I105"/>
    <mergeCell ref="A106:I106"/>
    <mergeCell ref="A107:I107"/>
    <mergeCell ref="A158:G158"/>
    <mergeCell ref="C159:I159"/>
    <mergeCell ref="B152:G152"/>
    <mergeCell ref="B153:G153"/>
    <mergeCell ref="B154:G154"/>
    <mergeCell ref="B155:G155"/>
    <mergeCell ref="A156:H156"/>
    <mergeCell ref="A157:I157"/>
    <mergeCell ref="A159:B161"/>
    <mergeCell ref="A109:I109"/>
    <mergeCell ref="A110:I110"/>
    <mergeCell ref="B111:H111"/>
    <mergeCell ref="B112:F112"/>
    <mergeCell ref="B113:H113"/>
    <mergeCell ref="B114:H114"/>
    <mergeCell ref="B115:H115"/>
    <mergeCell ref="B116:H116"/>
    <mergeCell ref="B117:H117"/>
    <mergeCell ref="A118:H118"/>
    <mergeCell ref="A119:I119"/>
    <mergeCell ref="A120:I120"/>
    <mergeCell ref="B96:H96"/>
    <mergeCell ref="B97:H97"/>
    <mergeCell ref="B98:H98"/>
    <mergeCell ref="B99:H99"/>
    <mergeCell ref="B100:H100"/>
    <mergeCell ref="B101:G101"/>
    <mergeCell ref="A102:H102"/>
    <mergeCell ref="A103:I103"/>
    <mergeCell ref="A104:I104"/>
    <mergeCell ref="A87:I87"/>
    <mergeCell ref="A88:I88"/>
    <mergeCell ref="B89:H89"/>
    <mergeCell ref="B90:H90"/>
    <mergeCell ref="B91:H91"/>
    <mergeCell ref="B92:H92"/>
    <mergeCell ref="A93:H93"/>
    <mergeCell ref="A94:I94"/>
    <mergeCell ref="A95:I95"/>
    <mergeCell ref="B78:G78"/>
    <mergeCell ref="B79:G79"/>
    <mergeCell ref="B80:H80"/>
    <mergeCell ref="B81:H81"/>
    <mergeCell ref="B82:H82"/>
    <mergeCell ref="B83:H83"/>
    <mergeCell ref="B84:H84"/>
    <mergeCell ref="A85:I85"/>
    <mergeCell ref="A86:I86"/>
    <mergeCell ref="A69:I69"/>
    <mergeCell ref="B70:H70"/>
    <mergeCell ref="B71:H71"/>
    <mergeCell ref="B72:G72"/>
    <mergeCell ref="B73:G73"/>
    <mergeCell ref="B74:G74"/>
    <mergeCell ref="B75:G75"/>
    <mergeCell ref="B76:H76"/>
    <mergeCell ref="B77:G77"/>
    <mergeCell ref="B59:C59"/>
    <mergeCell ref="B60:G60"/>
    <mergeCell ref="B61:G61"/>
    <mergeCell ref="B62:G62"/>
    <mergeCell ref="B63:G63"/>
    <mergeCell ref="B64:G64"/>
    <mergeCell ref="A65:G65"/>
    <mergeCell ref="A67:I67"/>
    <mergeCell ref="A68:I68"/>
    <mergeCell ref="B50:G50"/>
    <mergeCell ref="B51:G51"/>
    <mergeCell ref="A52:H52"/>
    <mergeCell ref="A53:I53"/>
    <mergeCell ref="A54:I54"/>
    <mergeCell ref="A55:I55"/>
    <mergeCell ref="B56:G56"/>
    <mergeCell ref="B57:G57"/>
    <mergeCell ref="B58:G58"/>
    <mergeCell ref="B41:H41"/>
    <mergeCell ref="A42:I42"/>
    <mergeCell ref="A43:H43"/>
    <mergeCell ref="A44:I44"/>
    <mergeCell ref="A45:I45"/>
    <mergeCell ref="A46:I46"/>
    <mergeCell ref="A47:I47"/>
    <mergeCell ref="A48:I48"/>
    <mergeCell ref="B49:H49"/>
    <mergeCell ref="B32:H32"/>
    <mergeCell ref="B33:H33"/>
    <mergeCell ref="B34:H34"/>
    <mergeCell ref="B35:H35"/>
    <mergeCell ref="B36:H36"/>
    <mergeCell ref="B37:G37"/>
    <mergeCell ref="B38:H38"/>
    <mergeCell ref="A39:H39"/>
    <mergeCell ref="A40:I40"/>
    <mergeCell ref="B25:G25"/>
    <mergeCell ref="H25:I25"/>
    <mergeCell ref="B26:G26"/>
    <mergeCell ref="H26:I26"/>
    <mergeCell ref="A27:I27"/>
    <mergeCell ref="A28:I28"/>
    <mergeCell ref="A29:I29"/>
    <mergeCell ref="A30:I30"/>
    <mergeCell ref="B31:G31"/>
    <mergeCell ref="Q16:X16"/>
    <mergeCell ref="Y16:AC16"/>
    <mergeCell ref="A14:G14"/>
    <mergeCell ref="H14:I14"/>
    <mergeCell ref="A15:I15"/>
    <mergeCell ref="A16:I16"/>
    <mergeCell ref="J16:P16"/>
    <mergeCell ref="B24:G24"/>
    <mergeCell ref="H24:I24"/>
    <mergeCell ref="B17:G17"/>
    <mergeCell ref="H17:I17"/>
    <mergeCell ref="B18:G18"/>
    <mergeCell ref="H18:I18"/>
    <mergeCell ref="B19:G19"/>
    <mergeCell ref="H19:I19"/>
    <mergeCell ref="H20:I20"/>
    <mergeCell ref="B20:G20"/>
    <mergeCell ref="B21:G21"/>
    <mergeCell ref="H21:I21"/>
    <mergeCell ref="B22:G22"/>
    <mergeCell ref="H22:I22"/>
    <mergeCell ref="B23:G23"/>
    <mergeCell ref="H23:I23"/>
    <mergeCell ref="B8:G8"/>
    <mergeCell ref="H8:I8"/>
    <mergeCell ref="B9:G9"/>
    <mergeCell ref="H9:I9"/>
    <mergeCell ref="F13:G13"/>
    <mergeCell ref="H13:I13"/>
    <mergeCell ref="B10:G10"/>
    <mergeCell ref="H10:I10"/>
    <mergeCell ref="A11:I11"/>
    <mergeCell ref="A12:E12"/>
    <mergeCell ref="F12:G12"/>
    <mergeCell ref="H12:I12"/>
    <mergeCell ref="A13:E13"/>
    <mergeCell ref="A1:I1"/>
    <mergeCell ref="A2:I2"/>
    <mergeCell ref="A3:E3"/>
    <mergeCell ref="F3:I3"/>
    <mergeCell ref="A4:E4"/>
    <mergeCell ref="F4:I4"/>
    <mergeCell ref="A5:I5"/>
    <mergeCell ref="A6:I6"/>
    <mergeCell ref="B7:G7"/>
    <mergeCell ref="H7:I7"/>
  </mergeCells>
  <pageMargins left="0.70866141732283472" right="0.70866141732283472" top="0.74803149606299213" bottom="0.74803149606299213" header="0.31496062992125984" footer="0.31496062992125984"/>
  <pageSetup scale="65" orientation="portrait" r:id="rId1"/>
  <rowBreaks count="4" manualBreakCount="4">
    <brk id="45" max="16383" man="1"/>
    <brk id="86" max="16383" man="1"/>
    <brk id="118" max="16383" man="1"/>
    <brk id="163" max="28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view="pageBreakPreview" topLeftCell="A70" zoomScaleNormal="100" zoomScaleSheetLayoutView="100" workbookViewId="0">
      <selection activeCell="A2" sqref="A2:I2"/>
    </sheetView>
  </sheetViews>
  <sheetFormatPr defaultColWidth="12.5703125" defaultRowHeight="15" customHeight="1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9.85546875" customWidth="1"/>
    <col min="8" max="8" width="11.28515625" customWidth="1"/>
    <col min="9" max="9" width="14.5703125" customWidth="1"/>
    <col min="10" max="10" width="10.7109375" customWidth="1"/>
    <col min="11" max="11" width="11.140625" customWidth="1"/>
    <col min="12" max="12" width="7.42578125" customWidth="1"/>
    <col min="13" max="13" width="6.5703125" customWidth="1"/>
    <col min="14" max="15" width="9.28515625" customWidth="1"/>
    <col min="16" max="16" width="9.140625" customWidth="1"/>
  </cols>
  <sheetData>
    <row r="1" spans="1:16" ht="32.25" customHeight="1">
      <c r="A1" s="492" t="s">
        <v>424</v>
      </c>
      <c r="B1" s="493"/>
      <c r="C1" s="493"/>
      <c r="D1" s="493"/>
      <c r="E1" s="493"/>
      <c r="F1" s="493"/>
      <c r="G1" s="493"/>
      <c r="H1" s="493"/>
      <c r="I1" s="494"/>
      <c r="J1" s="24"/>
      <c r="K1" s="24"/>
      <c r="L1" s="24"/>
      <c r="M1" s="24"/>
      <c r="N1" s="24"/>
      <c r="O1" s="24"/>
      <c r="P1" s="24"/>
    </row>
    <row r="2" spans="1:16" ht="41.25" customHeight="1">
      <c r="A2" s="277" t="s">
        <v>434</v>
      </c>
      <c r="B2" s="278"/>
      <c r="C2" s="278"/>
      <c r="D2" s="278"/>
      <c r="E2" s="278"/>
      <c r="F2" s="278"/>
      <c r="G2" s="278"/>
      <c r="H2" s="278"/>
      <c r="I2" s="279"/>
      <c r="J2" s="24"/>
      <c r="K2" s="24"/>
      <c r="L2" s="24"/>
      <c r="M2" s="24"/>
      <c r="N2" s="24"/>
      <c r="O2" s="24"/>
      <c r="P2" s="24"/>
    </row>
    <row r="3" spans="1:16" ht="15.75" customHeight="1">
      <c r="A3" s="280" t="s">
        <v>43</v>
      </c>
      <c r="B3" s="276"/>
      <c r="C3" s="276"/>
      <c r="D3" s="276"/>
      <c r="E3" s="270"/>
      <c r="F3" s="281" t="s">
        <v>396</v>
      </c>
      <c r="G3" s="276"/>
      <c r="H3" s="276"/>
      <c r="I3" s="270"/>
      <c r="J3" s="24"/>
      <c r="K3" s="24"/>
      <c r="L3" s="24"/>
      <c r="M3" s="24"/>
      <c r="N3" s="24"/>
      <c r="O3" s="24"/>
      <c r="P3" s="24"/>
    </row>
    <row r="4" spans="1:16" ht="15.75" customHeight="1">
      <c r="A4" s="282" t="s">
        <v>44</v>
      </c>
      <c r="B4" s="278"/>
      <c r="C4" s="278"/>
      <c r="D4" s="278"/>
      <c r="E4" s="279"/>
      <c r="F4" s="283" t="s">
        <v>397</v>
      </c>
      <c r="G4" s="284"/>
      <c r="H4" s="284"/>
      <c r="I4" s="285"/>
      <c r="J4" s="24"/>
      <c r="K4" s="24"/>
      <c r="L4" s="24"/>
      <c r="M4" s="24"/>
      <c r="N4" s="24"/>
      <c r="O4" s="24"/>
      <c r="P4" s="24"/>
    </row>
    <row r="5" spans="1:16" ht="14.25" customHeight="1">
      <c r="A5" s="282" t="s">
        <v>45</v>
      </c>
      <c r="B5" s="278"/>
      <c r="C5" s="278"/>
      <c r="D5" s="278"/>
      <c r="E5" s="278"/>
      <c r="F5" s="278"/>
      <c r="G5" s="278"/>
      <c r="H5" s="278"/>
      <c r="I5" s="279"/>
      <c r="J5" s="24"/>
      <c r="K5" s="24"/>
      <c r="L5" s="24"/>
      <c r="M5" s="24"/>
      <c r="N5" s="24"/>
      <c r="O5" s="24"/>
      <c r="P5" s="24"/>
    </row>
    <row r="6" spans="1:16" ht="20.25" customHeight="1">
      <c r="A6" s="286" t="s">
        <v>46</v>
      </c>
      <c r="B6" s="278"/>
      <c r="C6" s="278"/>
      <c r="D6" s="278"/>
      <c r="E6" s="278"/>
      <c r="F6" s="278"/>
      <c r="G6" s="278"/>
      <c r="H6" s="278"/>
      <c r="I6" s="279"/>
      <c r="J6" s="24"/>
      <c r="K6" s="24"/>
      <c r="L6" s="24"/>
      <c r="M6" s="24"/>
      <c r="N6" s="24"/>
      <c r="O6" s="24"/>
      <c r="P6" s="24"/>
    </row>
    <row r="7" spans="1:16" ht="15.75" customHeight="1">
      <c r="A7" s="25" t="s">
        <v>47</v>
      </c>
      <c r="B7" s="282" t="s">
        <v>48</v>
      </c>
      <c r="C7" s="278"/>
      <c r="D7" s="278"/>
      <c r="E7" s="278"/>
      <c r="F7" s="278"/>
      <c r="G7" s="279"/>
      <c r="H7" s="287"/>
      <c r="I7" s="279"/>
      <c r="J7" s="24"/>
      <c r="K7" s="24"/>
      <c r="L7" s="24"/>
      <c r="M7" s="24"/>
      <c r="N7" s="24"/>
      <c r="O7" s="24"/>
      <c r="P7" s="24"/>
    </row>
    <row r="8" spans="1:16" ht="15.75" customHeight="1">
      <c r="A8" s="25" t="s">
        <v>49</v>
      </c>
      <c r="B8" s="282" t="s">
        <v>50</v>
      </c>
      <c r="C8" s="278"/>
      <c r="D8" s="278"/>
      <c r="E8" s="278"/>
      <c r="F8" s="278"/>
      <c r="G8" s="279"/>
      <c r="H8" s="288" t="s">
        <v>9</v>
      </c>
      <c r="I8" s="279"/>
      <c r="J8" s="24"/>
      <c r="K8" s="24"/>
      <c r="L8" s="24"/>
      <c r="M8" s="24"/>
      <c r="N8" s="24"/>
      <c r="O8" s="24"/>
      <c r="P8" s="24"/>
    </row>
    <row r="9" spans="1:16" ht="19.5" customHeight="1">
      <c r="A9" s="25" t="s">
        <v>51</v>
      </c>
      <c r="B9" s="282" t="s">
        <v>52</v>
      </c>
      <c r="C9" s="278"/>
      <c r="D9" s="278"/>
      <c r="E9" s="278"/>
      <c r="F9" s="278"/>
      <c r="G9" s="279"/>
      <c r="H9" s="288" t="s">
        <v>53</v>
      </c>
      <c r="I9" s="279"/>
      <c r="J9" s="24"/>
      <c r="K9" s="24"/>
      <c r="L9" s="24"/>
      <c r="M9" s="24"/>
      <c r="N9" s="24"/>
      <c r="O9" s="24"/>
      <c r="P9" s="24"/>
    </row>
    <row r="10" spans="1:16" ht="34.5" customHeight="1">
      <c r="A10" s="25" t="s">
        <v>54</v>
      </c>
      <c r="B10" s="282" t="s">
        <v>55</v>
      </c>
      <c r="C10" s="278"/>
      <c r="D10" s="278"/>
      <c r="E10" s="278"/>
      <c r="F10" s="278"/>
      <c r="G10" s="279"/>
      <c r="H10" s="288">
        <v>12</v>
      </c>
      <c r="I10" s="279"/>
      <c r="J10" s="24"/>
      <c r="K10" s="26"/>
      <c r="L10" s="24"/>
      <c r="M10" s="24"/>
      <c r="N10" s="24"/>
      <c r="O10" s="24"/>
      <c r="P10" s="24"/>
    </row>
    <row r="11" spans="1:16" ht="21" customHeight="1">
      <c r="A11" s="291" t="s">
        <v>56</v>
      </c>
      <c r="B11" s="278"/>
      <c r="C11" s="278"/>
      <c r="D11" s="278"/>
      <c r="E11" s="278"/>
      <c r="F11" s="278"/>
      <c r="G11" s="278"/>
      <c r="H11" s="278"/>
      <c r="I11" s="279"/>
      <c r="J11" s="24"/>
      <c r="K11" s="24"/>
      <c r="L11" s="24"/>
      <c r="M11" s="24"/>
      <c r="N11" s="24"/>
      <c r="O11" s="24"/>
      <c r="P11" s="24"/>
    </row>
    <row r="12" spans="1:16" ht="50.25" customHeight="1">
      <c r="A12" s="292" t="s">
        <v>57</v>
      </c>
      <c r="B12" s="278"/>
      <c r="C12" s="278"/>
      <c r="D12" s="278"/>
      <c r="E12" s="293"/>
      <c r="F12" s="292" t="s">
        <v>58</v>
      </c>
      <c r="G12" s="279"/>
      <c r="H12" s="292" t="s">
        <v>59</v>
      </c>
      <c r="I12" s="279"/>
      <c r="J12" s="24"/>
      <c r="K12" s="24"/>
      <c r="L12" s="24"/>
      <c r="M12" s="24"/>
      <c r="N12" s="24"/>
      <c r="O12" s="24"/>
      <c r="P12" s="24"/>
    </row>
    <row r="13" spans="1:16" ht="24.75" customHeight="1">
      <c r="A13" s="294" t="s">
        <v>253</v>
      </c>
      <c r="B13" s="278"/>
      <c r="C13" s="278"/>
      <c r="D13" s="278"/>
      <c r="E13" s="279"/>
      <c r="F13" s="289" t="s">
        <v>61</v>
      </c>
      <c r="G13" s="279"/>
      <c r="H13" s="290">
        <v>1</v>
      </c>
      <c r="I13" s="279"/>
      <c r="J13" s="24"/>
      <c r="K13" s="24"/>
      <c r="L13" s="24"/>
      <c r="M13" s="24"/>
      <c r="N13" s="24"/>
      <c r="O13" s="24"/>
      <c r="P13" s="24"/>
    </row>
    <row r="14" spans="1:16" ht="12.75" customHeight="1">
      <c r="A14" s="297" t="s">
        <v>62</v>
      </c>
      <c r="B14" s="278"/>
      <c r="C14" s="278"/>
      <c r="D14" s="278"/>
      <c r="E14" s="278"/>
      <c r="F14" s="278"/>
      <c r="G14" s="279"/>
      <c r="H14" s="298">
        <f>SUM(H13)</f>
        <v>1</v>
      </c>
      <c r="I14" s="279"/>
      <c r="J14" s="24"/>
      <c r="K14" s="24"/>
      <c r="L14" s="24"/>
      <c r="M14" s="24"/>
      <c r="N14" s="24"/>
      <c r="O14" s="24"/>
      <c r="P14" s="24"/>
    </row>
    <row r="15" spans="1:16" ht="51.75" customHeight="1">
      <c r="A15" s="300" t="s">
        <v>254</v>
      </c>
      <c r="B15" s="278"/>
      <c r="C15" s="278"/>
      <c r="D15" s="278"/>
      <c r="E15" s="278"/>
      <c r="F15" s="278"/>
      <c r="G15" s="278"/>
      <c r="H15" s="278"/>
      <c r="I15" s="279"/>
      <c r="J15" s="27"/>
      <c r="K15" s="28"/>
      <c r="L15" s="29"/>
      <c r="M15" s="24"/>
      <c r="N15" s="24"/>
      <c r="O15" s="24"/>
      <c r="P15" s="24"/>
    </row>
    <row r="16" spans="1:16" ht="21.75" customHeight="1">
      <c r="A16" s="286" t="s">
        <v>64</v>
      </c>
      <c r="B16" s="278"/>
      <c r="C16" s="278"/>
      <c r="D16" s="278"/>
      <c r="E16" s="278"/>
      <c r="F16" s="278"/>
      <c r="G16" s="278"/>
      <c r="H16" s="278"/>
      <c r="I16" s="279"/>
      <c r="J16" s="295"/>
      <c r="K16" s="296"/>
      <c r="L16" s="296"/>
      <c r="M16" s="296"/>
      <c r="N16" s="296"/>
      <c r="O16" s="296"/>
      <c r="P16" s="296"/>
    </row>
    <row r="17" spans="1:16" ht="27" customHeight="1">
      <c r="A17" s="25">
        <v>1</v>
      </c>
      <c r="B17" s="302" t="s">
        <v>65</v>
      </c>
      <c r="C17" s="278"/>
      <c r="D17" s="278"/>
      <c r="E17" s="278"/>
      <c r="F17" s="278"/>
      <c r="G17" s="279"/>
      <c r="H17" s="305" t="s">
        <v>66</v>
      </c>
      <c r="I17" s="279"/>
      <c r="J17" s="24"/>
      <c r="K17" s="24"/>
      <c r="L17" s="24"/>
      <c r="M17" s="24"/>
      <c r="N17" s="24"/>
      <c r="O17" s="24"/>
      <c r="P17" s="24"/>
    </row>
    <row r="18" spans="1:16" ht="19.5" customHeight="1">
      <c r="A18" s="13">
        <v>2</v>
      </c>
      <c r="B18" s="302" t="s">
        <v>67</v>
      </c>
      <c r="C18" s="278"/>
      <c r="D18" s="278"/>
      <c r="E18" s="278"/>
      <c r="F18" s="278"/>
      <c r="G18" s="279"/>
      <c r="H18" s="306" t="s">
        <v>68</v>
      </c>
      <c r="I18" s="279"/>
      <c r="J18" s="24"/>
      <c r="K18" s="24"/>
      <c r="L18" s="24"/>
      <c r="M18" s="24"/>
      <c r="N18" s="24"/>
      <c r="O18" s="24"/>
      <c r="P18" s="24"/>
    </row>
    <row r="19" spans="1:16" ht="15.75" customHeight="1">
      <c r="A19" s="25">
        <v>3</v>
      </c>
      <c r="B19" s="302" t="s">
        <v>69</v>
      </c>
      <c r="C19" s="278"/>
      <c r="D19" s="278"/>
      <c r="E19" s="278"/>
      <c r="F19" s="278"/>
      <c r="G19" s="279"/>
      <c r="H19" s="501">
        <f>Consolidação!D10</f>
        <v>1977.8</v>
      </c>
      <c r="I19" s="502"/>
      <c r="J19" s="24"/>
      <c r="K19" s="24"/>
      <c r="L19" s="24"/>
      <c r="M19" s="24"/>
      <c r="N19" s="24"/>
      <c r="O19" s="24"/>
      <c r="P19" s="24"/>
    </row>
    <row r="20" spans="1:16" ht="15.75" customHeight="1">
      <c r="A20" s="13">
        <v>4</v>
      </c>
      <c r="B20" s="302" t="s">
        <v>70</v>
      </c>
      <c r="C20" s="278"/>
      <c r="D20" s="278"/>
      <c r="E20" s="278"/>
      <c r="F20" s="278"/>
      <c r="G20" s="279"/>
      <c r="H20" s="309" t="s">
        <v>71</v>
      </c>
      <c r="I20" s="279"/>
      <c r="J20" s="24"/>
      <c r="K20" s="24"/>
      <c r="L20" s="24"/>
      <c r="M20" s="24"/>
      <c r="N20" s="24"/>
      <c r="O20" s="24"/>
      <c r="P20" s="24"/>
    </row>
    <row r="21" spans="1:16" ht="15.75" customHeight="1">
      <c r="A21" s="25">
        <v>5</v>
      </c>
      <c r="B21" s="302" t="s">
        <v>72</v>
      </c>
      <c r="C21" s="278"/>
      <c r="D21" s="278"/>
      <c r="E21" s="278"/>
      <c r="F21" s="278"/>
      <c r="G21" s="279"/>
      <c r="H21" s="310" t="s">
        <v>53</v>
      </c>
      <c r="I21" s="279"/>
      <c r="J21" s="24"/>
      <c r="K21" s="24"/>
      <c r="L21" s="24"/>
      <c r="M21" s="24"/>
      <c r="N21" s="24"/>
      <c r="O21" s="24"/>
      <c r="P21" s="24"/>
    </row>
    <row r="22" spans="1:16" ht="27" customHeight="1">
      <c r="A22" s="13">
        <v>6</v>
      </c>
      <c r="B22" s="302" t="s">
        <v>255</v>
      </c>
      <c r="C22" s="278"/>
      <c r="D22" s="278"/>
      <c r="E22" s="278"/>
      <c r="F22" s="278"/>
      <c r="G22" s="279"/>
      <c r="H22" s="495">
        <f>ROUND((H19/220),2)</f>
        <v>8.99</v>
      </c>
      <c r="I22" s="279"/>
    </row>
    <row r="23" spans="1:16" ht="23.25" customHeight="1">
      <c r="A23" s="25">
        <v>7</v>
      </c>
      <c r="B23" s="302" t="s">
        <v>256</v>
      </c>
      <c r="C23" s="278"/>
      <c r="D23" s="278"/>
      <c r="E23" s="278"/>
      <c r="F23" s="278"/>
      <c r="G23" s="279"/>
      <c r="H23" s="499">
        <f>TRUNC(H22*1.5,2)</f>
        <v>13.48</v>
      </c>
      <c r="I23" s="279"/>
    </row>
    <row r="24" spans="1:16" ht="26.25" customHeight="1">
      <c r="A24" s="13">
        <v>8</v>
      </c>
      <c r="B24" s="302" t="s">
        <v>257</v>
      </c>
      <c r="C24" s="278"/>
      <c r="D24" s="278"/>
      <c r="E24" s="278"/>
      <c r="F24" s="278"/>
      <c r="G24" s="279"/>
      <c r="H24" s="495">
        <f>ROUND(H22*0.2,2)</f>
        <v>1.8</v>
      </c>
      <c r="I24" s="279"/>
    </row>
    <row r="25" spans="1:16" ht="16.5" customHeight="1">
      <c r="A25" s="25">
        <v>9</v>
      </c>
      <c r="B25" s="302" t="s">
        <v>76</v>
      </c>
      <c r="C25" s="278"/>
      <c r="D25" s="278"/>
      <c r="E25" s="278"/>
      <c r="F25" s="278"/>
      <c r="G25" s="279"/>
      <c r="H25" s="495">
        <f>ROUND(H22/6,2)</f>
        <v>1.5</v>
      </c>
      <c r="I25" s="279"/>
    </row>
    <row r="26" spans="1:16" ht="16.5" customHeight="1">
      <c r="A26" s="13">
        <v>10</v>
      </c>
      <c r="B26" s="441" t="s">
        <v>258</v>
      </c>
      <c r="C26" s="278"/>
      <c r="D26" s="278"/>
      <c r="E26" s="278"/>
      <c r="F26" s="278"/>
      <c r="G26" s="279"/>
      <c r="H26" s="500">
        <v>22</v>
      </c>
      <c r="I26" s="279"/>
    </row>
    <row r="27" spans="1:16" ht="15.75" customHeight="1">
      <c r="A27" s="25">
        <v>11</v>
      </c>
      <c r="B27" s="312" t="s">
        <v>77</v>
      </c>
      <c r="C27" s="278"/>
      <c r="D27" s="278"/>
      <c r="E27" s="278"/>
      <c r="F27" s="278"/>
      <c r="G27" s="279"/>
      <c r="H27" s="495">
        <v>1</v>
      </c>
      <c r="I27" s="279"/>
    </row>
    <row r="28" spans="1:16" ht="9" customHeight="1">
      <c r="A28" s="314"/>
      <c r="B28" s="278"/>
      <c r="C28" s="278"/>
      <c r="D28" s="278"/>
      <c r="E28" s="278"/>
      <c r="F28" s="278"/>
      <c r="G28" s="278"/>
      <c r="H28" s="278"/>
      <c r="I28" s="279"/>
      <c r="J28" s="24"/>
      <c r="K28" s="24"/>
      <c r="L28" s="24"/>
      <c r="M28" s="24"/>
      <c r="N28" s="24"/>
      <c r="O28" s="24"/>
      <c r="P28" s="24"/>
    </row>
    <row r="29" spans="1:16" ht="21.75" customHeight="1">
      <c r="A29" s="496" t="s">
        <v>78</v>
      </c>
      <c r="B29" s="497"/>
      <c r="C29" s="497"/>
      <c r="D29" s="497"/>
      <c r="E29" s="497"/>
      <c r="F29" s="497"/>
      <c r="G29" s="497"/>
      <c r="H29" s="497"/>
      <c r="I29" s="498"/>
      <c r="J29" s="24"/>
      <c r="K29" s="24"/>
      <c r="L29" s="24"/>
      <c r="M29" s="24"/>
      <c r="N29" s="24"/>
      <c r="O29" s="24"/>
      <c r="P29" s="24"/>
    </row>
    <row r="30" spans="1:16" ht="9" customHeight="1">
      <c r="A30" s="316"/>
      <c r="B30" s="278"/>
      <c r="C30" s="278"/>
      <c r="D30" s="278"/>
      <c r="E30" s="278"/>
      <c r="F30" s="278"/>
      <c r="G30" s="278"/>
      <c r="H30" s="278"/>
      <c r="I30" s="279"/>
      <c r="J30" s="24"/>
      <c r="K30" s="24"/>
      <c r="L30" s="24"/>
      <c r="M30" s="24"/>
      <c r="N30" s="24"/>
      <c r="O30" s="24"/>
      <c r="P30" s="24"/>
    </row>
    <row r="31" spans="1:16" ht="20.25" customHeight="1">
      <c r="A31" s="317" t="s">
        <v>79</v>
      </c>
      <c r="B31" s="278"/>
      <c r="C31" s="278"/>
      <c r="D31" s="278"/>
      <c r="E31" s="278"/>
      <c r="F31" s="278"/>
      <c r="G31" s="278"/>
      <c r="H31" s="278"/>
      <c r="I31" s="279"/>
      <c r="J31" s="24"/>
      <c r="K31" s="24"/>
      <c r="L31" s="24"/>
      <c r="M31" s="24"/>
      <c r="N31" s="24"/>
      <c r="O31" s="24"/>
      <c r="P31" s="24"/>
    </row>
    <row r="32" spans="1:16" ht="30" customHeight="1">
      <c r="A32" s="31">
        <v>1</v>
      </c>
      <c r="B32" s="318" t="s">
        <v>80</v>
      </c>
      <c r="C32" s="278"/>
      <c r="D32" s="278"/>
      <c r="E32" s="278"/>
      <c r="F32" s="278"/>
      <c r="G32" s="279"/>
      <c r="H32" s="32" t="s">
        <v>81</v>
      </c>
      <c r="I32" s="31" t="s">
        <v>82</v>
      </c>
      <c r="J32" s="33"/>
      <c r="K32" s="33"/>
      <c r="L32" s="33"/>
      <c r="M32" s="33"/>
      <c r="N32" s="33"/>
      <c r="O32" s="33"/>
      <c r="P32" s="33"/>
    </row>
    <row r="33" spans="1:16" ht="24.75" customHeight="1">
      <c r="A33" s="25" t="s">
        <v>47</v>
      </c>
      <c r="B33" s="282" t="s">
        <v>416</v>
      </c>
      <c r="C33" s="278"/>
      <c r="D33" s="278"/>
      <c r="E33" s="278"/>
      <c r="F33" s="278"/>
      <c r="G33" s="278"/>
      <c r="H33" s="279"/>
      <c r="I33" s="34">
        <f>200*H22</f>
        <v>1798</v>
      </c>
      <c r="J33" s="24"/>
      <c r="K33" s="24"/>
      <c r="L33" s="24"/>
      <c r="M33" s="24"/>
      <c r="N33" s="24"/>
      <c r="O33" s="24"/>
      <c r="P33" s="24"/>
    </row>
    <row r="34" spans="1:16" ht="33" customHeight="1">
      <c r="A34" s="25" t="s">
        <v>49</v>
      </c>
      <c r="B34" s="451" t="s">
        <v>415</v>
      </c>
      <c r="C34" s="426"/>
      <c r="D34" s="426"/>
      <c r="E34" s="426"/>
      <c r="F34" s="426"/>
      <c r="G34" s="426"/>
      <c r="H34" s="427"/>
      <c r="I34" s="34">
        <f>ROUND(H25*H27*H26,2)</f>
        <v>33</v>
      </c>
      <c r="J34" s="24"/>
      <c r="K34" s="24"/>
      <c r="L34" s="24"/>
      <c r="M34" s="24"/>
      <c r="N34" s="24"/>
      <c r="O34" s="24"/>
      <c r="P34" s="24"/>
    </row>
    <row r="35" spans="1:16" ht="39" customHeight="1">
      <c r="A35" s="25" t="s">
        <v>51</v>
      </c>
      <c r="B35" s="282" t="s">
        <v>259</v>
      </c>
      <c r="C35" s="278"/>
      <c r="D35" s="278"/>
      <c r="E35" s="278"/>
      <c r="F35" s="278"/>
      <c r="G35" s="279"/>
      <c r="H35" s="110">
        <v>0.3</v>
      </c>
      <c r="I35" s="34">
        <f>ROUND(SUM(I33:I34)*0.3,2)</f>
        <v>549.29999999999995</v>
      </c>
      <c r="J35" s="24"/>
      <c r="K35" s="24"/>
      <c r="L35" s="24"/>
      <c r="M35" s="24"/>
      <c r="N35" s="24"/>
      <c r="O35" s="24"/>
      <c r="P35" s="24"/>
    </row>
    <row r="36" spans="1:16" ht="27.75" customHeight="1">
      <c r="A36" s="286" t="s">
        <v>86</v>
      </c>
      <c r="B36" s="278"/>
      <c r="C36" s="278"/>
      <c r="D36" s="278"/>
      <c r="E36" s="278"/>
      <c r="F36" s="278"/>
      <c r="G36" s="278"/>
      <c r="H36" s="279"/>
      <c r="I36" s="36">
        <f>SUM(I33:I35)</f>
        <v>2380.3000000000002</v>
      </c>
      <c r="J36" s="24"/>
      <c r="K36" s="24"/>
      <c r="L36" s="24"/>
      <c r="M36" s="24"/>
      <c r="N36" s="24"/>
      <c r="O36" s="24"/>
      <c r="P36" s="24"/>
    </row>
    <row r="37" spans="1:16" ht="9.75" customHeight="1">
      <c r="A37" s="322"/>
      <c r="B37" s="278"/>
      <c r="C37" s="278"/>
      <c r="D37" s="278"/>
      <c r="E37" s="278"/>
      <c r="F37" s="278"/>
      <c r="G37" s="278"/>
      <c r="H37" s="278"/>
      <c r="I37" s="279"/>
      <c r="J37" s="24"/>
      <c r="K37" s="24"/>
      <c r="L37" s="24"/>
      <c r="M37" s="24"/>
      <c r="N37" s="24"/>
      <c r="O37" s="24"/>
      <c r="P37" s="24"/>
    </row>
    <row r="38" spans="1:16" ht="29.25" customHeight="1">
      <c r="A38" s="25" t="s">
        <v>87</v>
      </c>
      <c r="B38" s="302" t="s">
        <v>260</v>
      </c>
      <c r="C38" s="278"/>
      <c r="D38" s="278"/>
      <c r="E38" s="278"/>
      <c r="F38" s="278"/>
      <c r="G38" s="278"/>
      <c r="H38" s="279"/>
      <c r="I38" s="34">
        <f>ROUND(H23*H26*H27*0.5,2)</f>
        <v>148.28</v>
      </c>
      <c r="J38" s="24"/>
      <c r="K38" s="24"/>
      <c r="L38" s="37"/>
      <c r="M38" s="24"/>
      <c r="N38" s="24"/>
      <c r="O38" s="24"/>
      <c r="P38" s="24"/>
    </row>
    <row r="39" spans="1:16" ht="15.75" customHeight="1">
      <c r="A39" s="405" t="s">
        <v>395</v>
      </c>
      <c r="B39" s="452"/>
      <c r="C39" s="452"/>
      <c r="D39" s="452"/>
      <c r="E39" s="452"/>
      <c r="F39" s="452"/>
      <c r="G39" s="452"/>
      <c r="H39" s="452"/>
      <c r="I39" s="453"/>
      <c r="J39" s="24"/>
      <c r="K39" s="24"/>
      <c r="L39" s="24"/>
      <c r="M39" s="24"/>
      <c r="N39" s="24"/>
      <c r="O39" s="24"/>
      <c r="P39" s="24"/>
    </row>
    <row r="40" spans="1:16" ht="45" customHeight="1">
      <c r="A40" s="326" t="s">
        <v>261</v>
      </c>
      <c r="B40" s="278"/>
      <c r="C40" s="278"/>
      <c r="D40" s="278"/>
      <c r="E40" s="278"/>
      <c r="F40" s="278"/>
      <c r="G40" s="278"/>
      <c r="H40" s="279"/>
      <c r="I40" s="38">
        <f>SUM(I36+I38)</f>
        <v>2528.5800000000004</v>
      </c>
      <c r="J40" s="24"/>
      <c r="K40" s="24"/>
      <c r="L40" s="24"/>
      <c r="M40" s="24"/>
      <c r="N40" s="24"/>
      <c r="O40" s="24"/>
      <c r="P40" s="24"/>
    </row>
    <row r="41" spans="1:16" ht="9" customHeight="1">
      <c r="A41" s="322"/>
      <c r="B41" s="278"/>
      <c r="C41" s="278"/>
      <c r="D41" s="278"/>
      <c r="E41" s="278"/>
      <c r="F41" s="278"/>
      <c r="G41" s="278"/>
      <c r="H41" s="278"/>
      <c r="I41" s="279"/>
      <c r="J41" s="24"/>
      <c r="K41" s="24"/>
      <c r="L41" s="24"/>
      <c r="M41" s="24"/>
      <c r="N41" s="24"/>
      <c r="O41" s="24"/>
      <c r="P41" s="24"/>
    </row>
    <row r="42" spans="1:16" ht="17.25" customHeight="1">
      <c r="A42" s="327" t="s">
        <v>90</v>
      </c>
      <c r="B42" s="278"/>
      <c r="C42" s="278"/>
      <c r="D42" s="278"/>
      <c r="E42" s="278"/>
      <c r="F42" s="278"/>
      <c r="G42" s="278"/>
      <c r="H42" s="278"/>
      <c r="I42" s="279"/>
      <c r="J42" s="24"/>
      <c r="K42" s="24"/>
      <c r="L42" s="24"/>
      <c r="M42" s="24"/>
      <c r="N42" s="24"/>
      <c r="O42" s="24"/>
      <c r="P42" s="24"/>
    </row>
    <row r="43" spans="1:16" ht="8.25" customHeight="1">
      <c r="A43" s="328"/>
      <c r="B43" s="278"/>
      <c r="C43" s="278"/>
      <c r="D43" s="278"/>
      <c r="E43" s="278"/>
      <c r="F43" s="278"/>
      <c r="G43" s="278"/>
      <c r="H43" s="278"/>
      <c r="I43" s="279"/>
      <c r="J43" s="24"/>
      <c r="K43" s="24"/>
      <c r="L43" s="24"/>
      <c r="M43" s="24"/>
      <c r="N43" s="24"/>
      <c r="O43" s="24"/>
      <c r="P43" s="24"/>
    </row>
    <row r="44" spans="1:16" ht="27" customHeight="1">
      <c r="A44" s="329" t="s">
        <v>91</v>
      </c>
      <c r="B44" s="278"/>
      <c r="C44" s="278"/>
      <c r="D44" s="278"/>
      <c r="E44" s="278"/>
      <c r="F44" s="278"/>
      <c r="G44" s="278"/>
      <c r="H44" s="278"/>
      <c r="I44" s="279"/>
      <c r="J44" s="24"/>
      <c r="K44" s="24"/>
      <c r="L44" s="24"/>
      <c r="M44" s="24"/>
      <c r="N44" s="24"/>
      <c r="O44" s="24"/>
      <c r="P44" s="24"/>
    </row>
    <row r="45" spans="1:16" ht="27" customHeight="1">
      <c r="A45" s="330" t="s">
        <v>262</v>
      </c>
      <c r="B45" s="278"/>
      <c r="C45" s="278"/>
      <c r="D45" s="278"/>
      <c r="E45" s="278"/>
      <c r="F45" s="278"/>
      <c r="G45" s="278"/>
      <c r="H45" s="278"/>
      <c r="I45" s="279"/>
      <c r="J45" s="24"/>
      <c r="K45" s="24"/>
      <c r="L45" s="24"/>
      <c r="M45" s="24"/>
      <c r="N45" s="24"/>
      <c r="O45" s="24"/>
      <c r="P45" s="24"/>
    </row>
    <row r="46" spans="1:16" ht="22.5" customHeight="1">
      <c r="A46" s="39" t="s">
        <v>93</v>
      </c>
      <c r="B46" s="331" t="s">
        <v>263</v>
      </c>
      <c r="C46" s="278"/>
      <c r="D46" s="278"/>
      <c r="E46" s="278"/>
      <c r="F46" s="278"/>
      <c r="G46" s="278"/>
      <c r="H46" s="279"/>
      <c r="I46" s="40" t="s">
        <v>95</v>
      </c>
      <c r="J46" s="24"/>
      <c r="K46" s="24"/>
      <c r="L46" s="24"/>
      <c r="M46" s="24"/>
      <c r="N46" s="24"/>
      <c r="O46" s="24"/>
      <c r="P46" s="24"/>
    </row>
    <row r="47" spans="1:16" ht="27" customHeight="1">
      <c r="A47" s="39" t="s">
        <v>47</v>
      </c>
      <c r="B47" s="302" t="s">
        <v>264</v>
      </c>
      <c r="C47" s="278"/>
      <c r="D47" s="278"/>
      <c r="E47" s="278"/>
      <c r="F47" s="278"/>
      <c r="G47" s="279"/>
      <c r="H47" s="41">
        <v>8.3299999999999999E-2</v>
      </c>
      <c r="I47" s="42">
        <f>ROUND(I36*H47,2)</f>
        <v>198.28</v>
      </c>
      <c r="J47" s="24"/>
      <c r="K47" s="24"/>
      <c r="L47" s="24"/>
      <c r="M47" s="24"/>
      <c r="N47" s="24"/>
      <c r="O47" s="24"/>
      <c r="P47" s="24"/>
    </row>
    <row r="48" spans="1:16" ht="111" customHeight="1">
      <c r="A48" s="39" t="s">
        <v>49</v>
      </c>
      <c r="B48" s="503" t="s">
        <v>265</v>
      </c>
      <c r="C48" s="278"/>
      <c r="D48" s="278"/>
      <c r="E48" s="278"/>
      <c r="F48" s="278"/>
      <c r="G48" s="279"/>
      <c r="H48" s="43">
        <v>3.0249999999999999E-2</v>
      </c>
      <c r="I48" s="42">
        <f>ROUND(I36*H48,2)</f>
        <v>72</v>
      </c>
      <c r="J48" s="24"/>
      <c r="K48" s="24"/>
      <c r="L48" s="24"/>
      <c r="M48" s="24"/>
      <c r="N48" s="24"/>
      <c r="O48" s="24"/>
      <c r="P48" s="24"/>
    </row>
    <row r="49" spans="1:16" ht="15.75" customHeight="1">
      <c r="A49" s="335" t="s">
        <v>98</v>
      </c>
      <c r="B49" s="278"/>
      <c r="C49" s="278"/>
      <c r="D49" s="278"/>
      <c r="E49" s="278"/>
      <c r="F49" s="278"/>
      <c r="G49" s="278"/>
      <c r="H49" s="279"/>
      <c r="I49" s="44">
        <f>SUM(I47+I48)</f>
        <v>270.27999999999997</v>
      </c>
      <c r="J49" s="24"/>
      <c r="K49" s="24"/>
      <c r="L49" s="24"/>
      <c r="M49" s="24"/>
      <c r="N49" s="24"/>
      <c r="O49" s="24"/>
      <c r="P49" s="24"/>
    </row>
    <row r="50" spans="1:16" ht="79.5" customHeight="1">
      <c r="A50" s="315" t="s">
        <v>266</v>
      </c>
      <c r="B50" s="278"/>
      <c r="C50" s="278"/>
      <c r="D50" s="278"/>
      <c r="E50" s="278"/>
      <c r="F50" s="278"/>
      <c r="G50" s="278"/>
      <c r="H50" s="278"/>
      <c r="I50" s="279"/>
      <c r="J50" s="24"/>
      <c r="K50" s="24"/>
      <c r="L50" s="24"/>
      <c r="M50" s="24"/>
      <c r="N50" s="24"/>
      <c r="O50" s="24"/>
      <c r="P50" s="24"/>
    </row>
    <row r="51" spans="1:16" ht="7.5" customHeight="1">
      <c r="A51" s="336"/>
      <c r="B51" s="278"/>
      <c r="C51" s="278"/>
      <c r="D51" s="278"/>
      <c r="E51" s="278"/>
      <c r="F51" s="278"/>
      <c r="G51" s="278"/>
      <c r="H51" s="278"/>
      <c r="I51" s="279"/>
      <c r="J51" s="24"/>
      <c r="K51" s="24"/>
      <c r="L51" s="24"/>
      <c r="M51" s="24"/>
      <c r="N51" s="24"/>
      <c r="O51" s="24"/>
      <c r="P51" s="24"/>
    </row>
    <row r="52" spans="1:16" ht="32.25" customHeight="1">
      <c r="A52" s="337" t="s">
        <v>391</v>
      </c>
      <c r="B52" s="278"/>
      <c r="C52" s="278"/>
      <c r="D52" s="278"/>
      <c r="E52" s="278"/>
      <c r="F52" s="278"/>
      <c r="G52" s="278"/>
      <c r="H52" s="278"/>
      <c r="I52" s="279"/>
      <c r="J52" s="24"/>
      <c r="K52" s="24"/>
      <c r="L52" s="24"/>
      <c r="M52" s="24"/>
      <c r="N52" s="24"/>
      <c r="O52" s="24"/>
      <c r="P52" s="24"/>
    </row>
    <row r="53" spans="1:16" ht="27" customHeight="1">
      <c r="A53" s="45" t="s">
        <v>100</v>
      </c>
      <c r="B53" s="338" t="s">
        <v>101</v>
      </c>
      <c r="C53" s="278"/>
      <c r="D53" s="278"/>
      <c r="E53" s="278"/>
      <c r="F53" s="278"/>
      <c r="G53" s="279"/>
      <c r="H53" s="46" t="s">
        <v>81</v>
      </c>
      <c r="I53" s="47" t="s">
        <v>102</v>
      </c>
      <c r="J53" s="24"/>
      <c r="K53" s="24"/>
      <c r="L53" s="24"/>
      <c r="M53" s="24"/>
      <c r="N53" s="24"/>
      <c r="O53" s="24"/>
      <c r="P53" s="24"/>
    </row>
    <row r="54" spans="1:16" ht="18.75" customHeight="1">
      <c r="A54" s="48" t="s">
        <v>47</v>
      </c>
      <c r="B54" s="302" t="s">
        <v>103</v>
      </c>
      <c r="C54" s="278"/>
      <c r="D54" s="278"/>
      <c r="E54" s="278"/>
      <c r="F54" s="278"/>
      <c r="G54" s="279"/>
      <c r="H54" s="49">
        <v>0.2</v>
      </c>
      <c r="I54" s="50">
        <f t="shared" ref="I54:I61" si="0">ROUND(($I$36+$I$49)*H54,2)</f>
        <v>530.12</v>
      </c>
      <c r="J54" s="24"/>
      <c r="K54" s="24"/>
      <c r="L54" s="24"/>
      <c r="M54" s="24"/>
      <c r="N54" s="24"/>
      <c r="O54" s="24"/>
      <c r="P54" s="24"/>
    </row>
    <row r="55" spans="1:16" ht="18.75" customHeight="1">
      <c r="A55" s="48" t="s">
        <v>49</v>
      </c>
      <c r="B55" s="302" t="s">
        <v>104</v>
      </c>
      <c r="C55" s="278"/>
      <c r="D55" s="278"/>
      <c r="E55" s="278"/>
      <c r="F55" s="278"/>
      <c r="G55" s="279"/>
      <c r="H55" s="49">
        <v>2.5000000000000001E-2</v>
      </c>
      <c r="I55" s="50">
        <f t="shared" si="0"/>
        <v>66.260000000000005</v>
      </c>
      <c r="J55" s="24"/>
      <c r="K55" s="24"/>
      <c r="L55" s="24"/>
      <c r="M55" s="24"/>
      <c r="N55" s="24"/>
      <c r="O55" s="24"/>
      <c r="P55" s="24"/>
    </row>
    <row r="56" spans="1:16" ht="56.25" customHeight="1">
      <c r="A56" s="48" t="s">
        <v>51</v>
      </c>
      <c r="B56" s="339" t="s">
        <v>267</v>
      </c>
      <c r="C56" s="279"/>
      <c r="D56" s="51" t="s">
        <v>106</v>
      </c>
      <c r="E56" s="52">
        <v>0.03</v>
      </c>
      <c r="F56" s="51" t="s">
        <v>107</v>
      </c>
      <c r="G56" s="144">
        <v>1</v>
      </c>
      <c r="H56" s="54">
        <f>ROUND((E56*G56),6)</f>
        <v>0.03</v>
      </c>
      <c r="I56" s="50">
        <f t="shared" si="0"/>
        <v>79.52</v>
      </c>
      <c r="J56" s="24"/>
      <c r="K56" s="24"/>
      <c r="L56" s="24"/>
      <c r="M56" s="24"/>
      <c r="N56" s="24"/>
      <c r="O56" s="24"/>
      <c r="P56" s="24"/>
    </row>
    <row r="57" spans="1:16" ht="15.75" customHeight="1">
      <c r="A57" s="48" t="s">
        <v>54</v>
      </c>
      <c r="B57" s="302" t="s">
        <v>108</v>
      </c>
      <c r="C57" s="278"/>
      <c r="D57" s="278"/>
      <c r="E57" s="278"/>
      <c r="F57" s="278"/>
      <c r="G57" s="279"/>
      <c r="H57" s="49">
        <v>1.4999999999999999E-2</v>
      </c>
      <c r="I57" s="50">
        <f t="shared" si="0"/>
        <v>39.76</v>
      </c>
      <c r="J57" s="24"/>
      <c r="K57" s="24"/>
      <c r="L57" s="24"/>
      <c r="M57" s="24"/>
      <c r="N57" s="24"/>
      <c r="O57" s="24"/>
      <c r="P57" s="24"/>
    </row>
    <row r="58" spans="1:16" ht="15.75" customHeight="1">
      <c r="A58" s="48" t="s">
        <v>109</v>
      </c>
      <c r="B58" s="302" t="s">
        <v>110</v>
      </c>
      <c r="C58" s="278"/>
      <c r="D58" s="278"/>
      <c r="E58" s="278"/>
      <c r="F58" s="278"/>
      <c r="G58" s="279"/>
      <c r="H58" s="49">
        <v>0.01</v>
      </c>
      <c r="I58" s="50">
        <f t="shared" si="0"/>
        <v>26.51</v>
      </c>
      <c r="J58" s="24"/>
      <c r="K58" s="24"/>
      <c r="L58" s="24"/>
      <c r="M58" s="24"/>
      <c r="N58" s="24"/>
      <c r="O58" s="24"/>
      <c r="P58" s="24"/>
    </row>
    <row r="59" spans="1:16" ht="15.75" customHeight="1">
      <c r="A59" s="48" t="s">
        <v>111</v>
      </c>
      <c r="B59" s="302" t="s">
        <v>112</v>
      </c>
      <c r="C59" s="278"/>
      <c r="D59" s="278"/>
      <c r="E59" s="278"/>
      <c r="F59" s="278"/>
      <c r="G59" s="279"/>
      <c r="H59" s="49">
        <v>6.0000000000000001E-3</v>
      </c>
      <c r="I59" s="50">
        <f t="shared" si="0"/>
        <v>15.9</v>
      </c>
      <c r="J59" s="24"/>
      <c r="K59" s="24"/>
      <c r="L59" s="24"/>
      <c r="M59" s="24"/>
      <c r="N59" s="24"/>
      <c r="O59" s="24"/>
      <c r="P59" s="24"/>
    </row>
    <row r="60" spans="1:16" ht="15.75" customHeight="1">
      <c r="A60" s="48" t="s">
        <v>113</v>
      </c>
      <c r="B60" s="302" t="s">
        <v>114</v>
      </c>
      <c r="C60" s="278"/>
      <c r="D60" s="278"/>
      <c r="E60" s="278"/>
      <c r="F60" s="278"/>
      <c r="G60" s="279"/>
      <c r="H60" s="49">
        <v>2E-3</v>
      </c>
      <c r="I60" s="50">
        <f t="shared" si="0"/>
        <v>5.3</v>
      </c>
      <c r="J60" s="24"/>
      <c r="K60" s="24"/>
      <c r="L60" s="24"/>
      <c r="M60" s="24"/>
      <c r="N60" s="24"/>
      <c r="O60" s="24"/>
      <c r="P60" s="24"/>
    </row>
    <row r="61" spans="1:16" ht="15.75" customHeight="1">
      <c r="A61" s="48" t="s">
        <v>87</v>
      </c>
      <c r="B61" s="302" t="s">
        <v>115</v>
      </c>
      <c r="C61" s="278"/>
      <c r="D61" s="278"/>
      <c r="E61" s="278"/>
      <c r="F61" s="278"/>
      <c r="G61" s="279"/>
      <c r="H61" s="49">
        <v>0.08</v>
      </c>
      <c r="I61" s="50">
        <f t="shared" si="0"/>
        <v>212.05</v>
      </c>
      <c r="J61" s="24"/>
      <c r="K61" s="24"/>
      <c r="L61" s="24"/>
      <c r="M61" s="24"/>
      <c r="N61" s="24"/>
      <c r="O61" s="24"/>
      <c r="P61" s="24"/>
    </row>
    <row r="62" spans="1:16" ht="15.75" customHeight="1">
      <c r="A62" s="340" t="s">
        <v>98</v>
      </c>
      <c r="B62" s="278"/>
      <c r="C62" s="278"/>
      <c r="D62" s="278"/>
      <c r="E62" s="278"/>
      <c r="F62" s="278"/>
      <c r="G62" s="279"/>
      <c r="H62" s="55">
        <f t="shared" ref="H62:I62" si="1">SUM(H54:H61)</f>
        <v>0.36800000000000005</v>
      </c>
      <c r="I62" s="44">
        <f t="shared" si="1"/>
        <v>975.41999999999985</v>
      </c>
      <c r="J62" s="24"/>
      <c r="K62" s="24"/>
      <c r="L62" s="24"/>
      <c r="M62" s="24"/>
      <c r="N62" s="24"/>
      <c r="O62" s="24"/>
      <c r="P62" s="24"/>
    </row>
    <row r="63" spans="1:16" ht="8.25" customHeight="1">
      <c r="A63" s="56"/>
      <c r="B63" s="57"/>
      <c r="C63" s="57"/>
      <c r="D63" s="57"/>
      <c r="E63" s="57"/>
      <c r="F63" s="57"/>
      <c r="G63" s="57"/>
      <c r="H63" s="58"/>
      <c r="I63" s="59"/>
      <c r="J63" s="24"/>
      <c r="K63" s="24"/>
      <c r="L63" s="24"/>
      <c r="M63" s="24"/>
      <c r="N63" s="24"/>
      <c r="O63" s="24"/>
      <c r="P63" s="24"/>
    </row>
    <row r="64" spans="1:16" ht="35.25" customHeight="1">
      <c r="A64" s="315" t="s">
        <v>116</v>
      </c>
      <c r="B64" s="278"/>
      <c r="C64" s="278"/>
      <c r="D64" s="278"/>
      <c r="E64" s="278"/>
      <c r="F64" s="278"/>
      <c r="G64" s="278"/>
      <c r="H64" s="278"/>
      <c r="I64" s="279"/>
      <c r="J64" s="24"/>
      <c r="K64" s="24"/>
      <c r="L64" s="24"/>
      <c r="M64" s="24"/>
      <c r="N64" s="24"/>
      <c r="O64" s="24"/>
      <c r="P64" s="24"/>
    </row>
    <row r="65" spans="1:16" ht="9.75" customHeight="1">
      <c r="A65" s="314"/>
      <c r="B65" s="278"/>
      <c r="C65" s="278"/>
      <c r="D65" s="278"/>
      <c r="E65" s="278"/>
      <c r="F65" s="278"/>
      <c r="G65" s="278"/>
      <c r="H65" s="278"/>
      <c r="I65" s="279"/>
      <c r="J65" s="24"/>
      <c r="K65" s="24"/>
      <c r="L65" s="24"/>
      <c r="M65" s="24"/>
      <c r="N65" s="24"/>
      <c r="O65" s="24"/>
      <c r="P65" s="24"/>
    </row>
    <row r="66" spans="1:16" ht="20.25" customHeight="1">
      <c r="A66" s="341" t="s">
        <v>117</v>
      </c>
      <c r="B66" s="278"/>
      <c r="C66" s="278"/>
      <c r="D66" s="278"/>
      <c r="E66" s="278"/>
      <c r="F66" s="278"/>
      <c r="G66" s="278"/>
      <c r="H66" s="278"/>
      <c r="I66" s="279"/>
      <c r="J66" s="24"/>
      <c r="K66" s="24"/>
      <c r="L66" s="24"/>
      <c r="M66" s="24"/>
      <c r="N66" s="24"/>
      <c r="O66" s="24"/>
      <c r="P66" s="24"/>
    </row>
    <row r="67" spans="1:16" ht="27" customHeight="1">
      <c r="A67" s="60" t="s">
        <v>118</v>
      </c>
      <c r="B67" s="318" t="s">
        <v>119</v>
      </c>
      <c r="C67" s="278"/>
      <c r="D67" s="278"/>
      <c r="E67" s="278"/>
      <c r="F67" s="278"/>
      <c r="G67" s="278"/>
      <c r="H67" s="279"/>
      <c r="I67" s="47" t="s">
        <v>95</v>
      </c>
      <c r="J67" s="24"/>
      <c r="K67" s="24"/>
      <c r="L67" s="24"/>
      <c r="M67" s="24"/>
      <c r="N67" s="24"/>
      <c r="O67" s="24"/>
      <c r="P67" s="24"/>
    </row>
    <row r="68" spans="1:16" ht="23.25" customHeight="1">
      <c r="A68" s="61" t="s">
        <v>47</v>
      </c>
      <c r="B68" s="302" t="s">
        <v>268</v>
      </c>
      <c r="C68" s="278"/>
      <c r="D68" s="278"/>
      <c r="E68" s="278"/>
      <c r="F68" s="278"/>
      <c r="G68" s="278"/>
      <c r="H68" s="278"/>
      <c r="I68" s="50">
        <f>IF(ROUND((H69*H71*H70)-(I33*H72),2)&lt;0,0,ROUND((H69*H71*H70)-(I33*H72),2))</f>
        <v>103.32</v>
      </c>
      <c r="J68" s="24"/>
      <c r="K68" s="24"/>
      <c r="L68" s="24"/>
      <c r="M68" s="24"/>
      <c r="N68" s="24"/>
      <c r="O68" s="24"/>
      <c r="P68" s="24"/>
    </row>
    <row r="69" spans="1:16" ht="27" customHeight="1">
      <c r="A69" s="61"/>
      <c r="B69" s="302" t="s">
        <v>410</v>
      </c>
      <c r="C69" s="278"/>
      <c r="D69" s="278"/>
      <c r="E69" s="278"/>
      <c r="F69" s="278"/>
      <c r="G69" s="278"/>
      <c r="H69" s="145">
        <v>4.8</v>
      </c>
      <c r="I69" s="63" t="s">
        <v>22</v>
      </c>
      <c r="J69" s="24"/>
      <c r="K69" s="24"/>
      <c r="L69" s="24"/>
      <c r="M69" s="24"/>
      <c r="N69" s="24"/>
      <c r="O69" s="24"/>
      <c r="P69" s="24"/>
    </row>
    <row r="70" spans="1:16" ht="19.5" customHeight="1">
      <c r="A70" s="61"/>
      <c r="B70" s="302" t="s">
        <v>269</v>
      </c>
      <c r="C70" s="278"/>
      <c r="D70" s="278"/>
      <c r="E70" s="278"/>
      <c r="F70" s="278"/>
      <c r="G70" s="279"/>
      <c r="H70" s="34">
        <v>2</v>
      </c>
      <c r="I70" s="63" t="s">
        <v>22</v>
      </c>
      <c r="J70" s="24"/>
      <c r="K70" s="24"/>
      <c r="L70" s="24"/>
      <c r="M70" s="24"/>
      <c r="N70" s="24"/>
      <c r="O70" s="24"/>
      <c r="P70" s="24"/>
    </row>
    <row r="71" spans="1:16" ht="19.5" customHeight="1">
      <c r="A71" s="61"/>
      <c r="B71" s="302" t="s">
        <v>122</v>
      </c>
      <c r="C71" s="278"/>
      <c r="D71" s="278"/>
      <c r="E71" s="278"/>
      <c r="F71" s="278"/>
      <c r="G71" s="279"/>
      <c r="H71" s="64">
        <v>22</v>
      </c>
      <c r="I71" s="63"/>
      <c r="J71" s="24"/>
      <c r="K71" s="24"/>
      <c r="L71" s="24"/>
      <c r="M71" s="24"/>
      <c r="N71" s="24"/>
      <c r="O71" s="24"/>
      <c r="P71" s="24"/>
    </row>
    <row r="72" spans="1:16" ht="25.5" customHeight="1">
      <c r="A72" s="61"/>
      <c r="B72" s="302" t="s">
        <v>270</v>
      </c>
      <c r="C72" s="278"/>
      <c r="D72" s="278"/>
      <c r="E72" s="278"/>
      <c r="F72" s="278"/>
      <c r="G72" s="279"/>
      <c r="H72" s="65">
        <v>0.06</v>
      </c>
      <c r="I72" s="63"/>
      <c r="J72" s="24"/>
      <c r="K72" s="24"/>
      <c r="L72" s="24"/>
      <c r="M72" s="24"/>
      <c r="N72" s="24"/>
      <c r="O72" s="24"/>
      <c r="P72" s="24"/>
    </row>
    <row r="73" spans="1:16" ht="14.25" customHeight="1">
      <c r="A73" s="61" t="s">
        <v>49</v>
      </c>
      <c r="B73" s="302" t="s">
        <v>271</v>
      </c>
      <c r="C73" s="278"/>
      <c r="D73" s="278"/>
      <c r="E73" s="278"/>
      <c r="F73" s="278"/>
      <c r="G73" s="278"/>
      <c r="H73" s="278"/>
      <c r="I73" s="50">
        <f>ROUND(H75*H74*(1-H76),2)*1+ROUND(21.726*6*(1-H76),2)*0</f>
        <v>475.2</v>
      </c>
      <c r="J73" s="24"/>
      <c r="K73" s="24"/>
      <c r="L73" s="24"/>
      <c r="M73" s="24"/>
      <c r="N73" s="24"/>
      <c r="O73" s="24"/>
      <c r="P73" s="24"/>
    </row>
    <row r="74" spans="1:16" ht="15.75" customHeight="1">
      <c r="A74" s="61"/>
      <c r="B74" s="302" t="s">
        <v>417</v>
      </c>
      <c r="C74" s="278"/>
      <c r="D74" s="278"/>
      <c r="E74" s="278"/>
      <c r="F74" s="278"/>
      <c r="G74" s="278"/>
      <c r="H74" s="232">
        <f>Consolidação!D14</f>
        <v>27</v>
      </c>
      <c r="I74" s="63" t="s">
        <v>22</v>
      </c>
      <c r="J74" s="24"/>
      <c r="K74" s="24"/>
      <c r="L74" s="24"/>
      <c r="M74" s="24"/>
      <c r="N74" s="24"/>
      <c r="O74" s="24"/>
      <c r="P74" s="24"/>
    </row>
    <row r="75" spans="1:16" ht="15.75" customHeight="1">
      <c r="A75" s="61"/>
      <c r="B75" s="302" t="s">
        <v>272</v>
      </c>
      <c r="C75" s="278"/>
      <c r="D75" s="278"/>
      <c r="E75" s="278"/>
      <c r="F75" s="278"/>
      <c r="G75" s="278"/>
      <c r="H75" s="64">
        <v>22</v>
      </c>
      <c r="I75" s="63"/>
      <c r="J75" s="24"/>
      <c r="K75" s="24"/>
      <c r="L75" s="24"/>
      <c r="M75" s="24"/>
      <c r="N75" s="24"/>
      <c r="O75" s="24"/>
      <c r="P75" s="24"/>
    </row>
    <row r="76" spans="1:16" ht="22.5" customHeight="1">
      <c r="A76" s="61"/>
      <c r="B76" s="455" t="s">
        <v>409</v>
      </c>
      <c r="C76" s="333"/>
      <c r="D76" s="333"/>
      <c r="E76" s="333"/>
      <c r="F76" s="333"/>
      <c r="G76" s="334"/>
      <c r="H76" s="65">
        <v>0.2</v>
      </c>
      <c r="I76" s="63"/>
      <c r="J76" s="24"/>
      <c r="K76" s="24"/>
      <c r="L76" s="24"/>
      <c r="M76" s="24"/>
      <c r="N76" s="24"/>
      <c r="O76" s="24"/>
      <c r="P76" s="24"/>
    </row>
    <row r="77" spans="1:16" ht="15.75" customHeight="1">
      <c r="A77" s="61" t="s">
        <v>51</v>
      </c>
      <c r="B77" s="302" t="s">
        <v>126</v>
      </c>
      <c r="C77" s="278"/>
      <c r="D77" s="278"/>
      <c r="E77" s="278"/>
      <c r="F77" s="278"/>
      <c r="G77" s="278"/>
      <c r="H77" s="278"/>
      <c r="I77" s="50">
        <v>0</v>
      </c>
      <c r="J77" s="24"/>
      <c r="K77" s="24"/>
      <c r="L77" s="24"/>
      <c r="M77" s="24"/>
      <c r="N77" s="24"/>
      <c r="O77" s="24"/>
      <c r="P77" s="24"/>
    </row>
    <row r="78" spans="1:16" ht="34.5" customHeight="1">
      <c r="A78" s="61" t="s">
        <v>54</v>
      </c>
      <c r="B78" s="345" t="s">
        <v>273</v>
      </c>
      <c r="C78" s="333"/>
      <c r="D78" s="333"/>
      <c r="E78" s="333"/>
      <c r="F78" s="333"/>
      <c r="G78" s="333"/>
      <c r="H78" s="333"/>
      <c r="I78" s="50">
        <v>14.23</v>
      </c>
      <c r="J78" s="24"/>
      <c r="K78" s="24"/>
      <c r="L78" s="24"/>
      <c r="M78" s="24"/>
      <c r="N78" s="24"/>
      <c r="O78" s="24"/>
      <c r="P78" s="24"/>
    </row>
    <row r="79" spans="1:16" ht="31.5" customHeight="1">
      <c r="A79" s="61" t="s">
        <v>109</v>
      </c>
      <c r="B79" s="302" t="s">
        <v>274</v>
      </c>
      <c r="C79" s="278"/>
      <c r="D79" s="278"/>
      <c r="E79" s="278"/>
      <c r="F79" s="278"/>
      <c r="G79" s="278"/>
      <c r="H79" s="279"/>
      <c r="I79" s="50">
        <v>0.78</v>
      </c>
      <c r="J79" s="24"/>
      <c r="K79" s="24"/>
      <c r="L79" s="24"/>
      <c r="M79" s="24"/>
      <c r="N79" s="24"/>
      <c r="O79" s="24"/>
      <c r="P79" s="24"/>
    </row>
    <row r="80" spans="1:16" ht="15.75" customHeight="1">
      <c r="A80" s="61" t="s">
        <v>111</v>
      </c>
      <c r="B80" s="312" t="s">
        <v>127</v>
      </c>
      <c r="C80" s="278"/>
      <c r="D80" s="278"/>
      <c r="E80" s="278"/>
      <c r="F80" s="278"/>
      <c r="G80" s="278"/>
      <c r="H80" s="278"/>
      <c r="I80" s="66">
        <v>0</v>
      </c>
      <c r="J80" s="24"/>
      <c r="K80" s="24"/>
      <c r="L80" s="24"/>
      <c r="M80" s="24"/>
      <c r="N80" s="24"/>
      <c r="O80" s="24"/>
      <c r="P80" s="24"/>
    </row>
    <row r="81" spans="1:16" ht="18" customHeight="1">
      <c r="A81" s="67"/>
      <c r="B81" s="340" t="s">
        <v>98</v>
      </c>
      <c r="C81" s="278"/>
      <c r="D81" s="278"/>
      <c r="E81" s="278"/>
      <c r="F81" s="278"/>
      <c r="G81" s="278"/>
      <c r="H81" s="293"/>
      <c r="I81" s="44">
        <f>SUM(I68:I80)</f>
        <v>593.53</v>
      </c>
      <c r="J81" s="24"/>
      <c r="K81" s="24"/>
      <c r="L81" s="24"/>
      <c r="M81" s="24"/>
      <c r="N81" s="24"/>
      <c r="O81" s="24"/>
      <c r="P81" s="24"/>
    </row>
    <row r="82" spans="1:16" ht="9" customHeight="1">
      <c r="A82" s="314"/>
      <c r="B82" s="278"/>
      <c r="C82" s="278"/>
      <c r="D82" s="278"/>
      <c r="E82" s="278"/>
      <c r="F82" s="278"/>
      <c r="G82" s="278"/>
      <c r="H82" s="278"/>
      <c r="I82" s="279"/>
      <c r="J82" s="24"/>
      <c r="K82" s="24"/>
      <c r="L82" s="24"/>
      <c r="M82" s="24"/>
      <c r="N82" s="24"/>
      <c r="O82" s="24"/>
      <c r="P82" s="24"/>
    </row>
    <row r="83" spans="1:16" ht="32.25" customHeight="1">
      <c r="A83" s="315" t="s">
        <v>128</v>
      </c>
      <c r="B83" s="278"/>
      <c r="C83" s="278"/>
      <c r="D83" s="278"/>
      <c r="E83" s="278"/>
      <c r="F83" s="278"/>
      <c r="G83" s="278"/>
      <c r="H83" s="278"/>
      <c r="I83" s="279"/>
      <c r="J83" s="24"/>
      <c r="K83" s="24"/>
      <c r="L83" s="24"/>
      <c r="M83" s="24"/>
      <c r="N83" s="24"/>
      <c r="O83" s="24"/>
      <c r="P83" s="24"/>
    </row>
    <row r="84" spans="1:16" ht="8.25" customHeight="1">
      <c r="A84" s="299"/>
      <c r="B84" s="278"/>
      <c r="C84" s="278"/>
      <c r="D84" s="278"/>
      <c r="E84" s="278"/>
      <c r="F84" s="278"/>
      <c r="G84" s="278"/>
      <c r="H84" s="278"/>
      <c r="I84" s="279"/>
      <c r="J84" s="24"/>
      <c r="K84" s="24"/>
      <c r="L84" s="24"/>
      <c r="M84" s="24"/>
      <c r="N84" s="24"/>
      <c r="O84" s="24"/>
      <c r="P84" s="24"/>
    </row>
    <row r="85" spans="1:16" ht="17.25" customHeight="1">
      <c r="A85" s="347" t="s">
        <v>129</v>
      </c>
      <c r="B85" s="278"/>
      <c r="C85" s="278"/>
      <c r="D85" s="278"/>
      <c r="E85" s="278"/>
      <c r="F85" s="278"/>
      <c r="G85" s="278"/>
      <c r="H85" s="278"/>
      <c r="I85" s="279"/>
      <c r="J85" s="24"/>
      <c r="K85" s="24"/>
      <c r="L85" s="24"/>
      <c r="M85" s="24"/>
      <c r="N85" s="24"/>
      <c r="O85" s="24"/>
      <c r="P85" s="24"/>
    </row>
    <row r="86" spans="1:16" ht="15.75" customHeight="1">
      <c r="A86" s="68">
        <v>2</v>
      </c>
      <c r="B86" s="338" t="s">
        <v>130</v>
      </c>
      <c r="C86" s="278"/>
      <c r="D86" s="278"/>
      <c r="E86" s="278"/>
      <c r="F86" s="278"/>
      <c r="G86" s="278"/>
      <c r="H86" s="279"/>
      <c r="I86" s="68" t="s">
        <v>95</v>
      </c>
      <c r="J86" s="24"/>
      <c r="K86" s="24"/>
      <c r="L86" s="24"/>
      <c r="M86" s="24"/>
      <c r="N86" s="24"/>
      <c r="O86" s="24"/>
      <c r="P86" s="24"/>
    </row>
    <row r="87" spans="1:16" ht="14.25" customHeight="1">
      <c r="A87" s="13" t="s">
        <v>93</v>
      </c>
      <c r="B87" s="302" t="s">
        <v>275</v>
      </c>
      <c r="C87" s="278"/>
      <c r="D87" s="278"/>
      <c r="E87" s="278"/>
      <c r="F87" s="278"/>
      <c r="G87" s="278"/>
      <c r="H87" s="279"/>
      <c r="I87" s="66">
        <f>I49</f>
        <v>270.27999999999997</v>
      </c>
      <c r="J87" s="24"/>
      <c r="K87" s="24"/>
      <c r="L87" s="24"/>
      <c r="M87" s="24"/>
      <c r="N87" s="24"/>
      <c r="O87" s="24"/>
      <c r="P87" s="24"/>
    </row>
    <row r="88" spans="1:16" ht="14.25" customHeight="1">
      <c r="A88" s="13" t="s">
        <v>100</v>
      </c>
      <c r="B88" s="302" t="s">
        <v>101</v>
      </c>
      <c r="C88" s="278"/>
      <c r="D88" s="278"/>
      <c r="E88" s="278"/>
      <c r="F88" s="278"/>
      <c r="G88" s="278"/>
      <c r="H88" s="279"/>
      <c r="I88" s="66">
        <f>I62</f>
        <v>975.41999999999985</v>
      </c>
      <c r="J88" s="24"/>
      <c r="K88" s="24"/>
      <c r="L88" s="24"/>
      <c r="M88" s="24"/>
      <c r="N88" s="24"/>
      <c r="O88" s="24"/>
      <c r="P88" s="24"/>
    </row>
    <row r="89" spans="1:16" ht="14.25" customHeight="1">
      <c r="A89" s="13" t="s">
        <v>118</v>
      </c>
      <c r="B89" s="302" t="s">
        <v>119</v>
      </c>
      <c r="C89" s="278"/>
      <c r="D89" s="278"/>
      <c r="E89" s="278"/>
      <c r="F89" s="278"/>
      <c r="G89" s="278"/>
      <c r="H89" s="279"/>
      <c r="I89" s="66">
        <f>I81</f>
        <v>593.53</v>
      </c>
      <c r="J89" s="24"/>
      <c r="K89" s="24"/>
      <c r="L89" s="24"/>
      <c r="M89" s="24"/>
      <c r="N89" s="24"/>
      <c r="O89" s="24"/>
      <c r="P89" s="24"/>
    </row>
    <row r="90" spans="1:16" ht="14.25" customHeight="1">
      <c r="A90" s="348" t="s">
        <v>98</v>
      </c>
      <c r="B90" s="278"/>
      <c r="C90" s="278"/>
      <c r="D90" s="278"/>
      <c r="E90" s="278"/>
      <c r="F90" s="278"/>
      <c r="G90" s="278"/>
      <c r="H90" s="279"/>
      <c r="I90" s="69">
        <f>SUM(I87+I88+I89)</f>
        <v>1839.2299999999998</v>
      </c>
      <c r="J90" s="24"/>
      <c r="K90" s="24"/>
      <c r="L90" s="24"/>
      <c r="M90" s="24"/>
      <c r="N90" s="24"/>
      <c r="O90" s="24"/>
      <c r="P90" s="24"/>
    </row>
    <row r="91" spans="1:16" ht="8.25" customHeight="1">
      <c r="A91" s="349"/>
      <c r="B91" s="278"/>
      <c r="C91" s="278"/>
      <c r="D91" s="278"/>
      <c r="E91" s="278"/>
      <c r="F91" s="278"/>
      <c r="G91" s="278"/>
      <c r="H91" s="278"/>
      <c r="I91" s="279"/>
      <c r="J91" s="24"/>
      <c r="K91" s="24"/>
      <c r="L91" s="24"/>
      <c r="M91" s="24"/>
      <c r="N91" s="24"/>
      <c r="O91" s="24"/>
      <c r="P91" s="24"/>
    </row>
    <row r="92" spans="1:16" ht="20.25" customHeight="1">
      <c r="A92" s="350" t="s">
        <v>132</v>
      </c>
      <c r="B92" s="278"/>
      <c r="C92" s="278"/>
      <c r="D92" s="278"/>
      <c r="E92" s="278"/>
      <c r="F92" s="278"/>
      <c r="G92" s="278"/>
      <c r="H92" s="278"/>
      <c r="I92" s="279"/>
      <c r="J92" s="24"/>
      <c r="K92" s="24"/>
      <c r="L92" s="24"/>
      <c r="M92" s="24"/>
      <c r="N92" s="24"/>
      <c r="O92" s="24"/>
      <c r="P92" s="24"/>
    </row>
    <row r="93" spans="1:16" ht="15" customHeight="1">
      <c r="A93" s="60">
        <v>3</v>
      </c>
      <c r="B93" s="351" t="s">
        <v>133</v>
      </c>
      <c r="C93" s="278"/>
      <c r="D93" s="278"/>
      <c r="E93" s="278"/>
      <c r="F93" s="278"/>
      <c r="G93" s="278"/>
      <c r="H93" s="279"/>
      <c r="I93" s="60" t="s">
        <v>95</v>
      </c>
      <c r="J93" s="24"/>
      <c r="K93" s="24"/>
      <c r="L93" s="24"/>
      <c r="M93" s="24"/>
      <c r="N93" s="24"/>
      <c r="O93" s="24"/>
      <c r="P93" s="24"/>
    </row>
    <row r="94" spans="1:16" ht="44.25" customHeight="1">
      <c r="A94" s="61" t="s">
        <v>47</v>
      </c>
      <c r="B94" s="352" t="s">
        <v>432</v>
      </c>
      <c r="C94" s="333"/>
      <c r="D94" s="333"/>
      <c r="E94" s="333"/>
      <c r="F94" s="333"/>
      <c r="G94" s="333"/>
      <c r="H94" s="334"/>
      <c r="I94" s="50">
        <f>ROUND(((I36/12)+($I$47/12)+(I36*0.121/12))*(30/30)*0.05,2)</f>
        <v>11.94</v>
      </c>
      <c r="J94" s="24"/>
      <c r="K94" s="24"/>
      <c r="L94" s="24"/>
      <c r="M94" s="24"/>
      <c r="N94" s="24"/>
      <c r="O94" s="24"/>
      <c r="P94" s="24"/>
    </row>
    <row r="95" spans="1:16" ht="14.25" customHeight="1">
      <c r="A95" s="61" t="s">
        <v>49</v>
      </c>
      <c r="B95" s="312" t="s">
        <v>134</v>
      </c>
      <c r="C95" s="278"/>
      <c r="D95" s="278"/>
      <c r="E95" s="278"/>
      <c r="F95" s="278"/>
      <c r="G95" s="278"/>
      <c r="H95" s="279"/>
      <c r="I95" s="50">
        <f>ROUND($H$61*I94,2)</f>
        <v>0.96</v>
      </c>
      <c r="J95" s="24"/>
      <c r="K95" s="24"/>
      <c r="L95" s="24"/>
      <c r="M95" s="24"/>
      <c r="N95" s="24"/>
      <c r="O95" s="24"/>
      <c r="P95" s="24"/>
    </row>
    <row r="96" spans="1:16" ht="51.75" customHeight="1">
      <c r="A96" s="61" t="s">
        <v>51</v>
      </c>
      <c r="B96" s="345" t="s">
        <v>431</v>
      </c>
      <c r="C96" s="333"/>
      <c r="D96" s="333"/>
      <c r="E96" s="333"/>
      <c r="F96" s="333"/>
      <c r="G96" s="333"/>
      <c r="H96" s="334"/>
      <c r="I96" s="50">
        <f>ROUND(((7/30)/$H$10)*I36*1,2)</f>
        <v>46.28</v>
      </c>
      <c r="J96" s="24"/>
      <c r="K96" s="24"/>
      <c r="L96" s="24"/>
      <c r="M96" s="24"/>
      <c r="N96" s="24"/>
      <c r="O96" s="24"/>
      <c r="P96" s="24"/>
    </row>
    <row r="97" spans="1:16" ht="19.5" customHeight="1">
      <c r="A97" s="61" t="s">
        <v>54</v>
      </c>
      <c r="B97" s="312" t="s">
        <v>135</v>
      </c>
      <c r="C97" s="278"/>
      <c r="D97" s="278"/>
      <c r="E97" s="278"/>
      <c r="F97" s="278"/>
      <c r="G97" s="278"/>
      <c r="H97" s="279"/>
      <c r="I97" s="50">
        <f>ROUND($H$62*I96,2)</f>
        <v>17.03</v>
      </c>
      <c r="J97" s="24"/>
      <c r="K97" s="24"/>
      <c r="L97" s="24"/>
      <c r="M97" s="24"/>
      <c r="N97" s="24"/>
      <c r="O97" s="24"/>
      <c r="P97" s="24"/>
    </row>
    <row r="98" spans="1:16" ht="36.75" customHeight="1">
      <c r="A98" s="61" t="s">
        <v>109</v>
      </c>
      <c r="B98" s="302" t="s">
        <v>276</v>
      </c>
      <c r="C98" s="278"/>
      <c r="D98" s="278"/>
      <c r="E98" s="278"/>
      <c r="F98" s="278"/>
      <c r="G98" s="279"/>
      <c r="H98" s="70">
        <v>0.04</v>
      </c>
      <c r="I98" s="50">
        <f>ROUND(I36*H98,2)</f>
        <v>95.21</v>
      </c>
      <c r="J98" s="24"/>
      <c r="K98" s="24"/>
      <c r="L98" s="24"/>
      <c r="M98" s="24"/>
      <c r="N98" s="24"/>
      <c r="O98" s="24"/>
      <c r="P98" s="24"/>
    </row>
    <row r="99" spans="1:16" ht="15.75" customHeight="1">
      <c r="A99" s="340" t="s">
        <v>41</v>
      </c>
      <c r="B99" s="278"/>
      <c r="C99" s="278"/>
      <c r="D99" s="278"/>
      <c r="E99" s="278"/>
      <c r="F99" s="278"/>
      <c r="G99" s="278"/>
      <c r="H99" s="279"/>
      <c r="I99" s="44">
        <f>SUM(I94:I98)</f>
        <v>171.42000000000002</v>
      </c>
      <c r="J99" s="24"/>
      <c r="K99" s="24"/>
      <c r="L99" s="24"/>
      <c r="M99" s="24"/>
      <c r="N99" s="24"/>
      <c r="O99" s="24"/>
      <c r="P99" s="24"/>
    </row>
    <row r="100" spans="1:16" ht="9" customHeight="1">
      <c r="A100" s="357"/>
      <c r="B100" s="278"/>
      <c r="C100" s="278"/>
      <c r="D100" s="278"/>
      <c r="E100" s="278"/>
      <c r="F100" s="278"/>
      <c r="G100" s="278"/>
      <c r="H100" s="278"/>
      <c r="I100" s="279"/>
      <c r="J100" s="24"/>
      <c r="K100" s="24"/>
      <c r="L100" s="24"/>
      <c r="M100" s="24"/>
      <c r="N100" s="24"/>
      <c r="O100" s="24"/>
      <c r="P100" s="24"/>
    </row>
    <row r="101" spans="1:16" ht="24" customHeight="1">
      <c r="A101" s="358" t="s">
        <v>137</v>
      </c>
      <c r="B101" s="278"/>
      <c r="C101" s="278"/>
      <c r="D101" s="278"/>
      <c r="E101" s="278"/>
      <c r="F101" s="278"/>
      <c r="G101" s="278"/>
      <c r="H101" s="278"/>
      <c r="I101" s="279"/>
      <c r="J101" s="24"/>
      <c r="K101" s="24"/>
      <c r="L101" s="24"/>
      <c r="M101" s="24"/>
      <c r="N101" s="24"/>
      <c r="O101" s="24"/>
      <c r="P101" s="24"/>
    </row>
    <row r="102" spans="1:16" ht="24.75" customHeight="1">
      <c r="A102" s="315" t="s">
        <v>138</v>
      </c>
      <c r="B102" s="278"/>
      <c r="C102" s="278"/>
      <c r="D102" s="278"/>
      <c r="E102" s="278"/>
      <c r="F102" s="278"/>
      <c r="G102" s="278"/>
      <c r="H102" s="278"/>
      <c r="I102" s="279"/>
      <c r="J102" s="24"/>
      <c r="K102" s="24"/>
      <c r="L102" s="24"/>
      <c r="M102" s="24"/>
      <c r="N102" s="24"/>
      <c r="O102" s="24"/>
      <c r="P102" s="24"/>
    </row>
    <row r="103" spans="1:16" ht="55.5" customHeight="1">
      <c r="A103" s="359" t="s">
        <v>139</v>
      </c>
      <c r="B103" s="278"/>
      <c r="C103" s="278"/>
      <c r="D103" s="278"/>
      <c r="E103" s="278"/>
      <c r="F103" s="278"/>
      <c r="G103" s="278"/>
      <c r="H103" s="278"/>
      <c r="I103" s="279"/>
      <c r="J103" s="24"/>
      <c r="K103" s="24"/>
      <c r="L103" s="24"/>
      <c r="M103" s="24"/>
      <c r="N103" s="24"/>
      <c r="O103" s="24"/>
      <c r="P103" s="24"/>
    </row>
    <row r="104" spans="1:16" ht="7.5" customHeight="1">
      <c r="A104" s="360"/>
      <c r="B104" s="278"/>
      <c r="C104" s="278"/>
      <c r="D104" s="278"/>
      <c r="E104" s="278"/>
      <c r="F104" s="278"/>
      <c r="G104" s="278"/>
      <c r="H104" s="278"/>
      <c r="I104" s="279"/>
      <c r="J104" s="24"/>
      <c r="K104" s="24"/>
      <c r="L104" s="24"/>
      <c r="M104" s="24"/>
      <c r="N104" s="24"/>
      <c r="O104" s="24"/>
      <c r="P104" s="24"/>
    </row>
    <row r="105" spans="1:16" ht="58.5" customHeight="1">
      <c r="A105" s="71" t="s">
        <v>140</v>
      </c>
      <c r="B105" s="72">
        <f>I36</f>
        <v>2380.3000000000002</v>
      </c>
      <c r="C105" s="73"/>
      <c r="D105" s="71" t="s">
        <v>277</v>
      </c>
      <c r="E105" s="72">
        <f>I90-I68-I73+I109</f>
        <v>1556.2116799999999</v>
      </c>
      <c r="F105" s="74"/>
      <c r="G105" s="71" t="s">
        <v>142</v>
      </c>
      <c r="H105" s="72">
        <f>I99</f>
        <v>171.42000000000002</v>
      </c>
      <c r="I105" s="75">
        <f>B105+E105+H105</f>
        <v>4107.9316799999997</v>
      </c>
      <c r="J105" s="37"/>
      <c r="K105" s="24"/>
      <c r="L105" s="24"/>
      <c r="M105" s="24"/>
      <c r="N105" s="24"/>
      <c r="O105" s="24"/>
      <c r="P105" s="24"/>
    </row>
    <row r="106" spans="1:16" ht="7.5" customHeight="1">
      <c r="A106" s="366"/>
      <c r="B106" s="278"/>
      <c r="C106" s="278"/>
      <c r="D106" s="278"/>
      <c r="E106" s="278"/>
      <c r="F106" s="278"/>
      <c r="G106" s="278"/>
      <c r="H106" s="278"/>
      <c r="I106" s="279"/>
      <c r="J106" s="24"/>
      <c r="K106" s="24"/>
      <c r="L106" s="24"/>
      <c r="M106" s="24"/>
      <c r="N106" s="24"/>
      <c r="O106" s="24"/>
      <c r="P106" s="24"/>
    </row>
    <row r="107" spans="1:16" ht="24" customHeight="1">
      <c r="A107" s="359" t="s">
        <v>143</v>
      </c>
      <c r="B107" s="278"/>
      <c r="C107" s="278"/>
      <c r="D107" s="278"/>
      <c r="E107" s="278"/>
      <c r="F107" s="278"/>
      <c r="G107" s="278"/>
      <c r="H107" s="278"/>
      <c r="I107" s="279"/>
      <c r="J107" s="24"/>
      <c r="K107" s="24"/>
      <c r="L107" s="24"/>
      <c r="M107" s="24"/>
      <c r="N107" s="24"/>
      <c r="O107" s="24"/>
      <c r="P107" s="24"/>
    </row>
    <row r="108" spans="1:16" ht="24" customHeight="1">
      <c r="A108" s="76" t="s">
        <v>144</v>
      </c>
      <c r="B108" s="351" t="s">
        <v>145</v>
      </c>
      <c r="C108" s="278"/>
      <c r="D108" s="278"/>
      <c r="E108" s="278"/>
      <c r="F108" s="278"/>
      <c r="G108" s="278"/>
      <c r="H108" s="279"/>
      <c r="I108" s="76" t="s">
        <v>95</v>
      </c>
      <c r="J108" s="24"/>
      <c r="K108" s="24"/>
      <c r="L108" s="24"/>
      <c r="M108" s="24"/>
      <c r="N108" s="24"/>
      <c r="O108" s="24"/>
      <c r="P108" s="24"/>
    </row>
    <row r="109" spans="1:16" ht="63.75" customHeight="1">
      <c r="A109" s="77" t="s">
        <v>47</v>
      </c>
      <c r="B109" s="302" t="s">
        <v>146</v>
      </c>
      <c r="C109" s="278"/>
      <c r="D109" s="278"/>
      <c r="E109" s="278"/>
      <c r="F109" s="278"/>
      <c r="G109" s="78">
        <v>9.0749999999999997E-2</v>
      </c>
      <c r="H109" s="79">
        <f>H62</f>
        <v>0.36800000000000005</v>
      </c>
      <c r="I109" s="50">
        <f>ROUND(G109*I36,2)*(1+H109)</f>
        <v>295.50168000000002</v>
      </c>
      <c r="J109" s="37"/>
      <c r="K109" s="24"/>
      <c r="L109" s="24"/>
      <c r="M109" s="24"/>
      <c r="N109" s="24"/>
      <c r="O109" s="24"/>
      <c r="P109" s="24"/>
    </row>
    <row r="110" spans="1:16" ht="30" customHeight="1">
      <c r="A110" s="61" t="s">
        <v>49</v>
      </c>
      <c r="B110" s="302" t="s">
        <v>278</v>
      </c>
      <c r="C110" s="278"/>
      <c r="D110" s="278"/>
      <c r="E110" s="278"/>
      <c r="F110" s="278"/>
      <c r="G110" s="278"/>
      <c r="H110" s="279"/>
      <c r="I110" s="50">
        <f>ROUND((1/30)/12*(I105),2)</f>
        <v>11.41</v>
      </c>
      <c r="J110" s="24"/>
      <c r="K110" s="37"/>
      <c r="L110" s="24"/>
      <c r="M110" s="24"/>
      <c r="N110" s="24"/>
      <c r="O110" s="24"/>
      <c r="P110" s="24"/>
    </row>
    <row r="111" spans="1:16" ht="31.5" customHeight="1">
      <c r="A111" s="61" t="s">
        <v>51</v>
      </c>
      <c r="B111" s="302" t="s">
        <v>279</v>
      </c>
      <c r="C111" s="278"/>
      <c r="D111" s="278"/>
      <c r="E111" s="278"/>
      <c r="F111" s="278"/>
      <c r="G111" s="278"/>
      <c r="H111" s="279"/>
      <c r="I111" s="50">
        <f>ROUND((5/30)/12*0.015*(I105),2)</f>
        <v>0.86</v>
      </c>
      <c r="J111" s="24"/>
      <c r="K111" s="24"/>
      <c r="L111" s="24"/>
      <c r="M111" s="24"/>
      <c r="N111" s="24"/>
      <c r="O111" s="24"/>
      <c r="P111" s="24"/>
    </row>
    <row r="112" spans="1:16" ht="30.75" customHeight="1">
      <c r="A112" s="61" t="s">
        <v>54</v>
      </c>
      <c r="B112" s="381" t="s">
        <v>280</v>
      </c>
      <c r="C112" s="278"/>
      <c r="D112" s="278"/>
      <c r="E112" s="278"/>
      <c r="F112" s="278"/>
      <c r="G112" s="278"/>
      <c r="H112" s="279"/>
      <c r="I112" s="50">
        <f>ROUND(((($I$105)/30)*0.69)/12,2)</f>
        <v>7.87</v>
      </c>
      <c r="J112" s="24"/>
      <c r="K112" s="24"/>
      <c r="L112" s="24"/>
      <c r="M112" s="24"/>
      <c r="N112" s="24"/>
      <c r="O112" s="24"/>
      <c r="P112" s="24"/>
    </row>
    <row r="113" spans="1:16" ht="78" customHeight="1">
      <c r="A113" s="61" t="s">
        <v>109</v>
      </c>
      <c r="B113" s="302" t="s">
        <v>281</v>
      </c>
      <c r="C113" s="278"/>
      <c r="D113" s="278"/>
      <c r="E113" s="278"/>
      <c r="F113" s="278"/>
      <c r="G113" s="278"/>
      <c r="H113" s="279"/>
      <c r="I113" s="50">
        <f>ROUND((((B105*0.121)+(H62)*(B105*0.121))*(4/12))*0.02,2)+ROUND(((H61*B105+H62*I47+I81-I68-I73+I99)*4/12)*0.02,2)</f>
        <v>5.63</v>
      </c>
      <c r="J113" s="24"/>
      <c r="K113" s="24"/>
      <c r="L113" s="24"/>
      <c r="M113" s="24"/>
      <c r="N113" s="24"/>
      <c r="O113" s="24"/>
      <c r="P113" s="24"/>
    </row>
    <row r="114" spans="1:16" ht="39" customHeight="1">
      <c r="A114" s="61" t="s">
        <v>111</v>
      </c>
      <c r="B114" s="302" t="s">
        <v>282</v>
      </c>
      <c r="C114" s="278"/>
      <c r="D114" s="278"/>
      <c r="E114" s="278"/>
      <c r="F114" s="278"/>
      <c r="G114" s="278"/>
      <c r="H114" s="279"/>
      <c r="I114" s="50">
        <f>ROUND(((3/30)/12)*(I105),2)</f>
        <v>34.229999999999997</v>
      </c>
      <c r="J114" s="24"/>
      <c r="K114" s="24"/>
      <c r="L114" s="24"/>
      <c r="M114" s="24"/>
      <c r="N114" s="24"/>
      <c r="O114" s="24"/>
      <c r="P114" s="24"/>
    </row>
    <row r="115" spans="1:16" ht="15.75" customHeight="1">
      <c r="A115" s="340" t="s">
        <v>98</v>
      </c>
      <c r="B115" s="278"/>
      <c r="C115" s="278"/>
      <c r="D115" s="278"/>
      <c r="E115" s="278"/>
      <c r="F115" s="278"/>
      <c r="G115" s="278"/>
      <c r="H115" s="279"/>
      <c r="I115" s="44">
        <f>SUM(I109:I114)</f>
        <v>355.50168000000008</v>
      </c>
      <c r="J115" s="24"/>
      <c r="K115" s="24"/>
      <c r="L115" s="24"/>
      <c r="M115" s="24"/>
      <c r="N115" s="24"/>
      <c r="O115" s="24"/>
      <c r="P115" s="24"/>
    </row>
    <row r="116" spans="1:16" ht="9" customHeight="1">
      <c r="A116" s="382"/>
      <c r="B116" s="278"/>
      <c r="C116" s="278"/>
      <c r="D116" s="278"/>
      <c r="E116" s="278"/>
      <c r="F116" s="278"/>
      <c r="G116" s="278"/>
      <c r="H116" s="278"/>
      <c r="I116" s="279"/>
      <c r="J116" s="24"/>
      <c r="K116" s="24"/>
      <c r="L116" s="24"/>
      <c r="M116" s="24"/>
      <c r="N116" s="24"/>
      <c r="O116" s="24"/>
      <c r="P116" s="24"/>
    </row>
    <row r="117" spans="1:16" ht="15.75" customHeight="1">
      <c r="A117" s="341" t="s">
        <v>152</v>
      </c>
      <c r="B117" s="278"/>
      <c r="C117" s="278"/>
      <c r="D117" s="278"/>
      <c r="E117" s="278"/>
      <c r="F117" s="278"/>
      <c r="G117" s="278"/>
      <c r="H117" s="278"/>
      <c r="I117" s="279"/>
      <c r="J117" s="24"/>
      <c r="K117" s="24"/>
      <c r="L117" s="24"/>
      <c r="M117" s="24"/>
      <c r="N117" s="24"/>
      <c r="O117" s="24"/>
      <c r="P117" s="24"/>
    </row>
    <row r="118" spans="1:16" ht="15.75" customHeight="1">
      <c r="A118" s="80" t="s">
        <v>153</v>
      </c>
      <c r="B118" s="353" t="s">
        <v>154</v>
      </c>
      <c r="C118" s="278"/>
      <c r="D118" s="278"/>
      <c r="E118" s="278"/>
      <c r="F118" s="278"/>
      <c r="G118" s="278"/>
      <c r="H118" s="279"/>
      <c r="I118" s="81" t="s">
        <v>95</v>
      </c>
      <c r="J118" s="24"/>
      <c r="K118" s="24"/>
      <c r="L118" s="24"/>
      <c r="M118" s="24"/>
      <c r="N118" s="24"/>
      <c r="O118" s="24"/>
      <c r="P118" s="24"/>
    </row>
    <row r="119" spans="1:16" ht="15.75" customHeight="1">
      <c r="A119" s="4" t="s">
        <v>47</v>
      </c>
      <c r="B119" s="354" t="s">
        <v>155</v>
      </c>
      <c r="C119" s="278"/>
      <c r="D119" s="278"/>
      <c r="E119" s="278"/>
      <c r="F119" s="278"/>
      <c r="G119" s="278"/>
      <c r="H119" s="279"/>
      <c r="I119" s="82">
        <v>0</v>
      </c>
      <c r="J119" s="24"/>
      <c r="K119" s="24"/>
      <c r="L119" s="24"/>
      <c r="M119" s="24"/>
      <c r="N119" s="24"/>
      <c r="O119" s="24"/>
      <c r="P119" s="24"/>
    </row>
    <row r="120" spans="1:16" ht="15.75" customHeight="1">
      <c r="A120" s="355" t="s">
        <v>98</v>
      </c>
      <c r="B120" s="278"/>
      <c r="C120" s="278"/>
      <c r="D120" s="278"/>
      <c r="E120" s="278"/>
      <c r="F120" s="278"/>
      <c r="G120" s="278"/>
      <c r="H120" s="279"/>
      <c r="I120" s="82">
        <v>0</v>
      </c>
      <c r="J120" s="24"/>
      <c r="K120" s="24"/>
      <c r="L120" s="24"/>
      <c r="M120" s="24"/>
      <c r="N120" s="24"/>
      <c r="O120" s="24"/>
      <c r="P120" s="24"/>
    </row>
    <row r="121" spans="1:16" ht="7.5" customHeight="1">
      <c r="A121" s="356"/>
      <c r="B121" s="278"/>
      <c r="C121" s="278"/>
      <c r="D121" s="278"/>
      <c r="E121" s="278"/>
      <c r="F121" s="278"/>
      <c r="G121" s="278"/>
      <c r="H121" s="278"/>
      <c r="I121" s="279"/>
      <c r="J121" s="24"/>
      <c r="K121" s="24"/>
      <c r="L121" s="24"/>
      <c r="M121" s="24"/>
      <c r="N121" s="24"/>
      <c r="O121" s="24"/>
      <c r="P121" s="24"/>
    </row>
    <row r="122" spans="1:16" ht="23.25" customHeight="1">
      <c r="A122" s="329" t="s">
        <v>156</v>
      </c>
      <c r="B122" s="278"/>
      <c r="C122" s="278"/>
      <c r="D122" s="278"/>
      <c r="E122" s="278"/>
      <c r="F122" s="278"/>
      <c r="G122" s="278"/>
      <c r="H122" s="278"/>
      <c r="I122" s="279"/>
      <c r="J122" s="24"/>
      <c r="K122" s="24"/>
      <c r="L122" s="24"/>
      <c r="M122" s="24"/>
      <c r="N122" s="24"/>
      <c r="O122" s="24"/>
      <c r="P122" s="24"/>
    </row>
    <row r="123" spans="1:16" ht="23.25" customHeight="1">
      <c r="A123" s="68">
        <v>4</v>
      </c>
      <c r="B123" s="353" t="s">
        <v>157</v>
      </c>
      <c r="C123" s="278"/>
      <c r="D123" s="278"/>
      <c r="E123" s="278"/>
      <c r="F123" s="278"/>
      <c r="G123" s="278"/>
      <c r="H123" s="279"/>
      <c r="I123" s="81" t="s">
        <v>95</v>
      </c>
      <c r="J123" s="24"/>
      <c r="K123" s="24"/>
      <c r="L123" s="24"/>
      <c r="M123" s="24"/>
      <c r="N123" s="24"/>
      <c r="O123" s="24"/>
      <c r="P123" s="24"/>
    </row>
    <row r="124" spans="1:16" ht="18.75" customHeight="1">
      <c r="A124" s="13" t="s">
        <v>144</v>
      </c>
      <c r="B124" s="354" t="s">
        <v>145</v>
      </c>
      <c r="C124" s="278"/>
      <c r="D124" s="278"/>
      <c r="E124" s="278"/>
      <c r="F124" s="278"/>
      <c r="G124" s="278"/>
      <c r="H124" s="279"/>
      <c r="I124" s="82">
        <f>I115</f>
        <v>355.50168000000008</v>
      </c>
      <c r="J124" s="24"/>
      <c r="K124" s="24"/>
      <c r="L124" s="24"/>
      <c r="M124" s="24"/>
      <c r="N124" s="24"/>
      <c r="O124" s="24"/>
      <c r="P124" s="24"/>
    </row>
    <row r="125" spans="1:16" ht="21.75" customHeight="1">
      <c r="A125" s="13" t="s">
        <v>158</v>
      </c>
      <c r="B125" s="354" t="s">
        <v>154</v>
      </c>
      <c r="C125" s="278"/>
      <c r="D125" s="278"/>
      <c r="E125" s="278"/>
      <c r="F125" s="278"/>
      <c r="G125" s="278"/>
      <c r="H125" s="279"/>
      <c r="I125" s="82">
        <f>I120</f>
        <v>0</v>
      </c>
      <c r="J125" s="24"/>
      <c r="K125" s="24"/>
      <c r="L125" s="24"/>
      <c r="M125" s="24"/>
      <c r="N125" s="24"/>
      <c r="O125" s="24"/>
      <c r="P125" s="24"/>
    </row>
    <row r="126" spans="1:16" ht="23.25" customHeight="1">
      <c r="A126" s="348" t="s">
        <v>98</v>
      </c>
      <c r="B126" s="278"/>
      <c r="C126" s="278"/>
      <c r="D126" s="278"/>
      <c r="E126" s="278"/>
      <c r="F126" s="278"/>
      <c r="G126" s="278"/>
      <c r="H126" s="279"/>
      <c r="I126" s="83">
        <f>SUM(I124+I125)</f>
        <v>355.50168000000008</v>
      </c>
      <c r="J126" s="24"/>
      <c r="K126" s="24"/>
      <c r="L126" s="24"/>
      <c r="M126" s="24"/>
      <c r="N126" s="24"/>
      <c r="O126" s="24"/>
      <c r="P126" s="24"/>
    </row>
    <row r="127" spans="1:16" ht="7.5" customHeight="1">
      <c r="A127" s="357"/>
      <c r="B127" s="278"/>
      <c r="C127" s="278"/>
      <c r="D127" s="278"/>
      <c r="E127" s="278"/>
      <c r="F127" s="278"/>
      <c r="G127" s="278"/>
      <c r="H127" s="278"/>
      <c r="I127" s="279"/>
      <c r="J127" s="24"/>
      <c r="K127" s="24"/>
      <c r="L127" s="24"/>
      <c r="M127" s="24"/>
      <c r="N127" s="24"/>
      <c r="O127" s="24"/>
      <c r="P127" s="24"/>
    </row>
    <row r="128" spans="1:16" ht="27.75" customHeight="1">
      <c r="A128" s="358" t="s">
        <v>159</v>
      </c>
      <c r="B128" s="278"/>
      <c r="C128" s="278"/>
      <c r="D128" s="278"/>
      <c r="E128" s="278"/>
      <c r="F128" s="278"/>
      <c r="G128" s="278"/>
      <c r="H128" s="278"/>
      <c r="I128" s="279"/>
      <c r="J128" s="24"/>
      <c r="K128" s="24"/>
      <c r="L128" s="24"/>
      <c r="M128" s="24"/>
      <c r="N128" s="24"/>
      <c r="O128" s="24"/>
      <c r="P128" s="24"/>
    </row>
    <row r="129" spans="1:16" ht="27" customHeight="1">
      <c r="A129" s="60">
        <v>3</v>
      </c>
      <c r="B129" s="318" t="s">
        <v>160</v>
      </c>
      <c r="C129" s="278"/>
      <c r="D129" s="278"/>
      <c r="E129" s="278"/>
      <c r="F129" s="278"/>
      <c r="G129" s="278"/>
      <c r="H129" s="279"/>
      <c r="I129" s="60" t="s">
        <v>95</v>
      </c>
      <c r="J129" s="24"/>
      <c r="K129" s="24"/>
      <c r="L129" s="24"/>
      <c r="M129" s="24"/>
      <c r="N129" s="24"/>
      <c r="O129" s="24"/>
      <c r="P129" s="24"/>
    </row>
    <row r="130" spans="1:16" ht="27" customHeight="1">
      <c r="A130" s="61" t="s">
        <v>47</v>
      </c>
      <c r="B130" s="302" t="s">
        <v>429</v>
      </c>
      <c r="C130" s="278"/>
      <c r="D130" s="278"/>
      <c r="E130" s="278"/>
      <c r="F130" s="278"/>
      <c r="G130" s="278"/>
      <c r="H130" s="279"/>
      <c r="I130" s="50">
        <f>Uniformes!G15</f>
        <v>81.202083333333334</v>
      </c>
      <c r="J130" s="24"/>
      <c r="K130" s="24"/>
      <c r="L130" s="24"/>
      <c r="M130" s="24"/>
      <c r="N130" s="24"/>
      <c r="O130" s="24"/>
      <c r="P130" s="24"/>
    </row>
    <row r="131" spans="1:16" ht="15.75" customHeight="1">
      <c r="A131" s="61" t="s">
        <v>49</v>
      </c>
      <c r="B131" s="282" t="s">
        <v>384</v>
      </c>
      <c r="C131" s="278"/>
      <c r="D131" s="278"/>
      <c r="E131" s="278"/>
      <c r="F131" s="278"/>
      <c r="G131" s="278"/>
      <c r="H131" s="279"/>
      <c r="I131" s="66">
        <f>Equipamentos!F46</f>
        <v>52.859166666666674</v>
      </c>
      <c r="J131" s="24"/>
      <c r="K131" s="24"/>
      <c r="L131" s="24"/>
      <c r="M131" s="24"/>
      <c r="N131" s="24"/>
      <c r="O131" s="24"/>
      <c r="P131" s="24"/>
    </row>
    <row r="132" spans="1:16" ht="24.95" customHeight="1">
      <c r="A132" s="61" t="s">
        <v>51</v>
      </c>
      <c r="B132" s="425" t="s">
        <v>370</v>
      </c>
      <c r="C132" s="426"/>
      <c r="D132" s="426"/>
      <c r="E132" s="426"/>
      <c r="F132" s="426"/>
      <c r="G132" s="426"/>
      <c r="H132" s="427"/>
      <c r="I132" s="66">
        <f>Equipamentos!F40</f>
        <v>7.8226388888888891</v>
      </c>
      <c r="J132" s="24"/>
      <c r="K132" s="24"/>
      <c r="L132" s="24"/>
      <c r="M132" s="24"/>
      <c r="N132" s="24"/>
      <c r="O132" s="24"/>
      <c r="P132" s="24"/>
    </row>
    <row r="133" spans="1:16" ht="15.75" customHeight="1">
      <c r="A133" s="340" t="s">
        <v>161</v>
      </c>
      <c r="B133" s="278"/>
      <c r="C133" s="278"/>
      <c r="D133" s="278"/>
      <c r="E133" s="278"/>
      <c r="F133" s="278"/>
      <c r="G133" s="278"/>
      <c r="H133" s="279"/>
      <c r="I133" s="84">
        <f>ROUND(SUM(I130:I132),2)</f>
        <v>141.88</v>
      </c>
      <c r="J133" s="24"/>
      <c r="K133" s="24"/>
      <c r="L133" s="24"/>
      <c r="M133" s="24"/>
      <c r="N133" s="24"/>
      <c r="O133" s="24"/>
      <c r="P133" s="24"/>
    </row>
    <row r="134" spans="1:16" ht="7.5" customHeight="1">
      <c r="A134" s="428"/>
      <c r="B134" s="278"/>
      <c r="C134" s="278"/>
      <c r="D134" s="278"/>
      <c r="E134" s="278"/>
      <c r="F134" s="278"/>
      <c r="G134" s="278"/>
      <c r="H134" s="278"/>
      <c r="I134" s="279"/>
      <c r="J134" s="24"/>
      <c r="K134" s="24"/>
      <c r="L134" s="24"/>
      <c r="M134" s="24"/>
      <c r="N134" s="24"/>
      <c r="O134" s="24"/>
      <c r="P134" s="24"/>
    </row>
    <row r="135" spans="1:16" ht="15.75" customHeight="1">
      <c r="A135" s="429" t="s">
        <v>162</v>
      </c>
      <c r="B135" s="278"/>
      <c r="C135" s="278"/>
      <c r="D135" s="278"/>
      <c r="E135" s="278"/>
      <c r="F135" s="278"/>
      <c r="G135" s="278"/>
      <c r="H135" s="278"/>
      <c r="I135" s="279"/>
      <c r="J135" s="24"/>
      <c r="K135" s="24"/>
      <c r="L135" s="24"/>
      <c r="M135" s="24"/>
      <c r="N135" s="24"/>
      <c r="O135" s="24"/>
      <c r="P135" s="24"/>
    </row>
    <row r="136" spans="1:16" ht="6.75" customHeight="1">
      <c r="A136" s="85"/>
      <c r="B136" s="86"/>
      <c r="C136" s="86"/>
      <c r="D136" s="86"/>
      <c r="E136" s="86"/>
      <c r="F136" s="86"/>
      <c r="G136" s="86"/>
      <c r="H136" s="86"/>
      <c r="I136" s="87"/>
      <c r="J136" s="24"/>
      <c r="K136" s="24"/>
      <c r="L136" s="24"/>
      <c r="M136" s="24"/>
      <c r="N136" s="24"/>
      <c r="O136" s="24"/>
      <c r="P136" s="24"/>
    </row>
    <row r="137" spans="1:16" ht="15.75" customHeight="1">
      <c r="A137" s="350" t="s">
        <v>163</v>
      </c>
      <c r="B137" s="278"/>
      <c r="C137" s="278"/>
      <c r="D137" s="278"/>
      <c r="E137" s="278"/>
      <c r="F137" s="278"/>
      <c r="G137" s="278"/>
      <c r="H137" s="278"/>
      <c r="I137" s="279"/>
      <c r="J137" s="24"/>
      <c r="K137" s="24"/>
      <c r="L137" s="24"/>
      <c r="M137" s="24"/>
      <c r="N137" s="24"/>
      <c r="O137" s="24"/>
      <c r="P137" s="24"/>
    </row>
    <row r="138" spans="1:16" ht="30" customHeight="1">
      <c r="A138" s="60">
        <v>6</v>
      </c>
      <c r="B138" s="351" t="s">
        <v>164</v>
      </c>
      <c r="C138" s="278"/>
      <c r="D138" s="278"/>
      <c r="E138" s="278"/>
      <c r="F138" s="278"/>
      <c r="G138" s="279"/>
      <c r="H138" s="46" t="s">
        <v>81</v>
      </c>
      <c r="I138" s="88" t="s">
        <v>102</v>
      </c>
      <c r="J138" s="24"/>
      <c r="K138" s="24"/>
      <c r="L138" s="24"/>
      <c r="M138" s="24"/>
      <c r="N138" s="24"/>
      <c r="O138" s="24"/>
      <c r="P138" s="24"/>
    </row>
    <row r="139" spans="1:16" ht="50.25" customHeight="1">
      <c r="A139" s="302" t="s">
        <v>165</v>
      </c>
      <c r="B139" s="278"/>
      <c r="C139" s="278"/>
      <c r="D139" s="278"/>
      <c r="E139" s="278"/>
      <c r="F139" s="278"/>
      <c r="G139" s="279"/>
      <c r="H139" s="89" t="s">
        <v>22</v>
      </c>
      <c r="I139" s="50">
        <f>SUM(I40+I90+I99+I126+I133)</f>
        <v>5036.6116800000009</v>
      </c>
      <c r="J139" s="24"/>
      <c r="K139" s="24"/>
      <c r="L139" s="24"/>
      <c r="M139" s="24"/>
      <c r="N139" s="24"/>
      <c r="O139" s="24"/>
      <c r="P139" s="24"/>
    </row>
    <row r="140" spans="1:16" ht="15.75" customHeight="1">
      <c r="A140" s="89" t="s">
        <v>47</v>
      </c>
      <c r="B140" s="430" t="s">
        <v>24</v>
      </c>
      <c r="C140" s="278"/>
      <c r="D140" s="278"/>
      <c r="E140" s="278"/>
      <c r="F140" s="278"/>
      <c r="G140" s="279"/>
      <c r="H140" s="49">
        <v>0.06</v>
      </c>
      <c r="I140" s="50">
        <f>ROUND(H140*I139,2)</f>
        <v>302.2</v>
      </c>
      <c r="J140" s="24"/>
      <c r="K140" s="24"/>
      <c r="L140" s="24"/>
      <c r="M140" s="24"/>
      <c r="N140" s="24"/>
      <c r="O140" s="24"/>
      <c r="P140" s="24"/>
    </row>
    <row r="141" spans="1:16" ht="50.25" customHeight="1">
      <c r="A141" s="302" t="s">
        <v>166</v>
      </c>
      <c r="B141" s="278"/>
      <c r="C141" s="278"/>
      <c r="D141" s="278"/>
      <c r="E141" s="278"/>
      <c r="F141" s="278"/>
      <c r="G141" s="279"/>
      <c r="H141" s="35" t="s">
        <v>22</v>
      </c>
      <c r="I141" s="50">
        <f>SUM(I40+I90+I99+I126+I133+I140)</f>
        <v>5338.8116800000007</v>
      </c>
      <c r="J141" s="24"/>
      <c r="K141" s="24"/>
      <c r="L141" s="24"/>
      <c r="M141" s="24"/>
      <c r="N141" s="24"/>
      <c r="O141" s="24"/>
      <c r="P141" s="24"/>
    </row>
    <row r="142" spans="1:16" ht="15.75" customHeight="1">
      <c r="A142" s="89" t="s">
        <v>49</v>
      </c>
      <c r="B142" s="430" t="s">
        <v>26</v>
      </c>
      <c r="C142" s="278"/>
      <c r="D142" s="278"/>
      <c r="E142" s="278"/>
      <c r="F142" s="278"/>
      <c r="G142" s="279"/>
      <c r="H142" s="49">
        <v>6.7900000000000002E-2</v>
      </c>
      <c r="I142" s="50">
        <f>ROUND(H142*I141,2)</f>
        <v>362.51</v>
      </c>
      <c r="J142" s="24"/>
      <c r="K142" s="24"/>
      <c r="L142" s="24"/>
      <c r="M142" s="24"/>
      <c r="N142" s="24"/>
      <c r="O142" s="24"/>
      <c r="P142" s="24"/>
    </row>
    <row r="143" spans="1:16" ht="48.75" customHeight="1">
      <c r="A143" s="302" t="s">
        <v>167</v>
      </c>
      <c r="B143" s="278"/>
      <c r="C143" s="278"/>
      <c r="D143" s="278"/>
      <c r="E143" s="278"/>
      <c r="F143" s="278"/>
      <c r="G143" s="279"/>
      <c r="H143" s="35" t="s">
        <v>22</v>
      </c>
      <c r="I143" s="50">
        <f>SUM(I139+I140+I142)</f>
        <v>5701.3216800000009</v>
      </c>
      <c r="J143" s="24"/>
      <c r="K143" s="24"/>
      <c r="L143" s="24"/>
      <c r="M143" s="24"/>
      <c r="N143" s="24"/>
      <c r="O143" s="24"/>
      <c r="P143" s="24"/>
    </row>
    <row r="144" spans="1:16" ht="16.5" customHeight="1">
      <c r="A144" s="91" t="s">
        <v>51</v>
      </c>
      <c r="B144" s="431" t="s">
        <v>168</v>
      </c>
      <c r="C144" s="278"/>
      <c r="D144" s="278"/>
      <c r="E144" s="278"/>
      <c r="F144" s="278"/>
      <c r="G144" s="279"/>
      <c r="H144" s="35" t="s">
        <v>22</v>
      </c>
      <c r="I144" s="63" t="s">
        <v>22</v>
      </c>
      <c r="J144" s="24"/>
      <c r="K144" s="24"/>
      <c r="L144" s="24"/>
      <c r="M144" s="24"/>
      <c r="N144" s="24"/>
      <c r="O144" s="24"/>
      <c r="P144" s="24"/>
    </row>
    <row r="145" spans="1:16" ht="12.75" customHeight="1">
      <c r="A145" s="89"/>
      <c r="B145" s="312" t="s">
        <v>169</v>
      </c>
      <c r="C145" s="278"/>
      <c r="D145" s="278"/>
      <c r="E145" s="278"/>
      <c r="F145" s="278"/>
      <c r="G145" s="279"/>
      <c r="H145" s="35" t="s">
        <v>22</v>
      </c>
      <c r="I145" s="63" t="s">
        <v>22</v>
      </c>
      <c r="J145" s="24"/>
      <c r="K145" s="24"/>
      <c r="L145" s="24"/>
      <c r="M145" s="24"/>
      <c r="N145" s="24"/>
      <c r="O145" s="24"/>
      <c r="P145" s="24"/>
    </row>
    <row r="146" spans="1:16" ht="22.5" customHeight="1">
      <c r="A146" s="89"/>
      <c r="B146" s="302" t="s">
        <v>283</v>
      </c>
      <c r="C146" s="278"/>
      <c r="D146" s="278"/>
      <c r="E146" s="278"/>
      <c r="F146" s="278"/>
      <c r="G146" s="279"/>
      <c r="H146" s="97">
        <v>0.03</v>
      </c>
      <c r="I146" s="93">
        <f t="shared" ref="I146:I147" si="2">ROUND(($I$143/(1-$H$155))*H146,2)</f>
        <v>182.25</v>
      </c>
      <c r="J146" s="24"/>
      <c r="K146" s="24"/>
      <c r="L146" s="24"/>
      <c r="M146" s="24"/>
      <c r="N146" s="24"/>
      <c r="O146" s="24"/>
      <c r="P146" s="24"/>
    </row>
    <row r="147" spans="1:16" ht="22.5" customHeight="1">
      <c r="A147" s="89"/>
      <c r="B147" s="302" t="s">
        <v>284</v>
      </c>
      <c r="C147" s="278"/>
      <c r="D147" s="278"/>
      <c r="E147" s="278"/>
      <c r="F147" s="278"/>
      <c r="G147" s="279"/>
      <c r="H147" s="97">
        <v>6.4999999999999997E-3</v>
      </c>
      <c r="I147" s="93">
        <f t="shared" si="2"/>
        <v>39.49</v>
      </c>
      <c r="J147" s="24"/>
      <c r="K147" s="24"/>
      <c r="L147" s="24"/>
      <c r="M147" s="24"/>
      <c r="N147" s="24"/>
      <c r="O147" s="24"/>
      <c r="P147" s="24"/>
    </row>
    <row r="148" spans="1:16" ht="29.25" customHeight="1">
      <c r="A148" s="89"/>
      <c r="B148" s="302" t="s">
        <v>285</v>
      </c>
      <c r="C148" s="278"/>
      <c r="D148" s="278"/>
      <c r="E148" s="278"/>
      <c r="F148" s="278"/>
      <c r="G148" s="279"/>
      <c r="H148" s="94" t="s">
        <v>22</v>
      </c>
      <c r="I148" s="63" t="s">
        <v>22</v>
      </c>
      <c r="J148" s="24"/>
      <c r="K148" s="24"/>
      <c r="L148" s="24"/>
      <c r="M148" s="24"/>
      <c r="N148" s="24"/>
      <c r="O148" s="24"/>
      <c r="P148" s="24"/>
    </row>
    <row r="149" spans="1:16" ht="29.25" customHeight="1">
      <c r="A149" s="89"/>
      <c r="B149" s="302" t="s">
        <v>286</v>
      </c>
      <c r="C149" s="278"/>
      <c r="D149" s="278"/>
      <c r="E149" s="278"/>
      <c r="F149" s="278"/>
      <c r="G149" s="279"/>
      <c r="H149" s="94" t="s">
        <v>22</v>
      </c>
      <c r="I149" s="63" t="s">
        <v>22</v>
      </c>
      <c r="J149" s="24"/>
      <c r="K149" s="24"/>
      <c r="L149" s="24"/>
      <c r="M149" s="24"/>
      <c r="N149" s="24"/>
      <c r="O149" s="24"/>
      <c r="P149" s="24"/>
    </row>
    <row r="150" spans="1:16" ht="18" customHeight="1">
      <c r="A150" s="89"/>
      <c r="B150" s="302" t="s">
        <v>174</v>
      </c>
      <c r="C150" s="278"/>
      <c r="D150" s="278"/>
      <c r="E150" s="278"/>
      <c r="F150" s="278"/>
      <c r="G150" s="278"/>
      <c r="H150" s="95" t="s">
        <v>22</v>
      </c>
      <c r="I150" s="96" t="s">
        <v>22</v>
      </c>
      <c r="J150" s="24"/>
      <c r="K150" s="24"/>
      <c r="L150" s="24"/>
      <c r="M150" s="24"/>
      <c r="N150" s="24"/>
      <c r="O150" s="24"/>
      <c r="P150" s="24"/>
    </row>
    <row r="151" spans="1:16" ht="18" customHeight="1">
      <c r="A151" s="89"/>
      <c r="B151" s="302" t="s">
        <v>175</v>
      </c>
      <c r="C151" s="278"/>
      <c r="D151" s="278"/>
      <c r="E151" s="278"/>
      <c r="F151" s="278"/>
      <c r="G151" s="278"/>
      <c r="H151" s="95" t="s">
        <v>22</v>
      </c>
      <c r="I151" s="96" t="s">
        <v>22</v>
      </c>
      <c r="J151" s="24"/>
      <c r="K151" s="24"/>
      <c r="L151" s="24"/>
      <c r="M151" s="24"/>
      <c r="N151" s="24"/>
      <c r="O151" s="24"/>
      <c r="P151" s="24"/>
    </row>
    <row r="152" spans="1:16" ht="24.75" customHeight="1">
      <c r="A152" s="89"/>
      <c r="B152" s="345" t="s">
        <v>399</v>
      </c>
      <c r="C152" s="333"/>
      <c r="D152" s="333"/>
      <c r="E152" s="333"/>
      <c r="F152" s="333"/>
      <c r="G152" s="334"/>
      <c r="H152" s="97">
        <v>2.5000000000000001E-2</v>
      </c>
      <c r="I152" s="93">
        <f>ROUND(($I$143/(1-$H$155))*H152,2)</f>
        <v>151.87</v>
      </c>
      <c r="J152" s="24"/>
      <c r="K152" s="24"/>
      <c r="L152" s="24"/>
      <c r="M152" s="24"/>
      <c r="N152" s="24"/>
      <c r="O152" s="24"/>
      <c r="P152" s="24"/>
    </row>
    <row r="153" spans="1:16" ht="15.75" customHeight="1">
      <c r="A153" s="340" t="s">
        <v>41</v>
      </c>
      <c r="B153" s="278"/>
      <c r="C153" s="278"/>
      <c r="D153" s="278"/>
      <c r="E153" s="278"/>
      <c r="F153" s="278"/>
      <c r="G153" s="278"/>
      <c r="H153" s="279"/>
      <c r="I153" s="44">
        <f>SUM(I140+I142+I146+I147+I152)</f>
        <v>1038.3200000000002</v>
      </c>
      <c r="J153" s="24"/>
      <c r="K153" s="24"/>
      <c r="L153" s="24"/>
      <c r="M153" s="24"/>
      <c r="N153" s="24"/>
      <c r="O153" s="24"/>
      <c r="P153" s="24"/>
    </row>
    <row r="154" spans="1:16" ht="6.75" customHeight="1">
      <c r="A154" s="357"/>
      <c r="B154" s="278"/>
      <c r="C154" s="278"/>
      <c r="D154" s="278"/>
      <c r="E154" s="278"/>
      <c r="F154" s="278"/>
      <c r="G154" s="278"/>
      <c r="H154" s="278"/>
      <c r="I154" s="279"/>
      <c r="J154" s="24"/>
      <c r="K154" s="24"/>
      <c r="L154" s="24"/>
      <c r="M154" s="24"/>
      <c r="N154" s="24"/>
      <c r="O154" s="24"/>
      <c r="P154" s="24"/>
    </row>
    <row r="155" spans="1:16" ht="15.75" customHeight="1">
      <c r="A155" s="367" t="s">
        <v>176</v>
      </c>
      <c r="B155" s="368"/>
      <c r="C155" s="368"/>
      <c r="D155" s="368"/>
      <c r="E155" s="368"/>
      <c r="F155" s="368"/>
      <c r="G155" s="268"/>
      <c r="H155" s="183">
        <f t="shared" ref="H155:I155" si="3">SUM(H146:H152)</f>
        <v>6.1499999999999999E-2</v>
      </c>
      <c r="I155" s="184">
        <f t="shared" si="3"/>
        <v>373.61</v>
      </c>
      <c r="J155" s="24"/>
      <c r="K155" s="24"/>
      <c r="L155" s="24"/>
      <c r="M155" s="24"/>
      <c r="N155" s="24"/>
      <c r="O155" s="24"/>
      <c r="P155" s="24"/>
    </row>
    <row r="156" spans="1:16" ht="12.75" customHeight="1">
      <c r="A156" s="369" t="s">
        <v>177</v>
      </c>
      <c r="B156" s="370"/>
      <c r="C156" s="375" t="s">
        <v>178</v>
      </c>
      <c r="D156" s="370"/>
      <c r="E156" s="370"/>
      <c r="F156" s="370"/>
      <c r="G156" s="370"/>
      <c r="H156" s="370"/>
      <c r="I156" s="376"/>
      <c r="J156" s="24"/>
      <c r="K156" s="24"/>
      <c r="L156" s="24"/>
      <c r="M156" s="24"/>
      <c r="N156" s="24"/>
      <c r="O156" s="24"/>
      <c r="P156" s="24"/>
    </row>
    <row r="157" spans="1:16" ht="12" customHeight="1">
      <c r="A157" s="371"/>
      <c r="B157" s="372"/>
      <c r="C157" s="377" t="s">
        <v>179</v>
      </c>
      <c r="D157" s="372"/>
      <c r="E157" s="372"/>
      <c r="F157" s="372"/>
      <c r="G157" s="372"/>
      <c r="H157" s="372"/>
      <c r="I157" s="378"/>
      <c r="J157" s="24"/>
      <c r="K157" s="24"/>
      <c r="L157" s="24"/>
      <c r="M157" s="24"/>
      <c r="N157" s="24"/>
      <c r="O157" s="24"/>
      <c r="P157" s="24"/>
    </row>
    <row r="158" spans="1:16" ht="13.5" customHeight="1">
      <c r="A158" s="373"/>
      <c r="B158" s="374"/>
      <c r="C158" s="379" t="s">
        <v>180</v>
      </c>
      <c r="D158" s="374"/>
      <c r="E158" s="374"/>
      <c r="F158" s="374"/>
      <c r="G158" s="374"/>
      <c r="H158" s="374"/>
      <c r="I158" s="380"/>
      <c r="J158" s="24"/>
      <c r="K158" s="24"/>
      <c r="L158" s="24"/>
      <c r="M158" s="24"/>
      <c r="N158" s="24"/>
      <c r="O158" s="24"/>
      <c r="P158" s="24"/>
    </row>
    <row r="159" spans="1:16" ht="6.75" customHeight="1">
      <c r="A159" s="434"/>
      <c r="B159" s="276"/>
      <c r="C159" s="276"/>
      <c r="D159" s="276"/>
      <c r="E159" s="276"/>
      <c r="F159" s="276"/>
      <c r="G159" s="276"/>
      <c r="H159" s="276"/>
      <c r="I159" s="276"/>
      <c r="J159" s="24"/>
      <c r="K159" s="24"/>
      <c r="L159" s="24"/>
      <c r="M159" s="24"/>
      <c r="N159" s="24"/>
      <c r="O159" s="24"/>
      <c r="P159" s="24"/>
    </row>
    <row r="160" spans="1:16" ht="24" customHeight="1">
      <c r="A160" s="435" t="s">
        <v>181</v>
      </c>
      <c r="B160" s="278"/>
      <c r="C160" s="278"/>
      <c r="D160" s="278"/>
      <c r="E160" s="278"/>
      <c r="F160" s="278"/>
      <c r="G160" s="278"/>
      <c r="H160" s="278"/>
      <c r="I160" s="279"/>
      <c r="J160" s="24"/>
      <c r="K160" s="24"/>
      <c r="L160" s="24"/>
      <c r="M160" s="24"/>
      <c r="N160" s="24"/>
      <c r="O160" s="24"/>
      <c r="P160" s="24"/>
    </row>
    <row r="161" spans="1:16" ht="5.25" customHeight="1">
      <c r="A161" s="357"/>
      <c r="B161" s="278"/>
      <c r="C161" s="278"/>
      <c r="D161" s="278"/>
      <c r="E161" s="278"/>
      <c r="F161" s="278"/>
      <c r="G161" s="278"/>
      <c r="H161" s="278"/>
      <c r="I161" s="279"/>
      <c r="J161" s="24"/>
      <c r="K161" s="24"/>
      <c r="L161" s="24"/>
      <c r="M161" s="24"/>
      <c r="N161" s="24"/>
      <c r="O161" s="24"/>
      <c r="P161" s="24"/>
    </row>
    <row r="162" spans="1:16" ht="27.75" customHeight="1">
      <c r="A162" s="358" t="s">
        <v>287</v>
      </c>
      <c r="B162" s="278"/>
      <c r="C162" s="278"/>
      <c r="D162" s="278"/>
      <c r="E162" s="278"/>
      <c r="F162" s="278"/>
      <c r="G162" s="278"/>
      <c r="H162" s="278"/>
      <c r="I162" s="279"/>
      <c r="J162" s="24"/>
      <c r="K162" s="24"/>
      <c r="L162" s="24"/>
      <c r="M162" s="24"/>
      <c r="N162" s="24"/>
      <c r="O162" s="24"/>
      <c r="P162" s="24"/>
    </row>
    <row r="163" spans="1:16" ht="15" customHeight="1">
      <c r="A163" s="286" t="s">
        <v>183</v>
      </c>
      <c r="B163" s="278"/>
      <c r="C163" s="278"/>
      <c r="D163" s="278"/>
      <c r="E163" s="278"/>
      <c r="F163" s="278"/>
      <c r="G163" s="278"/>
      <c r="H163" s="279"/>
      <c r="I163" s="46" t="s">
        <v>95</v>
      </c>
      <c r="J163" s="24"/>
      <c r="K163" s="24"/>
      <c r="L163" s="24"/>
      <c r="M163" s="24"/>
      <c r="N163" s="24"/>
      <c r="O163" s="24"/>
      <c r="P163" s="24"/>
    </row>
    <row r="164" spans="1:16" ht="15" customHeight="1">
      <c r="A164" s="98" t="s">
        <v>47</v>
      </c>
      <c r="B164" s="432" t="s">
        <v>184</v>
      </c>
      <c r="C164" s="278"/>
      <c r="D164" s="278"/>
      <c r="E164" s="278"/>
      <c r="F164" s="278"/>
      <c r="G164" s="278"/>
      <c r="H164" s="278"/>
      <c r="I164" s="66">
        <f>I40</f>
        <v>2528.5800000000004</v>
      </c>
      <c r="J164" s="24"/>
      <c r="K164" s="182"/>
      <c r="L164" s="24"/>
      <c r="M164" s="24"/>
      <c r="N164" s="24"/>
      <c r="O164" s="24"/>
      <c r="P164" s="24"/>
    </row>
    <row r="165" spans="1:16" ht="15" customHeight="1">
      <c r="A165" s="98" t="s">
        <v>49</v>
      </c>
      <c r="B165" s="432" t="s">
        <v>185</v>
      </c>
      <c r="C165" s="278"/>
      <c r="D165" s="278"/>
      <c r="E165" s="278"/>
      <c r="F165" s="278"/>
      <c r="G165" s="278"/>
      <c r="H165" s="278"/>
      <c r="I165" s="66">
        <f>I90</f>
        <v>1839.2299999999998</v>
      </c>
      <c r="J165" s="24"/>
      <c r="K165" s="24"/>
      <c r="L165" s="24"/>
      <c r="M165" s="24"/>
      <c r="N165" s="24"/>
      <c r="O165" s="24"/>
      <c r="P165" s="24"/>
    </row>
    <row r="166" spans="1:16" ht="15" customHeight="1">
      <c r="A166" s="98" t="s">
        <v>51</v>
      </c>
      <c r="B166" s="432" t="s">
        <v>186</v>
      </c>
      <c r="C166" s="278"/>
      <c r="D166" s="278"/>
      <c r="E166" s="278"/>
      <c r="F166" s="278"/>
      <c r="G166" s="278"/>
      <c r="H166" s="278"/>
      <c r="I166" s="66">
        <f>I99</f>
        <v>171.42000000000002</v>
      </c>
      <c r="J166" s="24"/>
      <c r="K166" s="24"/>
      <c r="L166" s="24"/>
      <c r="M166" s="24"/>
      <c r="N166" s="24"/>
      <c r="O166" s="24"/>
      <c r="P166" s="24"/>
    </row>
    <row r="167" spans="1:16" ht="15" customHeight="1">
      <c r="A167" s="98" t="s">
        <v>54</v>
      </c>
      <c r="B167" s="432" t="s">
        <v>187</v>
      </c>
      <c r="C167" s="278"/>
      <c r="D167" s="278"/>
      <c r="E167" s="278"/>
      <c r="F167" s="278"/>
      <c r="G167" s="278"/>
      <c r="H167" s="278"/>
      <c r="I167" s="66">
        <f>I126</f>
        <v>355.50168000000008</v>
      </c>
      <c r="J167" s="24"/>
      <c r="K167" s="24"/>
      <c r="L167" s="24"/>
      <c r="M167" s="24"/>
      <c r="N167" s="24"/>
      <c r="O167" s="24"/>
      <c r="P167" s="24"/>
    </row>
    <row r="168" spans="1:16" ht="15" customHeight="1">
      <c r="A168" s="98" t="s">
        <v>109</v>
      </c>
      <c r="B168" s="432" t="s">
        <v>188</v>
      </c>
      <c r="C168" s="278"/>
      <c r="D168" s="278"/>
      <c r="E168" s="278"/>
      <c r="F168" s="278"/>
      <c r="G168" s="278"/>
      <c r="H168" s="278"/>
      <c r="I168" s="66">
        <f>I133</f>
        <v>141.88</v>
      </c>
      <c r="J168" s="24"/>
      <c r="K168" s="24"/>
      <c r="L168" s="24"/>
      <c r="M168" s="24"/>
      <c r="N168" s="24"/>
      <c r="O168" s="24"/>
      <c r="P168" s="24"/>
    </row>
    <row r="169" spans="1:16" ht="15" customHeight="1">
      <c r="A169" s="433" t="s">
        <v>189</v>
      </c>
      <c r="B169" s="278"/>
      <c r="C169" s="278"/>
      <c r="D169" s="278"/>
      <c r="E169" s="278"/>
      <c r="F169" s="278"/>
      <c r="G169" s="278"/>
      <c r="H169" s="293"/>
      <c r="I169" s="99">
        <f>ROUND(SUM(I164:I168),2)</f>
        <v>5036.6099999999997</v>
      </c>
      <c r="J169" s="24"/>
      <c r="K169" s="24"/>
      <c r="L169" s="24"/>
      <c r="M169" s="24"/>
      <c r="N169" s="24"/>
      <c r="O169" s="24"/>
      <c r="P169" s="24"/>
    </row>
    <row r="170" spans="1:16" ht="15" customHeight="1">
      <c r="A170" s="100" t="s">
        <v>111</v>
      </c>
      <c r="B170" s="432" t="s">
        <v>163</v>
      </c>
      <c r="C170" s="278"/>
      <c r="D170" s="278"/>
      <c r="E170" s="278"/>
      <c r="F170" s="278"/>
      <c r="G170" s="278"/>
      <c r="H170" s="278"/>
      <c r="I170" s="84">
        <f>I153</f>
        <v>1038.3200000000002</v>
      </c>
      <c r="J170" s="24"/>
      <c r="K170" s="24"/>
      <c r="L170" s="24"/>
      <c r="M170" s="24"/>
      <c r="N170" s="24"/>
      <c r="O170" s="24"/>
      <c r="P170" s="24"/>
    </row>
    <row r="171" spans="1:16" ht="15" customHeight="1">
      <c r="A171" s="433" t="s">
        <v>190</v>
      </c>
      <c r="B171" s="278"/>
      <c r="C171" s="278"/>
      <c r="D171" s="278"/>
      <c r="E171" s="278"/>
      <c r="F171" s="278"/>
      <c r="G171" s="278"/>
      <c r="H171" s="293"/>
      <c r="I171" s="99">
        <f>I169+I170</f>
        <v>6074.93</v>
      </c>
      <c r="J171" s="24"/>
      <c r="K171" s="24"/>
      <c r="L171" s="24"/>
      <c r="M171" s="24"/>
      <c r="N171" s="24"/>
      <c r="O171" s="24"/>
      <c r="P171" s="24"/>
    </row>
    <row r="172" spans="1:16" ht="7.5" customHeight="1">
      <c r="A172" s="361"/>
      <c r="B172" s="278"/>
      <c r="C172" s="278"/>
      <c r="D172" s="278"/>
      <c r="E172" s="278"/>
      <c r="F172" s="278"/>
      <c r="G172" s="278"/>
      <c r="H172" s="278"/>
      <c r="I172" s="279"/>
      <c r="J172" s="24"/>
      <c r="K172" s="24"/>
      <c r="L172" s="24"/>
      <c r="M172" s="24"/>
      <c r="N172" s="24"/>
      <c r="O172" s="24"/>
      <c r="P172" s="24"/>
    </row>
    <row r="173" spans="1:16" ht="15" hidden="1" customHeight="1">
      <c r="A173" s="101"/>
      <c r="B173" s="101"/>
      <c r="C173" s="101"/>
      <c r="D173" s="101"/>
      <c r="E173" s="101"/>
      <c r="F173" s="101"/>
      <c r="G173" s="101"/>
      <c r="H173" s="102"/>
      <c r="I173" s="103"/>
      <c r="J173" s="27"/>
      <c r="K173" s="104"/>
      <c r="L173" s="27"/>
      <c r="M173" s="105"/>
      <c r="N173" s="24"/>
      <c r="O173" s="24"/>
      <c r="P173" s="24"/>
    </row>
    <row r="174" spans="1:16" ht="31.5" customHeight="1">
      <c r="A174" s="362" t="s">
        <v>191</v>
      </c>
      <c r="B174" s="363"/>
      <c r="C174" s="363"/>
      <c r="D174" s="363"/>
      <c r="E174" s="363"/>
      <c r="F174" s="363"/>
      <c r="G174" s="363"/>
      <c r="H174" s="363"/>
      <c r="I174" s="364"/>
      <c r="J174" s="24"/>
      <c r="K174" s="24"/>
      <c r="L174" s="24"/>
      <c r="M174" s="24"/>
      <c r="N174" s="24"/>
      <c r="O174" s="24"/>
      <c r="P174" s="24"/>
    </row>
    <row r="175" spans="1:16" ht="45" customHeight="1">
      <c r="A175" s="365" t="s">
        <v>192</v>
      </c>
      <c r="B175" s="276"/>
      <c r="C175" s="276"/>
      <c r="D175" s="270"/>
      <c r="E175" s="365" t="s">
        <v>193</v>
      </c>
      <c r="F175" s="270"/>
      <c r="G175" s="32" t="s">
        <v>194</v>
      </c>
      <c r="H175" s="365" t="s">
        <v>195</v>
      </c>
      <c r="I175" s="270"/>
    </row>
    <row r="176" spans="1:16" ht="41.25" customHeight="1">
      <c r="A176" s="294" t="s">
        <v>425</v>
      </c>
      <c r="B176" s="278"/>
      <c r="C176" s="278"/>
      <c r="D176" s="279"/>
      <c r="E176" s="383">
        <f>I171</f>
        <v>6074.93</v>
      </c>
      <c r="F176" s="279"/>
      <c r="G176" s="106">
        <f>H13</f>
        <v>1</v>
      </c>
      <c r="H176" s="384">
        <f>E176*G176</f>
        <v>6074.93</v>
      </c>
      <c r="I176" s="279"/>
    </row>
    <row r="177" spans="1:16" ht="20.25" customHeight="1">
      <c r="A177" s="386" t="s">
        <v>197</v>
      </c>
      <c r="B177" s="278"/>
      <c r="C177" s="278"/>
      <c r="D177" s="278"/>
      <c r="E177" s="278"/>
      <c r="F177" s="279"/>
      <c r="G177" s="107">
        <f>SUM(G176)</f>
        <v>1</v>
      </c>
      <c r="H177" s="387">
        <f>SUM(H176:I176)</f>
        <v>6074.93</v>
      </c>
      <c r="I177" s="279"/>
    </row>
    <row r="178" spans="1:16" ht="6.75" customHeight="1">
      <c r="A178" s="504"/>
      <c r="B178" s="470"/>
      <c r="C178" s="470"/>
      <c r="D178" s="470"/>
      <c r="E178" s="470"/>
      <c r="F178" s="470"/>
      <c r="G178" s="470"/>
      <c r="H178" s="470"/>
      <c r="I178" s="505"/>
    </row>
    <row r="179" spans="1:16" ht="17.25" customHeight="1">
      <c r="A179" s="506" t="s">
        <v>198</v>
      </c>
      <c r="B179" s="276"/>
      <c r="C179" s="276"/>
      <c r="D179" s="276"/>
      <c r="E179" s="276"/>
      <c r="F179" s="276"/>
      <c r="G179" s="276"/>
      <c r="H179" s="276"/>
      <c r="I179" s="276"/>
    </row>
    <row r="180" spans="1:16" ht="6.75" customHeight="1">
      <c r="A180" s="507"/>
      <c r="B180" s="278"/>
      <c r="C180" s="278"/>
      <c r="D180" s="278"/>
      <c r="E180" s="278"/>
      <c r="F180" s="278"/>
      <c r="G180" s="278"/>
      <c r="H180" s="278"/>
      <c r="I180" s="279"/>
      <c r="J180" s="24"/>
      <c r="K180" s="24"/>
      <c r="L180" s="24"/>
      <c r="M180" s="24"/>
      <c r="N180" s="24"/>
      <c r="O180" s="24"/>
      <c r="P180" s="24"/>
    </row>
    <row r="181" spans="1:16" ht="18.75" customHeight="1">
      <c r="A181" s="396" t="s">
        <v>199</v>
      </c>
      <c r="B181" s="278"/>
      <c r="C181" s="278"/>
      <c r="D181" s="278"/>
      <c r="E181" s="278"/>
      <c r="F181" s="279"/>
      <c r="G181" s="395">
        <f>$H$177</f>
        <v>6074.93</v>
      </c>
      <c r="H181" s="278"/>
      <c r="I181" s="279"/>
      <c r="J181" s="24"/>
      <c r="K181" s="24"/>
      <c r="L181" s="24"/>
      <c r="M181" s="24"/>
      <c r="N181" s="24"/>
      <c r="O181" s="24"/>
      <c r="P181" s="24"/>
    </row>
    <row r="182" spans="1:16" ht="8.25" customHeight="1">
      <c r="A182" s="397"/>
      <c r="B182" s="398"/>
      <c r="C182" s="398"/>
      <c r="D182" s="398"/>
      <c r="E182" s="398"/>
      <c r="F182" s="398"/>
      <c r="G182" s="398"/>
      <c r="H182" s="398"/>
      <c r="I182" s="399"/>
      <c r="J182" s="24"/>
      <c r="K182" s="24"/>
      <c r="L182" s="24"/>
      <c r="M182" s="24"/>
      <c r="N182" s="24"/>
      <c r="O182" s="24"/>
      <c r="P182" s="24"/>
    </row>
    <row r="183" spans="1:16" ht="19.5" customHeight="1">
      <c r="A183" s="396" t="s">
        <v>200</v>
      </c>
      <c r="B183" s="278"/>
      <c r="C183" s="278"/>
      <c r="D183" s="278"/>
      <c r="E183" s="278"/>
      <c r="F183" s="279"/>
      <c r="G183" s="400">
        <f>$H$10</f>
        <v>12</v>
      </c>
      <c r="H183" s="278"/>
      <c r="I183" s="279"/>
      <c r="J183" s="24"/>
      <c r="K183" s="24"/>
      <c r="L183" s="24"/>
      <c r="M183" s="24"/>
      <c r="N183" s="24"/>
      <c r="O183" s="24"/>
      <c r="P183" s="24"/>
    </row>
    <row r="184" spans="1:16" ht="8.25" customHeight="1">
      <c r="A184" s="401"/>
      <c r="B184" s="278"/>
      <c r="C184" s="278"/>
      <c r="D184" s="278"/>
      <c r="E184" s="278"/>
      <c r="F184" s="278"/>
      <c r="G184" s="278"/>
      <c r="H184" s="278"/>
      <c r="I184" s="293"/>
      <c r="J184" s="24"/>
      <c r="K184" s="24"/>
      <c r="L184" s="24"/>
      <c r="M184" s="24"/>
      <c r="N184" s="24"/>
      <c r="O184" s="24"/>
      <c r="P184" s="24"/>
    </row>
    <row r="185" spans="1:16" ht="31.5" customHeight="1">
      <c r="A185" s="396" t="s">
        <v>288</v>
      </c>
      <c r="B185" s="278"/>
      <c r="C185" s="278"/>
      <c r="D185" s="278"/>
      <c r="E185" s="278"/>
      <c r="F185" s="279"/>
      <c r="G185" s="402">
        <f>ROUND(G181*G183,2)</f>
        <v>72899.16</v>
      </c>
      <c r="H185" s="278"/>
      <c r="I185" s="279"/>
      <c r="J185" s="24"/>
      <c r="K185" s="24"/>
      <c r="L185" s="24"/>
      <c r="M185" s="24"/>
      <c r="N185" s="24"/>
      <c r="O185" s="24"/>
      <c r="P185" s="24"/>
    </row>
    <row r="186" spans="1:16" ht="8.25" customHeight="1">
      <c r="A186" s="405"/>
      <c r="B186" s="278"/>
      <c r="C186" s="278"/>
      <c r="D186" s="278"/>
      <c r="E186" s="278"/>
      <c r="F186" s="278"/>
      <c r="G186" s="278"/>
      <c r="H186" s="278"/>
      <c r="I186" s="279"/>
      <c r="J186" s="24"/>
      <c r="K186" s="24"/>
      <c r="L186" s="24"/>
      <c r="M186" s="24"/>
      <c r="N186" s="24"/>
      <c r="O186" s="24"/>
      <c r="P186" s="24"/>
    </row>
    <row r="187" spans="1:16" ht="29.25" customHeight="1">
      <c r="A187" s="406" t="s">
        <v>202</v>
      </c>
      <c r="B187" s="278"/>
      <c r="C187" s="278"/>
      <c r="D187" s="278"/>
      <c r="E187" s="278"/>
      <c r="F187" s="278"/>
      <c r="G187" s="278"/>
      <c r="H187" s="278"/>
      <c r="I187" s="279"/>
      <c r="J187" s="24"/>
      <c r="K187" s="24"/>
      <c r="L187" s="24"/>
      <c r="M187" s="24"/>
      <c r="N187" s="24"/>
      <c r="O187" s="24"/>
      <c r="P187" s="24"/>
    </row>
    <row r="188" spans="1:16" ht="12" customHeight="1">
      <c r="A188" s="407" t="s">
        <v>203</v>
      </c>
      <c r="B188" s="296"/>
      <c r="C188" s="408"/>
      <c r="D188" s="410" t="s">
        <v>204</v>
      </c>
      <c r="E188" s="368"/>
      <c r="F188" s="368"/>
      <c r="G188" s="368"/>
      <c r="H188" s="368"/>
      <c r="I188" s="268"/>
      <c r="J188" s="24"/>
      <c r="K188" s="24"/>
      <c r="L188" s="24"/>
      <c r="M188" s="24"/>
      <c r="N188" s="24"/>
      <c r="O188" s="24"/>
      <c r="P188" s="24"/>
    </row>
    <row r="189" spans="1:16" ht="12" customHeight="1">
      <c r="A189" s="409"/>
      <c r="B189" s="276"/>
      <c r="C189" s="270"/>
      <c r="D189" s="409"/>
      <c r="E189" s="276"/>
      <c r="F189" s="276"/>
      <c r="G189" s="276"/>
      <c r="H189" s="276"/>
      <c r="I189" s="270"/>
      <c r="J189" s="24"/>
      <c r="K189" s="24"/>
      <c r="L189" s="24"/>
      <c r="M189" s="24"/>
      <c r="N189" s="24"/>
      <c r="O189" s="24"/>
      <c r="P189" s="24"/>
    </row>
    <row r="190" spans="1:16" ht="14.25" customHeight="1">
      <c r="A190" s="403" t="s">
        <v>205</v>
      </c>
      <c r="B190" s="278"/>
      <c r="C190" s="279"/>
      <c r="D190" s="411">
        <v>1</v>
      </c>
      <c r="E190" s="278"/>
      <c r="F190" s="278"/>
      <c r="G190" s="278"/>
      <c r="H190" s="278"/>
      <c r="I190" s="279"/>
      <c r="J190" s="24"/>
      <c r="K190" s="24"/>
      <c r="L190" s="24"/>
      <c r="M190" s="24"/>
      <c r="N190" s="24"/>
      <c r="O190" s="24"/>
      <c r="P190" s="24"/>
    </row>
    <row r="191" spans="1:16" ht="12.75" customHeight="1">
      <c r="A191" s="403"/>
      <c r="B191" s="278"/>
      <c r="C191" s="279"/>
      <c r="D191" s="411"/>
      <c r="E191" s="278"/>
      <c r="F191" s="278"/>
      <c r="G191" s="278"/>
      <c r="H191" s="278"/>
      <c r="I191" s="279"/>
      <c r="J191" s="24"/>
      <c r="K191" s="24"/>
      <c r="L191" s="24"/>
      <c r="M191" s="24"/>
      <c r="N191" s="24"/>
      <c r="O191" s="24"/>
      <c r="P191" s="24"/>
    </row>
    <row r="192" spans="1:16" ht="12.75" customHeight="1">
      <c r="A192" s="404"/>
      <c r="B192" s="278"/>
      <c r="C192" s="279"/>
      <c r="D192" s="411"/>
      <c r="E192" s="278"/>
      <c r="F192" s="278"/>
      <c r="G192" s="278"/>
      <c r="H192" s="278"/>
      <c r="I192" s="279"/>
      <c r="J192" s="24"/>
      <c r="K192" s="24"/>
      <c r="L192" s="24"/>
      <c r="M192" s="24"/>
      <c r="N192" s="24"/>
      <c r="O192" s="24"/>
      <c r="P192" s="24"/>
    </row>
    <row r="193" spans="1:16" ht="15" customHeight="1">
      <c r="A193" s="417"/>
      <c r="B193" s="368"/>
      <c r="C193" s="368"/>
      <c r="D193" s="368"/>
      <c r="E193" s="368"/>
      <c r="F193" s="368"/>
      <c r="G193" s="368"/>
      <c r="H193" s="368"/>
      <c r="I193" s="268"/>
      <c r="J193" s="24"/>
      <c r="K193" s="24"/>
      <c r="L193" s="24"/>
      <c r="M193" s="24"/>
      <c r="N193" s="24"/>
      <c r="O193" s="24"/>
      <c r="P193" s="24"/>
    </row>
    <row r="194" spans="1:16" ht="12" hidden="1" customHeight="1">
      <c r="A194" s="418"/>
      <c r="B194" s="419"/>
      <c r="C194" s="419"/>
      <c r="D194" s="419"/>
      <c r="E194" s="419"/>
      <c r="F194" s="419"/>
      <c r="G194" s="419"/>
      <c r="H194" s="419"/>
      <c r="I194" s="408"/>
      <c r="J194" s="24"/>
      <c r="K194" s="24"/>
      <c r="L194" s="24"/>
      <c r="M194" s="24"/>
      <c r="N194" s="24"/>
      <c r="O194" s="24"/>
      <c r="P194" s="24"/>
    </row>
    <row r="195" spans="1:16" ht="27" customHeight="1">
      <c r="A195" s="420" t="s">
        <v>206</v>
      </c>
      <c r="B195" s="421"/>
      <c r="C195" s="421"/>
      <c r="D195" s="421"/>
      <c r="E195" s="421"/>
      <c r="F195" s="421"/>
      <c r="G195" s="421"/>
      <c r="H195" s="421"/>
      <c r="I195" s="422"/>
      <c r="J195" s="24"/>
      <c r="K195" s="24"/>
      <c r="L195" s="24"/>
      <c r="M195" s="24"/>
      <c r="N195" s="24"/>
      <c r="O195" s="24"/>
      <c r="P195" s="24"/>
    </row>
    <row r="196" spans="1:16" ht="12.75" customHeight="1">
      <c r="A196" s="423" t="s">
        <v>207</v>
      </c>
      <c r="B196" s="242"/>
      <c r="C196" s="242"/>
      <c r="D196" s="242"/>
      <c r="E196" s="242"/>
      <c r="F196" s="242"/>
      <c r="G196" s="243"/>
      <c r="H196" s="413" t="s">
        <v>208</v>
      </c>
      <c r="I196" s="260"/>
      <c r="J196" s="24"/>
      <c r="K196" s="24"/>
      <c r="L196" s="24"/>
      <c r="M196" s="24"/>
      <c r="N196" s="24"/>
      <c r="O196" s="24"/>
      <c r="P196" s="24"/>
    </row>
    <row r="197" spans="1:16" ht="15" customHeight="1">
      <c r="A197" s="424"/>
      <c r="B197" s="242"/>
      <c r="C197" s="242"/>
      <c r="D197" s="242"/>
      <c r="E197" s="242"/>
      <c r="F197" s="242"/>
      <c r="G197" s="243"/>
      <c r="H197" s="413"/>
      <c r="I197" s="260"/>
      <c r="J197" s="24"/>
      <c r="K197" s="24"/>
      <c r="L197" s="24"/>
      <c r="M197" s="24"/>
      <c r="N197" s="24"/>
      <c r="O197" s="24"/>
      <c r="P197" s="24"/>
    </row>
    <row r="198" spans="1:16" ht="12.75" customHeight="1">
      <c r="A198" s="412"/>
      <c r="B198" s="242"/>
      <c r="C198" s="242"/>
      <c r="D198" s="242"/>
      <c r="E198" s="242"/>
      <c r="F198" s="242"/>
      <c r="G198" s="243"/>
      <c r="H198" s="413"/>
      <c r="I198" s="260"/>
      <c r="J198" s="24"/>
      <c r="K198" s="24"/>
      <c r="L198" s="24"/>
      <c r="M198" s="24"/>
      <c r="N198" s="24"/>
      <c r="O198" s="24"/>
      <c r="P198" s="24"/>
    </row>
    <row r="199" spans="1:16" ht="12.75" customHeight="1">
      <c r="A199" s="414"/>
      <c r="B199" s="265"/>
      <c r="C199" s="265"/>
      <c r="D199" s="265"/>
      <c r="E199" s="265"/>
      <c r="F199" s="265"/>
      <c r="G199" s="266"/>
      <c r="H199" s="415"/>
      <c r="I199" s="416"/>
      <c r="J199" s="24"/>
      <c r="K199" s="24"/>
      <c r="L199" s="24"/>
      <c r="M199" s="24"/>
      <c r="N199" s="24"/>
      <c r="O199" s="24"/>
      <c r="P199" s="24"/>
    </row>
    <row r="200" spans="1:16" ht="12" customHeight="1">
      <c r="A200" s="24"/>
      <c r="B200" s="24"/>
      <c r="C200" s="24"/>
      <c r="D200" s="24"/>
      <c r="E200" s="24"/>
      <c r="F200" s="24"/>
      <c r="G200" s="24"/>
      <c r="H200" s="24"/>
      <c r="I200" s="108"/>
      <c r="J200" s="24"/>
      <c r="K200" s="24"/>
      <c r="L200" s="24"/>
      <c r="M200" s="24"/>
      <c r="N200" s="24"/>
      <c r="O200" s="24"/>
      <c r="P200" s="24"/>
    </row>
    <row r="201" spans="1:16" ht="12" customHeight="1">
      <c r="A201" s="24"/>
      <c r="B201" s="24"/>
      <c r="C201" s="24"/>
      <c r="D201" s="24"/>
      <c r="E201" s="24"/>
      <c r="F201" s="24"/>
      <c r="G201" s="24"/>
      <c r="H201" s="24"/>
      <c r="I201" s="108"/>
      <c r="J201" s="24"/>
      <c r="K201" s="24"/>
      <c r="L201" s="24"/>
      <c r="M201" s="24"/>
      <c r="N201" s="24"/>
      <c r="O201" s="24"/>
      <c r="P201" s="24"/>
    </row>
    <row r="202" spans="1:16" ht="12" customHeight="1">
      <c r="A202" s="24"/>
      <c r="B202" s="24"/>
      <c r="C202" s="24"/>
      <c r="D202" s="24"/>
      <c r="E202" s="24"/>
      <c r="F202" s="24"/>
      <c r="G202" s="24"/>
      <c r="H202" s="24"/>
      <c r="I202" s="108"/>
      <c r="J202" s="24"/>
      <c r="K202" s="24"/>
      <c r="L202" s="24"/>
      <c r="M202" s="24"/>
      <c r="N202" s="24"/>
      <c r="O202" s="24"/>
      <c r="P202" s="24"/>
    </row>
    <row r="203" spans="1:16" ht="12" customHeight="1">
      <c r="A203" s="24"/>
      <c r="B203" s="24"/>
      <c r="C203" s="24"/>
      <c r="D203" s="24"/>
      <c r="E203" s="24"/>
      <c r="F203" s="24"/>
      <c r="G203" s="24"/>
      <c r="H203" s="24"/>
      <c r="I203" s="108"/>
      <c r="J203" s="24"/>
      <c r="K203" s="24"/>
      <c r="L203" s="24"/>
      <c r="M203" s="24"/>
      <c r="N203" s="24"/>
      <c r="O203" s="24"/>
      <c r="P203" s="24"/>
    </row>
    <row r="204" spans="1:16" ht="12" customHeight="1">
      <c r="A204" s="24"/>
      <c r="B204" s="24"/>
      <c r="C204" s="24"/>
      <c r="D204" s="24"/>
      <c r="E204" s="24"/>
      <c r="F204" s="24"/>
      <c r="G204" s="24"/>
      <c r="H204" s="24"/>
      <c r="I204" s="108"/>
      <c r="J204" s="24"/>
      <c r="K204" s="24"/>
      <c r="L204" s="24"/>
      <c r="M204" s="24"/>
      <c r="N204" s="24"/>
      <c r="O204" s="24"/>
      <c r="P204" s="24"/>
    </row>
    <row r="205" spans="1:16" ht="12" customHeight="1">
      <c r="A205" s="24"/>
      <c r="B205" s="24"/>
      <c r="C205" s="24"/>
      <c r="D205" s="24"/>
      <c r="E205" s="24"/>
      <c r="F205" s="24"/>
      <c r="G205" s="24"/>
      <c r="H205" s="24"/>
      <c r="I205" s="108"/>
      <c r="J205" s="24"/>
      <c r="K205" s="24"/>
      <c r="L205" s="24"/>
      <c r="M205" s="24"/>
      <c r="N205" s="24"/>
      <c r="O205" s="24"/>
      <c r="P205" s="24"/>
    </row>
  </sheetData>
  <mergeCells count="233">
    <mergeCell ref="A159:I159"/>
    <mergeCell ref="A160:I160"/>
    <mergeCell ref="A161:I161"/>
    <mergeCell ref="A162:I162"/>
    <mergeCell ref="A163:H163"/>
    <mergeCell ref="B164:H164"/>
    <mergeCell ref="B146:G146"/>
    <mergeCell ref="B147:G147"/>
    <mergeCell ref="B148:G148"/>
    <mergeCell ref="B149:G149"/>
    <mergeCell ref="C156:I156"/>
    <mergeCell ref="C157:I157"/>
    <mergeCell ref="B150:G150"/>
    <mergeCell ref="B151:G151"/>
    <mergeCell ref="B152:G152"/>
    <mergeCell ref="A153:H153"/>
    <mergeCell ref="A154:I154"/>
    <mergeCell ref="A155:G155"/>
    <mergeCell ref="A156:B158"/>
    <mergeCell ref="C158:I158"/>
    <mergeCell ref="A137:I137"/>
    <mergeCell ref="B138:G138"/>
    <mergeCell ref="A139:G139"/>
    <mergeCell ref="B140:G140"/>
    <mergeCell ref="A141:G141"/>
    <mergeCell ref="B142:G142"/>
    <mergeCell ref="A143:G143"/>
    <mergeCell ref="B144:G144"/>
    <mergeCell ref="B145:G145"/>
    <mergeCell ref="A198:G198"/>
    <mergeCell ref="H198:I198"/>
    <mergeCell ref="A199:G199"/>
    <mergeCell ref="H199:I199"/>
    <mergeCell ref="D192:I192"/>
    <mergeCell ref="A193:I194"/>
    <mergeCell ref="A195:I195"/>
    <mergeCell ref="A196:G196"/>
    <mergeCell ref="H196:I196"/>
    <mergeCell ref="A197:G197"/>
    <mergeCell ref="H197:I197"/>
    <mergeCell ref="A184:I184"/>
    <mergeCell ref="A185:F185"/>
    <mergeCell ref="G185:I185"/>
    <mergeCell ref="A191:C191"/>
    <mergeCell ref="A192:C192"/>
    <mergeCell ref="A186:I186"/>
    <mergeCell ref="A187:I187"/>
    <mergeCell ref="A188:C189"/>
    <mergeCell ref="D188:I189"/>
    <mergeCell ref="A190:C190"/>
    <mergeCell ref="D190:I190"/>
    <mergeCell ref="D191:I191"/>
    <mergeCell ref="A177:F177"/>
    <mergeCell ref="H177:I177"/>
    <mergeCell ref="A178:I178"/>
    <mergeCell ref="A179:I179"/>
    <mergeCell ref="A180:I180"/>
    <mergeCell ref="G181:I181"/>
    <mergeCell ref="A181:F181"/>
    <mergeCell ref="A182:I182"/>
    <mergeCell ref="A183:F183"/>
    <mergeCell ref="G183:I183"/>
    <mergeCell ref="A171:H171"/>
    <mergeCell ref="A172:I172"/>
    <mergeCell ref="A174:I174"/>
    <mergeCell ref="A175:D175"/>
    <mergeCell ref="E175:F175"/>
    <mergeCell ref="H175:I175"/>
    <mergeCell ref="E176:F176"/>
    <mergeCell ref="H176:I176"/>
    <mergeCell ref="A176:D176"/>
    <mergeCell ref="B118:H118"/>
    <mergeCell ref="B119:H119"/>
    <mergeCell ref="A120:H120"/>
    <mergeCell ref="B165:H165"/>
    <mergeCell ref="B166:H166"/>
    <mergeCell ref="B167:H167"/>
    <mergeCell ref="B168:H168"/>
    <mergeCell ref="A169:H169"/>
    <mergeCell ref="B170:H170"/>
    <mergeCell ref="A121:I121"/>
    <mergeCell ref="A122:I122"/>
    <mergeCell ref="B123:H123"/>
    <mergeCell ref="B124:H124"/>
    <mergeCell ref="B125:H125"/>
    <mergeCell ref="A126:H126"/>
    <mergeCell ref="A127:I127"/>
    <mergeCell ref="A128:I128"/>
    <mergeCell ref="B129:H129"/>
    <mergeCell ref="B130:H130"/>
    <mergeCell ref="B131:H131"/>
    <mergeCell ref="B132:H132"/>
    <mergeCell ref="A133:H133"/>
    <mergeCell ref="A134:I134"/>
    <mergeCell ref="A135:I135"/>
    <mergeCell ref="B109:F109"/>
    <mergeCell ref="B110:H110"/>
    <mergeCell ref="B111:H111"/>
    <mergeCell ref="B112:H112"/>
    <mergeCell ref="B113:H113"/>
    <mergeCell ref="B114:H114"/>
    <mergeCell ref="A115:H115"/>
    <mergeCell ref="A116:I116"/>
    <mergeCell ref="A117:I117"/>
    <mergeCell ref="A99:H99"/>
    <mergeCell ref="A100:I100"/>
    <mergeCell ref="A101:I101"/>
    <mergeCell ref="A102:I102"/>
    <mergeCell ref="A103:I103"/>
    <mergeCell ref="A104:I104"/>
    <mergeCell ref="A106:I106"/>
    <mergeCell ref="A107:I107"/>
    <mergeCell ref="B108:H108"/>
    <mergeCell ref="A90:H90"/>
    <mergeCell ref="A91:I91"/>
    <mergeCell ref="A92:I92"/>
    <mergeCell ref="B93:H93"/>
    <mergeCell ref="B94:H94"/>
    <mergeCell ref="B95:H95"/>
    <mergeCell ref="B96:H96"/>
    <mergeCell ref="B97:H97"/>
    <mergeCell ref="B98:G98"/>
    <mergeCell ref="B81:H81"/>
    <mergeCell ref="A82:I82"/>
    <mergeCell ref="A83:I83"/>
    <mergeCell ref="A84:I84"/>
    <mergeCell ref="A85:I85"/>
    <mergeCell ref="B86:H86"/>
    <mergeCell ref="B87:H87"/>
    <mergeCell ref="B88:H88"/>
    <mergeCell ref="B89:H89"/>
    <mergeCell ref="B72:G72"/>
    <mergeCell ref="B73:H73"/>
    <mergeCell ref="B74:G74"/>
    <mergeCell ref="B75:G75"/>
    <mergeCell ref="B76:G76"/>
    <mergeCell ref="B77:H77"/>
    <mergeCell ref="B78:H78"/>
    <mergeCell ref="B79:H79"/>
    <mergeCell ref="B80:H80"/>
    <mergeCell ref="B48:G48"/>
    <mergeCell ref="A64:I64"/>
    <mergeCell ref="A65:I65"/>
    <mergeCell ref="A66:I66"/>
    <mergeCell ref="B67:H67"/>
    <mergeCell ref="B68:H68"/>
    <mergeCell ref="B69:G69"/>
    <mergeCell ref="B70:G70"/>
    <mergeCell ref="B71:G71"/>
    <mergeCell ref="B56:C56"/>
    <mergeCell ref="B57:G57"/>
    <mergeCell ref="B58:G58"/>
    <mergeCell ref="B59:G59"/>
    <mergeCell ref="B60:G60"/>
    <mergeCell ref="B61:G61"/>
    <mergeCell ref="A62:G62"/>
    <mergeCell ref="A49:H49"/>
    <mergeCell ref="A50:I50"/>
    <mergeCell ref="A51:I51"/>
    <mergeCell ref="A52:I52"/>
    <mergeCell ref="B53:G53"/>
    <mergeCell ref="B54:G54"/>
    <mergeCell ref="B55:G55"/>
    <mergeCell ref="A39:I39"/>
    <mergeCell ref="A40:H40"/>
    <mergeCell ref="A41:I41"/>
    <mergeCell ref="A42:I42"/>
    <mergeCell ref="A43:I43"/>
    <mergeCell ref="A44:I44"/>
    <mergeCell ref="A45:I45"/>
    <mergeCell ref="B46:H46"/>
    <mergeCell ref="B47:G47"/>
    <mergeCell ref="B26:G26"/>
    <mergeCell ref="B24:G24"/>
    <mergeCell ref="H24:I24"/>
    <mergeCell ref="H26:I26"/>
    <mergeCell ref="B17:G17"/>
    <mergeCell ref="H17:I17"/>
    <mergeCell ref="B18:G18"/>
    <mergeCell ref="H18:I18"/>
    <mergeCell ref="B19:G19"/>
    <mergeCell ref="H19:I19"/>
    <mergeCell ref="H20:I20"/>
    <mergeCell ref="B20:G20"/>
    <mergeCell ref="B21:G21"/>
    <mergeCell ref="H21:I21"/>
    <mergeCell ref="B35:G35"/>
    <mergeCell ref="A36:H36"/>
    <mergeCell ref="A37:I37"/>
    <mergeCell ref="B38:H38"/>
    <mergeCell ref="A14:G14"/>
    <mergeCell ref="H14:I14"/>
    <mergeCell ref="A15:I15"/>
    <mergeCell ref="A16:I16"/>
    <mergeCell ref="J16:P16"/>
    <mergeCell ref="B27:G27"/>
    <mergeCell ref="H27:I27"/>
    <mergeCell ref="A28:I28"/>
    <mergeCell ref="A29:I29"/>
    <mergeCell ref="A30:I30"/>
    <mergeCell ref="A31:I31"/>
    <mergeCell ref="B32:G32"/>
    <mergeCell ref="B33:H33"/>
    <mergeCell ref="B34:H34"/>
    <mergeCell ref="B22:G22"/>
    <mergeCell ref="H22:I22"/>
    <mergeCell ref="B23:G23"/>
    <mergeCell ref="H23:I23"/>
    <mergeCell ref="B25:G25"/>
    <mergeCell ref="H25:I25"/>
    <mergeCell ref="B8:G8"/>
    <mergeCell ref="H8:I8"/>
    <mergeCell ref="B9:G9"/>
    <mergeCell ref="H9:I9"/>
    <mergeCell ref="F13:G13"/>
    <mergeCell ref="H13:I13"/>
    <mergeCell ref="B10:G10"/>
    <mergeCell ref="H10:I10"/>
    <mergeCell ref="A11:I11"/>
    <mergeCell ref="A12:E12"/>
    <mergeCell ref="F12:G12"/>
    <mergeCell ref="H12:I12"/>
    <mergeCell ref="A13:E13"/>
    <mergeCell ref="A1:I1"/>
    <mergeCell ref="A2:I2"/>
    <mergeCell ref="A3:E3"/>
    <mergeCell ref="F3:I3"/>
    <mergeCell ref="A4:E4"/>
    <mergeCell ref="F4:I4"/>
    <mergeCell ref="A5:I5"/>
    <mergeCell ref="A6:I6"/>
    <mergeCell ref="B7:G7"/>
    <mergeCell ref="H7:I7"/>
  </mergeCells>
  <pageMargins left="0.7" right="0.7" top="0.75" bottom="0.75" header="0" footer="0"/>
  <pageSetup scale="69" orientation="portrait" r:id="rId1"/>
  <rowBreaks count="4" manualBreakCount="4">
    <brk id="42" max="11" man="1"/>
    <brk id="83" max="11" man="1"/>
    <brk id="116" max="11" man="1"/>
    <brk id="16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view="pageBreakPreview" topLeftCell="A64" zoomScaleNormal="100" zoomScaleSheetLayoutView="100" workbookViewId="0">
      <selection activeCell="M7" sqref="M7"/>
    </sheetView>
  </sheetViews>
  <sheetFormatPr defaultColWidth="12.5703125" defaultRowHeight="15" customHeight="1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9.85546875" customWidth="1"/>
    <col min="8" max="8" width="11.28515625" customWidth="1"/>
    <col min="9" max="9" width="14.5703125" customWidth="1"/>
    <col min="10" max="10" width="10.7109375" customWidth="1"/>
    <col min="11" max="11" width="11.140625" customWidth="1"/>
    <col min="12" max="12" width="7.42578125" customWidth="1"/>
    <col min="13" max="13" width="6.5703125" customWidth="1"/>
    <col min="14" max="15" width="9.28515625" customWidth="1"/>
    <col min="16" max="16" width="9.140625" customWidth="1"/>
  </cols>
  <sheetData>
    <row r="1" spans="1:16" ht="32.1" customHeight="1">
      <c r="A1" s="492" t="s">
        <v>427</v>
      </c>
      <c r="B1" s="493"/>
      <c r="C1" s="493"/>
      <c r="D1" s="493"/>
      <c r="E1" s="493"/>
      <c r="F1" s="493"/>
      <c r="G1" s="493"/>
      <c r="H1" s="493"/>
      <c r="I1" s="494"/>
      <c r="J1" s="24"/>
      <c r="K1" s="24"/>
      <c r="L1" s="24"/>
      <c r="M1" s="24"/>
      <c r="N1" s="24"/>
      <c r="O1" s="24"/>
      <c r="P1" s="24"/>
    </row>
    <row r="2" spans="1:16" ht="39.950000000000003" customHeight="1">
      <c r="A2" s="277" t="s">
        <v>434</v>
      </c>
      <c r="B2" s="278"/>
      <c r="C2" s="278"/>
      <c r="D2" s="278"/>
      <c r="E2" s="278"/>
      <c r="F2" s="278"/>
      <c r="G2" s="278"/>
      <c r="H2" s="278"/>
      <c r="I2" s="279"/>
      <c r="J2" s="24"/>
      <c r="K2" s="24"/>
      <c r="L2" s="24"/>
      <c r="M2" s="24"/>
      <c r="N2" s="24"/>
      <c r="O2" s="24"/>
      <c r="P2" s="24"/>
    </row>
    <row r="3" spans="1:16" ht="15.75" customHeight="1">
      <c r="A3" s="280" t="s">
        <v>43</v>
      </c>
      <c r="B3" s="276"/>
      <c r="C3" s="276"/>
      <c r="D3" s="276"/>
      <c r="E3" s="270"/>
      <c r="F3" s="281" t="s">
        <v>396</v>
      </c>
      <c r="G3" s="276"/>
      <c r="H3" s="276"/>
      <c r="I3" s="270"/>
      <c r="J3" s="24"/>
      <c r="K3" s="24"/>
      <c r="L3" s="24"/>
      <c r="M3" s="24"/>
      <c r="N3" s="24"/>
      <c r="O3" s="24"/>
      <c r="P3" s="24"/>
    </row>
    <row r="4" spans="1:16" ht="15.75" customHeight="1">
      <c r="A4" s="282" t="s">
        <v>44</v>
      </c>
      <c r="B4" s="278"/>
      <c r="C4" s="278"/>
      <c r="D4" s="278"/>
      <c r="E4" s="279"/>
      <c r="F4" s="283" t="s">
        <v>397</v>
      </c>
      <c r="G4" s="284"/>
      <c r="H4" s="284"/>
      <c r="I4" s="285"/>
      <c r="J4" s="24"/>
      <c r="K4" s="24"/>
      <c r="L4" s="24"/>
      <c r="M4" s="24"/>
      <c r="N4" s="24"/>
      <c r="O4" s="24"/>
      <c r="P4" s="24"/>
    </row>
    <row r="5" spans="1:16" ht="14.25" customHeight="1">
      <c r="A5" s="282" t="s">
        <v>45</v>
      </c>
      <c r="B5" s="278"/>
      <c r="C5" s="278"/>
      <c r="D5" s="278"/>
      <c r="E5" s="278"/>
      <c r="F5" s="278"/>
      <c r="G5" s="278"/>
      <c r="H5" s="278"/>
      <c r="I5" s="279"/>
      <c r="J5" s="24"/>
      <c r="K5" s="24"/>
      <c r="L5" s="24"/>
      <c r="M5" s="24"/>
      <c r="N5" s="24"/>
      <c r="O5" s="24"/>
      <c r="P5" s="24"/>
    </row>
    <row r="6" spans="1:16" ht="20.100000000000001" customHeight="1">
      <c r="A6" s="508" t="s">
        <v>46</v>
      </c>
      <c r="B6" s="278"/>
      <c r="C6" s="278"/>
      <c r="D6" s="278"/>
      <c r="E6" s="278"/>
      <c r="F6" s="278"/>
      <c r="G6" s="278"/>
      <c r="H6" s="278"/>
      <c r="I6" s="279"/>
      <c r="J6" s="24"/>
      <c r="K6" s="24"/>
      <c r="L6" s="24"/>
      <c r="M6" s="24"/>
      <c r="N6" s="24"/>
      <c r="O6" s="24"/>
      <c r="P6" s="24"/>
    </row>
    <row r="7" spans="1:16" ht="15.75" customHeight="1">
      <c r="A7" s="25" t="s">
        <v>47</v>
      </c>
      <c r="B7" s="282" t="s">
        <v>48</v>
      </c>
      <c r="C7" s="278"/>
      <c r="D7" s="278"/>
      <c r="E7" s="278"/>
      <c r="F7" s="278"/>
      <c r="G7" s="279"/>
      <c r="H7" s="287"/>
      <c r="I7" s="279"/>
      <c r="J7" s="24"/>
      <c r="K7" s="24"/>
      <c r="L7" s="24"/>
      <c r="M7" s="24"/>
      <c r="N7" s="24"/>
      <c r="O7" s="24"/>
      <c r="P7" s="24"/>
    </row>
    <row r="8" spans="1:16" ht="15.75" customHeight="1">
      <c r="A8" s="25" t="s">
        <v>49</v>
      </c>
      <c r="B8" s="282" t="s">
        <v>50</v>
      </c>
      <c r="C8" s="278"/>
      <c r="D8" s="278"/>
      <c r="E8" s="278"/>
      <c r="F8" s="278"/>
      <c r="G8" s="279"/>
      <c r="H8" s="438" t="s">
        <v>9</v>
      </c>
      <c r="I8" s="279"/>
      <c r="J8" s="24"/>
      <c r="K8" s="24"/>
      <c r="L8" s="24"/>
      <c r="M8" s="24"/>
      <c r="N8" s="24"/>
      <c r="O8" s="24"/>
      <c r="P8" s="24"/>
    </row>
    <row r="9" spans="1:16" ht="19.5" customHeight="1">
      <c r="A9" s="25" t="s">
        <v>51</v>
      </c>
      <c r="B9" s="282" t="s">
        <v>52</v>
      </c>
      <c r="C9" s="278"/>
      <c r="D9" s="278"/>
      <c r="E9" s="278"/>
      <c r="F9" s="278"/>
      <c r="G9" s="279"/>
      <c r="H9" s="438" t="s">
        <v>53</v>
      </c>
      <c r="I9" s="279"/>
      <c r="J9" s="24"/>
      <c r="K9" s="24"/>
      <c r="L9" s="24"/>
      <c r="M9" s="24"/>
      <c r="N9" s="24"/>
      <c r="O9" s="24"/>
      <c r="P9" s="24"/>
    </row>
    <row r="10" spans="1:16" ht="34.5" customHeight="1">
      <c r="A10" s="25" t="s">
        <v>54</v>
      </c>
      <c r="B10" s="282" t="s">
        <v>55</v>
      </c>
      <c r="C10" s="278"/>
      <c r="D10" s="278"/>
      <c r="E10" s="278"/>
      <c r="F10" s="278"/>
      <c r="G10" s="279"/>
      <c r="H10" s="438">
        <v>12</v>
      </c>
      <c r="I10" s="279"/>
      <c r="J10" s="24"/>
      <c r="K10" s="26"/>
      <c r="L10" s="24"/>
      <c r="M10" s="24"/>
      <c r="N10" s="24"/>
      <c r="O10" s="24"/>
      <c r="P10" s="24"/>
    </row>
    <row r="11" spans="1:16" ht="18" customHeight="1">
      <c r="A11" s="509" t="s">
        <v>56</v>
      </c>
      <c r="B11" s="278"/>
      <c r="C11" s="278"/>
      <c r="D11" s="278"/>
      <c r="E11" s="278"/>
      <c r="F11" s="278"/>
      <c r="G11" s="278"/>
      <c r="H11" s="278"/>
      <c r="I11" s="279"/>
      <c r="J11" s="24"/>
      <c r="K11" s="24"/>
      <c r="L11" s="24"/>
      <c r="M11" s="24"/>
      <c r="N11" s="24"/>
      <c r="O11" s="24"/>
      <c r="P11" s="24"/>
    </row>
    <row r="12" spans="1:16" ht="50.25" customHeight="1">
      <c r="A12" s="292" t="s">
        <v>57</v>
      </c>
      <c r="B12" s="278"/>
      <c r="C12" s="278"/>
      <c r="D12" s="278"/>
      <c r="E12" s="293"/>
      <c r="F12" s="292" t="s">
        <v>58</v>
      </c>
      <c r="G12" s="279"/>
      <c r="H12" s="292" t="s">
        <v>59</v>
      </c>
      <c r="I12" s="279"/>
      <c r="J12" s="24"/>
      <c r="K12" s="24"/>
      <c r="L12" s="24"/>
      <c r="M12" s="24"/>
      <c r="N12" s="24"/>
      <c r="O12" s="24"/>
      <c r="P12" s="24"/>
    </row>
    <row r="13" spans="1:16" ht="34.5" customHeight="1">
      <c r="A13" s="510" t="s">
        <v>428</v>
      </c>
      <c r="B13" s="333"/>
      <c r="C13" s="333"/>
      <c r="D13" s="333"/>
      <c r="E13" s="334"/>
      <c r="F13" s="289" t="s">
        <v>61</v>
      </c>
      <c r="G13" s="279"/>
      <c r="H13" s="290">
        <v>1</v>
      </c>
      <c r="I13" s="279"/>
      <c r="J13" s="24"/>
      <c r="K13" s="24"/>
      <c r="L13" s="24"/>
      <c r="M13" s="24"/>
      <c r="N13" s="24"/>
      <c r="O13" s="24"/>
      <c r="P13" s="24"/>
    </row>
    <row r="14" spans="1:16" ht="12.75" customHeight="1">
      <c r="A14" s="439" t="s">
        <v>62</v>
      </c>
      <c r="B14" s="278"/>
      <c r="C14" s="278"/>
      <c r="D14" s="278"/>
      <c r="E14" s="278"/>
      <c r="F14" s="278"/>
      <c r="G14" s="279"/>
      <c r="H14" s="440">
        <f>SUM(H13)</f>
        <v>1</v>
      </c>
      <c r="I14" s="279"/>
      <c r="J14" s="24"/>
      <c r="K14" s="24"/>
      <c r="L14" s="24"/>
      <c r="M14" s="24"/>
      <c r="N14" s="24"/>
      <c r="O14" s="24"/>
      <c r="P14" s="24"/>
    </row>
    <row r="15" spans="1:16" ht="50.1" customHeight="1">
      <c r="A15" s="511" t="s">
        <v>400</v>
      </c>
      <c r="B15" s="493"/>
      <c r="C15" s="493"/>
      <c r="D15" s="493"/>
      <c r="E15" s="493"/>
      <c r="F15" s="493"/>
      <c r="G15" s="493"/>
      <c r="H15" s="493"/>
      <c r="I15" s="494"/>
      <c r="J15" s="27"/>
      <c r="K15" s="28"/>
      <c r="L15" s="29"/>
      <c r="M15" s="24"/>
      <c r="N15" s="24"/>
      <c r="O15" s="24"/>
      <c r="P15" s="24"/>
    </row>
    <row r="16" spans="1:16" ht="20.100000000000001" customHeight="1">
      <c r="A16" s="286" t="s">
        <v>64</v>
      </c>
      <c r="B16" s="278"/>
      <c r="C16" s="278"/>
      <c r="D16" s="278"/>
      <c r="E16" s="278"/>
      <c r="F16" s="278"/>
      <c r="G16" s="278"/>
      <c r="H16" s="278"/>
      <c r="I16" s="279"/>
      <c r="J16" s="295"/>
      <c r="K16" s="296"/>
      <c r="L16" s="296"/>
      <c r="M16" s="296"/>
      <c r="N16" s="296"/>
      <c r="O16" s="296"/>
      <c r="P16" s="296"/>
    </row>
    <row r="17" spans="1:16" ht="27" customHeight="1">
      <c r="A17" s="25">
        <v>1</v>
      </c>
      <c r="B17" s="282" t="s">
        <v>65</v>
      </c>
      <c r="C17" s="278"/>
      <c r="D17" s="278"/>
      <c r="E17" s="278"/>
      <c r="F17" s="278"/>
      <c r="G17" s="279"/>
      <c r="H17" s="443" t="s">
        <v>66</v>
      </c>
      <c r="I17" s="279"/>
      <c r="J17" s="24"/>
      <c r="K17" s="24"/>
      <c r="L17" s="24"/>
      <c r="M17" s="24"/>
      <c r="N17" s="24"/>
      <c r="O17" s="24"/>
      <c r="P17" s="24"/>
    </row>
    <row r="18" spans="1:16" ht="19.5" customHeight="1">
      <c r="A18" s="13">
        <v>2</v>
      </c>
      <c r="B18" s="444" t="s">
        <v>67</v>
      </c>
      <c r="C18" s="278"/>
      <c r="D18" s="278"/>
      <c r="E18" s="278"/>
      <c r="F18" s="278"/>
      <c r="G18" s="279"/>
      <c r="H18" s="445" t="s">
        <v>68</v>
      </c>
      <c r="I18" s="279"/>
      <c r="J18" s="24"/>
      <c r="K18" s="24"/>
      <c r="L18" s="24"/>
      <c r="M18" s="24"/>
      <c r="N18" s="24"/>
      <c r="O18" s="24"/>
      <c r="P18" s="24"/>
    </row>
    <row r="19" spans="1:16" ht="15.75" customHeight="1">
      <c r="A19" s="25">
        <v>3</v>
      </c>
      <c r="B19" s="282" t="s">
        <v>69</v>
      </c>
      <c r="C19" s="278"/>
      <c r="D19" s="278"/>
      <c r="E19" s="278"/>
      <c r="F19" s="278"/>
      <c r="G19" s="279"/>
      <c r="H19" s="446">
        <f>Consolidação!D10</f>
        <v>1977.8</v>
      </c>
      <c r="I19" s="279"/>
      <c r="J19" s="24"/>
      <c r="K19" s="24"/>
      <c r="L19" s="24"/>
      <c r="M19" s="24"/>
      <c r="N19" s="24"/>
      <c r="O19" s="24"/>
      <c r="P19" s="24"/>
    </row>
    <row r="20" spans="1:16" ht="15.75" customHeight="1">
      <c r="A20" s="13">
        <v>4</v>
      </c>
      <c r="B20" s="282" t="s">
        <v>70</v>
      </c>
      <c r="C20" s="278"/>
      <c r="D20" s="278"/>
      <c r="E20" s="278"/>
      <c r="F20" s="278"/>
      <c r="G20" s="279"/>
      <c r="H20" s="447" t="s">
        <v>71</v>
      </c>
      <c r="I20" s="279"/>
      <c r="J20" s="24"/>
      <c r="K20" s="24"/>
      <c r="L20" s="24"/>
      <c r="M20" s="24"/>
      <c r="N20" s="24"/>
      <c r="O20" s="24"/>
      <c r="P20" s="24"/>
    </row>
    <row r="21" spans="1:16" ht="15.75" customHeight="1">
      <c r="A21" s="25">
        <v>5</v>
      </c>
      <c r="B21" s="282" t="s">
        <v>72</v>
      </c>
      <c r="C21" s="278"/>
      <c r="D21" s="278"/>
      <c r="E21" s="278"/>
      <c r="F21" s="278"/>
      <c r="G21" s="279"/>
      <c r="H21" s="448" t="s">
        <v>53</v>
      </c>
      <c r="I21" s="279"/>
      <c r="J21" s="24"/>
      <c r="K21" s="24"/>
      <c r="L21" s="24"/>
      <c r="M21" s="24"/>
      <c r="N21" s="24"/>
      <c r="O21" s="24"/>
      <c r="P21" s="24"/>
    </row>
    <row r="22" spans="1:16" ht="27" customHeight="1">
      <c r="A22" s="13">
        <v>6</v>
      </c>
      <c r="B22" s="441" t="s">
        <v>289</v>
      </c>
      <c r="C22" s="278"/>
      <c r="D22" s="278"/>
      <c r="E22" s="278"/>
      <c r="F22" s="278"/>
      <c r="G22" s="279"/>
      <c r="H22" s="442">
        <f>ROUND((H19/220),2)</f>
        <v>8.99</v>
      </c>
      <c r="I22" s="279"/>
    </row>
    <row r="23" spans="1:16" ht="23.25" customHeight="1">
      <c r="A23" s="25">
        <v>7</v>
      </c>
      <c r="B23" s="441" t="s">
        <v>290</v>
      </c>
      <c r="C23" s="278"/>
      <c r="D23" s="278"/>
      <c r="E23" s="278"/>
      <c r="F23" s="278"/>
      <c r="G23" s="279"/>
      <c r="H23" s="449">
        <f>TRUNC(H22*1.5,2)</f>
        <v>13.48</v>
      </c>
      <c r="I23" s="279"/>
    </row>
    <row r="24" spans="1:16" ht="26.25" customHeight="1">
      <c r="A24" s="13">
        <v>8</v>
      </c>
      <c r="B24" s="441" t="s">
        <v>291</v>
      </c>
      <c r="C24" s="278"/>
      <c r="D24" s="278"/>
      <c r="E24" s="278"/>
      <c r="F24" s="278"/>
      <c r="G24" s="279"/>
      <c r="H24" s="442">
        <f>ROUND(H22*0.2,2)</f>
        <v>1.8</v>
      </c>
      <c r="I24" s="279"/>
    </row>
    <row r="25" spans="1:16" ht="16.5" customHeight="1">
      <c r="A25" s="25">
        <v>9</v>
      </c>
      <c r="B25" s="441" t="s">
        <v>76</v>
      </c>
      <c r="C25" s="278"/>
      <c r="D25" s="278"/>
      <c r="E25" s="278"/>
      <c r="F25" s="278"/>
      <c r="G25" s="279"/>
      <c r="H25" s="442">
        <f>ROUND(H22/6,2)</f>
        <v>1.5</v>
      </c>
      <c r="I25" s="279"/>
    </row>
    <row r="26" spans="1:16" ht="16.5" customHeight="1">
      <c r="A26" s="13">
        <v>10</v>
      </c>
      <c r="B26" s="441" t="s">
        <v>258</v>
      </c>
      <c r="C26" s="278"/>
      <c r="D26" s="278"/>
      <c r="E26" s="278"/>
      <c r="F26" s="278"/>
      <c r="G26" s="279"/>
      <c r="H26" s="512">
        <v>22</v>
      </c>
      <c r="I26" s="279"/>
    </row>
    <row r="27" spans="1:16" ht="15.75" customHeight="1">
      <c r="A27" s="25">
        <v>11</v>
      </c>
      <c r="B27" s="450" t="s">
        <v>77</v>
      </c>
      <c r="C27" s="278"/>
      <c r="D27" s="278"/>
      <c r="E27" s="278"/>
      <c r="F27" s="278"/>
      <c r="G27" s="279"/>
      <c r="H27" s="303">
        <v>1</v>
      </c>
      <c r="I27" s="279"/>
    </row>
    <row r="28" spans="1:16" ht="8.1" customHeight="1">
      <c r="A28" s="513"/>
      <c r="B28" s="497"/>
      <c r="C28" s="497"/>
      <c r="D28" s="497"/>
      <c r="E28" s="497"/>
      <c r="F28" s="497"/>
      <c r="G28" s="497"/>
      <c r="H28" s="497"/>
      <c r="I28" s="498"/>
      <c r="J28" s="24"/>
      <c r="K28" s="24"/>
      <c r="L28" s="24"/>
      <c r="M28" s="24"/>
      <c r="N28" s="24"/>
      <c r="O28" s="24"/>
      <c r="P28" s="24"/>
    </row>
    <row r="29" spans="1:16" ht="21.75" customHeight="1">
      <c r="A29" s="514" t="s">
        <v>78</v>
      </c>
      <c r="B29" s="515"/>
      <c r="C29" s="515"/>
      <c r="D29" s="515"/>
      <c r="E29" s="515"/>
      <c r="F29" s="515"/>
      <c r="G29" s="515"/>
      <c r="H29" s="515"/>
      <c r="I29" s="516"/>
      <c r="J29" s="24"/>
      <c r="K29" s="24"/>
      <c r="L29" s="24"/>
      <c r="M29" s="24"/>
      <c r="N29" s="24"/>
      <c r="O29" s="24"/>
      <c r="P29" s="24"/>
    </row>
    <row r="30" spans="1:16" ht="9" customHeight="1">
      <c r="A30" s="513"/>
      <c r="B30" s="497"/>
      <c r="C30" s="497"/>
      <c r="D30" s="497"/>
      <c r="E30" s="497"/>
      <c r="F30" s="497"/>
      <c r="G30" s="497"/>
      <c r="H30" s="497"/>
      <c r="I30" s="498"/>
      <c r="J30" s="24"/>
      <c r="K30" s="24"/>
      <c r="L30" s="24"/>
      <c r="M30" s="24"/>
      <c r="N30" s="24"/>
      <c r="O30" s="24"/>
      <c r="P30" s="24"/>
    </row>
    <row r="31" spans="1:16" ht="20.25" customHeight="1">
      <c r="A31" s="317" t="s">
        <v>79</v>
      </c>
      <c r="B31" s="278"/>
      <c r="C31" s="278"/>
      <c r="D31" s="278"/>
      <c r="E31" s="278"/>
      <c r="F31" s="278"/>
      <c r="G31" s="278"/>
      <c r="H31" s="278"/>
      <c r="I31" s="279"/>
      <c r="J31" s="24"/>
      <c r="K31" s="24"/>
      <c r="L31" s="24"/>
      <c r="M31" s="24"/>
      <c r="N31" s="24"/>
      <c r="O31" s="24"/>
      <c r="P31" s="24"/>
    </row>
    <row r="32" spans="1:16" ht="30" customHeight="1">
      <c r="A32" s="31">
        <v>1</v>
      </c>
      <c r="B32" s="318" t="s">
        <v>80</v>
      </c>
      <c r="C32" s="278"/>
      <c r="D32" s="278"/>
      <c r="E32" s="278"/>
      <c r="F32" s="278"/>
      <c r="G32" s="279"/>
      <c r="H32" s="32" t="s">
        <v>81</v>
      </c>
      <c r="I32" s="31" t="s">
        <v>82</v>
      </c>
      <c r="J32" s="33"/>
      <c r="K32" s="33"/>
      <c r="L32" s="33"/>
      <c r="M32" s="33"/>
      <c r="N32" s="33"/>
      <c r="O32" s="33"/>
      <c r="P32" s="33"/>
    </row>
    <row r="33" spans="1:16" ht="21.95" customHeight="1">
      <c r="A33" s="25" t="s">
        <v>47</v>
      </c>
      <c r="B33" s="352" t="s">
        <v>416</v>
      </c>
      <c r="C33" s="333"/>
      <c r="D33" s="333"/>
      <c r="E33" s="333"/>
      <c r="F33" s="333"/>
      <c r="G33" s="333"/>
      <c r="H33" s="334"/>
      <c r="I33" s="109">
        <f>200*H22</f>
        <v>1798</v>
      </c>
      <c r="J33" s="24"/>
      <c r="K33" s="24"/>
      <c r="L33" s="24"/>
      <c r="M33" s="24"/>
      <c r="N33" s="24"/>
      <c r="O33" s="24"/>
      <c r="P33" s="24"/>
    </row>
    <row r="34" spans="1:16" ht="38.25" customHeight="1">
      <c r="A34" s="25" t="s">
        <v>49</v>
      </c>
      <c r="B34" s="282" t="s">
        <v>292</v>
      </c>
      <c r="C34" s="278"/>
      <c r="D34" s="278"/>
      <c r="E34" s="278"/>
      <c r="F34" s="278"/>
      <c r="G34" s="278"/>
      <c r="H34" s="279"/>
      <c r="I34" s="109">
        <f>ROUND(1*H26*H24,2)</f>
        <v>39.6</v>
      </c>
      <c r="J34" s="24"/>
      <c r="K34" s="24"/>
      <c r="L34" s="24"/>
      <c r="M34" s="24"/>
      <c r="N34" s="24"/>
      <c r="O34" s="24"/>
      <c r="P34" s="24"/>
    </row>
    <row r="35" spans="1:16" ht="51" customHeight="1">
      <c r="A35" s="25" t="s">
        <v>51</v>
      </c>
      <c r="B35" s="444" t="s">
        <v>293</v>
      </c>
      <c r="C35" s="278"/>
      <c r="D35" s="278"/>
      <c r="E35" s="278"/>
      <c r="F35" s="278"/>
      <c r="G35" s="278"/>
      <c r="H35" s="279"/>
      <c r="I35" s="109">
        <f>ROUND(H23*1*(60/52.5-1)*H26,2)</f>
        <v>42.37</v>
      </c>
      <c r="J35" s="24"/>
      <c r="K35" s="24"/>
      <c r="L35" s="24"/>
      <c r="M35" s="24"/>
      <c r="N35" s="24"/>
      <c r="O35" s="24"/>
      <c r="P35" s="24"/>
    </row>
    <row r="36" spans="1:16" ht="35.1" customHeight="1">
      <c r="A36" s="25" t="s">
        <v>54</v>
      </c>
      <c r="B36" s="451" t="s">
        <v>418</v>
      </c>
      <c r="C36" s="426"/>
      <c r="D36" s="426"/>
      <c r="E36" s="426"/>
      <c r="F36" s="426"/>
      <c r="G36" s="426"/>
      <c r="H36" s="427"/>
      <c r="I36" s="109">
        <f>ROUND(H25*H27*H26,2)</f>
        <v>33</v>
      </c>
      <c r="J36" s="24"/>
      <c r="K36" s="24"/>
      <c r="L36" s="24"/>
      <c r="M36" s="24"/>
      <c r="N36" s="24"/>
      <c r="O36" s="24"/>
      <c r="P36" s="24"/>
    </row>
    <row r="37" spans="1:16" ht="39" customHeight="1">
      <c r="A37" s="25" t="s">
        <v>109</v>
      </c>
      <c r="B37" s="444" t="s">
        <v>294</v>
      </c>
      <c r="C37" s="278"/>
      <c r="D37" s="278"/>
      <c r="E37" s="278"/>
      <c r="F37" s="278"/>
      <c r="G37" s="278"/>
      <c r="H37" s="279"/>
      <c r="I37" s="109">
        <f>ROUND(SUM(I34:I36)*0.2,2)</f>
        <v>22.99</v>
      </c>
      <c r="J37" s="24"/>
      <c r="K37" s="24"/>
      <c r="L37" s="24"/>
      <c r="M37" s="24"/>
      <c r="N37" s="24"/>
      <c r="O37" s="24"/>
      <c r="P37" s="24"/>
    </row>
    <row r="38" spans="1:16" ht="24.75" customHeight="1">
      <c r="A38" s="25" t="s">
        <v>111</v>
      </c>
      <c r="B38" s="282" t="s">
        <v>295</v>
      </c>
      <c r="C38" s="278"/>
      <c r="D38" s="278"/>
      <c r="E38" s="278"/>
      <c r="F38" s="278"/>
      <c r="G38" s="279"/>
      <c r="H38" s="110">
        <v>0.3</v>
      </c>
      <c r="I38" s="109">
        <f>ROUND(H38*SUM(I33:I37),2)</f>
        <v>580.79</v>
      </c>
      <c r="J38" s="24"/>
      <c r="K38" s="24"/>
      <c r="L38" s="24"/>
      <c r="M38" s="24"/>
      <c r="N38" s="24"/>
      <c r="O38" s="24"/>
      <c r="P38" s="24"/>
    </row>
    <row r="39" spans="1:16" ht="18.75" customHeight="1">
      <c r="A39" s="25" t="s">
        <v>113</v>
      </c>
      <c r="B39" s="282" t="s">
        <v>219</v>
      </c>
      <c r="C39" s="278"/>
      <c r="D39" s="278"/>
      <c r="E39" s="278"/>
      <c r="F39" s="278"/>
      <c r="G39" s="278"/>
      <c r="H39" s="279"/>
      <c r="I39" s="111" t="s">
        <v>22</v>
      </c>
      <c r="J39" s="24"/>
      <c r="K39" s="24"/>
      <c r="L39" s="24"/>
      <c r="M39" s="24"/>
      <c r="N39" s="24"/>
      <c r="O39" s="24"/>
      <c r="P39" s="24"/>
    </row>
    <row r="40" spans="1:16" ht="27.75" customHeight="1">
      <c r="A40" s="286" t="s">
        <v>86</v>
      </c>
      <c r="B40" s="278"/>
      <c r="C40" s="278"/>
      <c r="D40" s="278"/>
      <c r="E40" s="278"/>
      <c r="F40" s="278"/>
      <c r="G40" s="278"/>
      <c r="H40" s="279"/>
      <c r="I40" s="112">
        <f>SUM(I33:I39)</f>
        <v>2516.75</v>
      </c>
      <c r="J40" s="24"/>
      <c r="K40" s="24"/>
      <c r="L40" s="24"/>
      <c r="M40" s="24"/>
      <c r="N40" s="24"/>
      <c r="O40" s="24"/>
      <c r="P40" s="24"/>
    </row>
    <row r="41" spans="1:16" ht="9.75" customHeight="1">
      <c r="A41" s="322"/>
      <c r="B41" s="278"/>
      <c r="C41" s="278"/>
      <c r="D41" s="278"/>
      <c r="E41" s="278"/>
      <c r="F41" s="278"/>
      <c r="G41" s="278"/>
      <c r="H41" s="278"/>
      <c r="I41" s="279"/>
      <c r="J41" s="24"/>
      <c r="K41" s="24"/>
      <c r="L41" s="24"/>
      <c r="M41" s="24"/>
      <c r="N41" s="24"/>
      <c r="O41" s="24"/>
      <c r="P41" s="24"/>
    </row>
    <row r="42" spans="1:16" ht="29.25" customHeight="1">
      <c r="A42" s="25" t="s">
        <v>87</v>
      </c>
      <c r="B42" s="282" t="s">
        <v>419</v>
      </c>
      <c r="C42" s="278"/>
      <c r="D42" s="278"/>
      <c r="E42" s="278"/>
      <c r="F42" s="278"/>
      <c r="G42" s="278"/>
      <c r="H42" s="279"/>
      <c r="I42" s="109">
        <f>ROUND(H23*22*H27*0.5,2)</f>
        <v>148.28</v>
      </c>
      <c r="J42" s="24"/>
      <c r="K42" s="24"/>
      <c r="L42" s="37"/>
      <c r="M42" s="24"/>
      <c r="N42" s="24"/>
      <c r="O42" s="24"/>
      <c r="P42" s="24"/>
    </row>
    <row r="43" spans="1:16" ht="15.75" customHeight="1">
      <c r="A43" s="405" t="s">
        <v>395</v>
      </c>
      <c r="B43" s="452"/>
      <c r="C43" s="452"/>
      <c r="D43" s="452"/>
      <c r="E43" s="452"/>
      <c r="F43" s="452"/>
      <c r="G43" s="452"/>
      <c r="H43" s="452"/>
      <c r="I43" s="453"/>
      <c r="J43" s="24"/>
      <c r="K43" s="24"/>
      <c r="L43" s="24"/>
      <c r="M43" s="24"/>
      <c r="N43" s="24"/>
      <c r="O43" s="24"/>
      <c r="P43" s="24"/>
    </row>
    <row r="44" spans="1:16" ht="45" customHeight="1">
      <c r="A44" s="326" t="s">
        <v>296</v>
      </c>
      <c r="B44" s="278"/>
      <c r="C44" s="278"/>
      <c r="D44" s="278"/>
      <c r="E44" s="278"/>
      <c r="F44" s="278"/>
      <c r="G44" s="278"/>
      <c r="H44" s="279"/>
      <c r="I44" s="113">
        <f>SUM(I40+I42)</f>
        <v>2665.03</v>
      </c>
      <c r="J44" s="24"/>
      <c r="K44" s="24"/>
      <c r="L44" s="24"/>
      <c r="M44" s="24"/>
      <c r="N44" s="24"/>
      <c r="O44" s="24"/>
      <c r="P44" s="24"/>
    </row>
    <row r="45" spans="1:16" ht="9" customHeight="1">
      <c r="A45" s="322"/>
      <c r="B45" s="278"/>
      <c r="C45" s="278"/>
      <c r="D45" s="278"/>
      <c r="E45" s="278"/>
      <c r="F45" s="278"/>
      <c r="G45" s="278"/>
      <c r="H45" s="278"/>
      <c r="I45" s="279"/>
      <c r="J45" s="24"/>
      <c r="K45" s="24"/>
      <c r="L45" s="24"/>
      <c r="M45" s="24"/>
      <c r="N45" s="24"/>
      <c r="O45" s="24"/>
      <c r="P45" s="24"/>
    </row>
    <row r="46" spans="1:16" ht="17.25" customHeight="1">
      <c r="A46" s="327" t="s">
        <v>90</v>
      </c>
      <c r="B46" s="278"/>
      <c r="C46" s="278"/>
      <c r="D46" s="278"/>
      <c r="E46" s="278"/>
      <c r="F46" s="278"/>
      <c r="G46" s="278"/>
      <c r="H46" s="278"/>
      <c r="I46" s="279"/>
      <c r="J46" s="24"/>
      <c r="K46" s="24"/>
      <c r="L46" s="24"/>
      <c r="M46" s="24"/>
      <c r="N46" s="24"/>
      <c r="O46" s="24"/>
      <c r="P46" s="24"/>
    </row>
    <row r="47" spans="1:16" ht="8.25" customHeight="1">
      <c r="A47" s="328"/>
      <c r="B47" s="278"/>
      <c r="C47" s="278"/>
      <c r="D47" s="278"/>
      <c r="E47" s="278"/>
      <c r="F47" s="278"/>
      <c r="G47" s="278"/>
      <c r="H47" s="278"/>
      <c r="I47" s="279"/>
      <c r="J47" s="24"/>
      <c r="K47" s="24"/>
      <c r="L47" s="24"/>
      <c r="M47" s="24"/>
      <c r="N47" s="24"/>
      <c r="O47" s="24"/>
      <c r="P47" s="24"/>
    </row>
    <row r="48" spans="1:16" ht="27" customHeight="1">
      <c r="A48" s="329" t="s">
        <v>91</v>
      </c>
      <c r="B48" s="278"/>
      <c r="C48" s="278"/>
      <c r="D48" s="278"/>
      <c r="E48" s="278"/>
      <c r="F48" s="278"/>
      <c r="G48" s="278"/>
      <c r="H48" s="278"/>
      <c r="I48" s="279"/>
      <c r="J48" s="24"/>
      <c r="K48" s="24"/>
      <c r="L48" s="24"/>
      <c r="M48" s="24"/>
      <c r="N48" s="24"/>
      <c r="O48" s="24"/>
      <c r="P48" s="24"/>
    </row>
    <row r="49" spans="1:16" ht="27" customHeight="1">
      <c r="A49" s="330" t="s">
        <v>297</v>
      </c>
      <c r="B49" s="278"/>
      <c r="C49" s="278"/>
      <c r="D49" s="278"/>
      <c r="E49" s="278"/>
      <c r="F49" s="278"/>
      <c r="G49" s="278"/>
      <c r="H49" s="278"/>
      <c r="I49" s="279"/>
      <c r="J49" s="24"/>
      <c r="K49" s="24"/>
      <c r="L49" s="24"/>
      <c r="M49" s="24"/>
      <c r="N49" s="24"/>
      <c r="O49" s="24"/>
      <c r="P49" s="24"/>
    </row>
    <row r="50" spans="1:16" ht="22.5" customHeight="1">
      <c r="A50" s="39" t="s">
        <v>93</v>
      </c>
      <c r="B50" s="331" t="s">
        <v>298</v>
      </c>
      <c r="C50" s="278"/>
      <c r="D50" s="278"/>
      <c r="E50" s="278"/>
      <c r="F50" s="278"/>
      <c r="G50" s="278"/>
      <c r="H50" s="279"/>
      <c r="I50" s="40" t="s">
        <v>95</v>
      </c>
      <c r="J50" s="24"/>
      <c r="K50" s="24"/>
      <c r="L50" s="24"/>
      <c r="M50" s="24"/>
      <c r="N50" s="24"/>
      <c r="O50" s="24"/>
      <c r="P50" s="24"/>
    </row>
    <row r="51" spans="1:16" ht="27" customHeight="1">
      <c r="A51" s="39" t="s">
        <v>47</v>
      </c>
      <c r="B51" s="444" t="s">
        <v>299</v>
      </c>
      <c r="C51" s="278"/>
      <c r="D51" s="278"/>
      <c r="E51" s="278"/>
      <c r="F51" s="278"/>
      <c r="G51" s="279"/>
      <c r="H51" s="114">
        <v>8.3299999999999999E-2</v>
      </c>
      <c r="I51" s="115">
        <f>ROUND(I40*H51,2)</f>
        <v>209.65</v>
      </c>
      <c r="J51" s="24"/>
      <c r="K51" s="24"/>
      <c r="L51" s="24"/>
      <c r="M51" s="24"/>
      <c r="N51" s="24"/>
      <c r="O51" s="24"/>
      <c r="P51" s="24"/>
    </row>
    <row r="52" spans="1:16" ht="111" customHeight="1">
      <c r="A52" s="39" t="s">
        <v>49</v>
      </c>
      <c r="B52" s="517" t="s">
        <v>420</v>
      </c>
      <c r="C52" s="518"/>
      <c r="D52" s="518"/>
      <c r="E52" s="518"/>
      <c r="F52" s="518"/>
      <c r="G52" s="519"/>
      <c r="H52" s="116">
        <v>3.0249999999999999E-2</v>
      </c>
      <c r="I52" s="115">
        <f>ROUND(I40*H52,2)</f>
        <v>76.13</v>
      </c>
      <c r="J52" s="24"/>
      <c r="K52" s="24"/>
      <c r="L52" s="24"/>
      <c r="M52" s="24"/>
      <c r="N52" s="24"/>
      <c r="O52" s="24"/>
      <c r="P52" s="24"/>
    </row>
    <row r="53" spans="1:16" ht="15.75" customHeight="1">
      <c r="A53" s="335" t="s">
        <v>98</v>
      </c>
      <c r="B53" s="278"/>
      <c r="C53" s="278"/>
      <c r="D53" s="278"/>
      <c r="E53" s="278"/>
      <c r="F53" s="278"/>
      <c r="G53" s="278"/>
      <c r="H53" s="279"/>
      <c r="I53" s="44">
        <f>SUM(I51+I52)</f>
        <v>285.77999999999997</v>
      </c>
      <c r="J53" s="24"/>
      <c r="K53" s="24"/>
      <c r="L53" s="24"/>
      <c r="M53" s="24"/>
      <c r="N53" s="24"/>
      <c r="O53" s="24"/>
      <c r="P53" s="24"/>
    </row>
    <row r="54" spans="1:16" ht="79.5" customHeight="1">
      <c r="A54" s="435" t="s">
        <v>300</v>
      </c>
      <c r="B54" s="278"/>
      <c r="C54" s="278"/>
      <c r="D54" s="278"/>
      <c r="E54" s="278"/>
      <c r="F54" s="278"/>
      <c r="G54" s="278"/>
      <c r="H54" s="278"/>
      <c r="I54" s="279"/>
      <c r="J54" s="24"/>
      <c r="K54" s="24"/>
      <c r="L54" s="24"/>
      <c r="M54" s="24"/>
      <c r="N54" s="24"/>
      <c r="O54" s="24"/>
      <c r="P54" s="24"/>
    </row>
    <row r="55" spans="1:16" ht="7.5" customHeight="1">
      <c r="A55" s="336"/>
      <c r="B55" s="278"/>
      <c r="C55" s="278"/>
      <c r="D55" s="278"/>
      <c r="E55" s="278"/>
      <c r="F55" s="278"/>
      <c r="G55" s="278"/>
      <c r="H55" s="278"/>
      <c r="I55" s="279"/>
      <c r="J55" s="24"/>
      <c r="K55" s="24"/>
      <c r="L55" s="24"/>
      <c r="M55" s="24"/>
      <c r="N55" s="24"/>
      <c r="O55" s="24"/>
      <c r="P55" s="24"/>
    </row>
    <row r="56" spans="1:16" ht="32.25" customHeight="1">
      <c r="A56" s="337" t="s">
        <v>392</v>
      </c>
      <c r="B56" s="278"/>
      <c r="C56" s="278"/>
      <c r="D56" s="278"/>
      <c r="E56" s="278"/>
      <c r="F56" s="278"/>
      <c r="G56" s="278"/>
      <c r="H56" s="278"/>
      <c r="I56" s="279"/>
      <c r="J56" s="24"/>
      <c r="K56" s="24"/>
      <c r="L56" s="24"/>
      <c r="M56" s="24"/>
      <c r="N56" s="24"/>
      <c r="O56" s="24"/>
      <c r="P56" s="24"/>
    </row>
    <row r="57" spans="1:16" ht="27" customHeight="1">
      <c r="A57" s="45" t="s">
        <v>100</v>
      </c>
      <c r="B57" s="338" t="s">
        <v>101</v>
      </c>
      <c r="C57" s="278"/>
      <c r="D57" s="278"/>
      <c r="E57" s="278"/>
      <c r="F57" s="278"/>
      <c r="G57" s="279"/>
      <c r="H57" s="46" t="s">
        <v>81</v>
      </c>
      <c r="I57" s="47" t="s">
        <v>102</v>
      </c>
      <c r="J57" s="24"/>
      <c r="K57" s="24"/>
      <c r="L57" s="24"/>
      <c r="M57" s="24"/>
      <c r="N57" s="24"/>
      <c r="O57" s="24"/>
      <c r="P57" s="24"/>
    </row>
    <row r="58" spans="1:16" ht="18.75" customHeight="1">
      <c r="A58" s="48" t="s">
        <v>47</v>
      </c>
      <c r="B58" s="282" t="s">
        <v>103</v>
      </c>
      <c r="C58" s="278"/>
      <c r="D58" s="278"/>
      <c r="E58" s="278"/>
      <c r="F58" s="278"/>
      <c r="G58" s="279"/>
      <c r="H58" s="117">
        <v>0.2</v>
      </c>
      <c r="I58" s="118">
        <f t="shared" ref="I58:I65" si="0">ROUND(($I$40+$I$53)*H58,2)</f>
        <v>560.51</v>
      </c>
      <c r="J58" s="24"/>
      <c r="K58" s="24"/>
      <c r="L58" s="24"/>
      <c r="M58" s="24"/>
      <c r="N58" s="24"/>
      <c r="O58" s="24"/>
      <c r="P58" s="24"/>
    </row>
    <row r="59" spans="1:16" ht="18.75" customHeight="1">
      <c r="A59" s="48" t="s">
        <v>49</v>
      </c>
      <c r="B59" s="282" t="s">
        <v>104</v>
      </c>
      <c r="C59" s="278"/>
      <c r="D59" s="278"/>
      <c r="E59" s="278"/>
      <c r="F59" s="278"/>
      <c r="G59" s="279"/>
      <c r="H59" s="117">
        <v>2.5000000000000001E-2</v>
      </c>
      <c r="I59" s="118">
        <f t="shared" si="0"/>
        <v>70.06</v>
      </c>
      <c r="J59" s="24"/>
      <c r="K59" s="24"/>
      <c r="L59" s="24"/>
      <c r="M59" s="24"/>
      <c r="N59" s="24"/>
      <c r="O59" s="24"/>
      <c r="P59" s="24"/>
    </row>
    <row r="60" spans="1:16" ht="56.25" customHeight="1">
      <c r="A60" s="48" t="s">
        <v>51</v>
      </c>
      <c r="B60" s="337" t="s">
        <v>301</v>
      </c>
      <c r="C60" s="279"/>
      <c r="D60" s="119" t="s">
        <v>106</v>
      </c>
      <c r="E60" s="120">
        <v>0.03</v>
      </c>
      <c r="F60" s="119" t="s">
        <v>107</v>
      </c>
      <c r="G60" s="121">
        <v>1</v>
      </c>
      <c r="H60" s="122">
        <f>ROUND((E60*G60),6)</f>
        <v>0.03</v>
      </c>
      <c r="I60" s="118">
        <f t="shared" si="0"/>
        <v>84.08</v>
      </c>
      <c r="J60" s="24"/>
      <c r="K60" s="24"/>
      <c r="L60" s="24"/>
      <c r="M60" s="24"/>
      <c r="N60" s="24"/>
      <c r="O60" s="24"/>
      <c r="P60" s="24"/>
    </row>
    <row r="61" spans="1:16" ht="15.75" customHeight="1">
      <c r="A61" s="48" t="s">
        <v>54</v>
      </c>
      <c r="B61" s="282" t="s">
        <v>108</v>
      </c>
      <c r="C61" s="278"/>
      <c r="D61" s="278"/>
      <c r="E61" s="278"/>
      <c r="F61" s="278"/>
      <c r="G61" s="279"/>
      <c r="H61" s="117">
        <v>1.4999999999999999E-2</v>
      </c>
      <c r="I61" s="118">
        <f t="shared" si="0"/>
        <v>42.04</v>
      </c>
      <c r="J61" s="24"/>
      <c r="K61" s="24"/>
      <c r="L61" s="24"/>
      <c r="M61" s="24"/>
      <c r="N61" s="24"/>
      <c r="O61" s="24"/>
      <c r="P61" s="24"/>
    </row>
    <row r="62" spans="1:16" ht="15.75" customHeight="1">
      <c r="A62" s="48" t="s">
        <v>109</v>
      </c>
      <c r="B62" s="282" t="s">
        <v>110</v>
      </c>
      <c r="C62" s="278"/>
      <c r="D62" s="278"/>
      <c r="E62" s="278"/>
      <c r="F62" s="278"/>
      <c r="G62" s="279"/>
      <c r="H62" s="117">
        <v>0.01</v>
      </c>
      <c r="I62" s="118">
        <f t="shared" si="0"/>
        <v>28.03</v>
      </c>
      <c r="J62" s="24"/>
      <c r="K62" s="24"/>
      <c r="L62" s="24"/>
      <c r="M62" s="24"/>
      <c r="N62" s="24"/>
      <c r="O62" s="24"/>
      <c r="P62" s="24"/>
    </row>
    <row r="63" spans="1:16" ht="15.75" customHeight="1">
      <c r="A63" s="48" t="s">
        <v>111</v>
      </c>
      <c r="B63" s="282" t="s">
        <v>112</v>
      </c>
      <c r="C63" s="278"/>
      <c r="D63" s="278"/>
      <c r="E63" s="278"/>
      <c r="F63" s="278"/>
      <c r="G63" s="279"/>
      <c r="H63" s="117">
        <v>6.0000000000000001E-3</v>
      </c>
      <c r="I63" s="118">
        <f t="shared" si="0"/>
        <v>16.82</v>
      </c>
      <c r="J63" s="24"/>
      <c r="K63" s="24"/>
      <c r="L63" s="24"/>
      <c r="M63" s="24"/>
      <c r="N63" s="24"/>
      <c r="O63" s="24"/>
      <c r="P63" s="24"/>
    </row>
    <row r="64" spans="1:16" ht="15.75" customHeight="1">
      <c r="A64" s="48" t="s">
        <v>113</v>
      </c>
      <c r="B64" s="282" t="s">
        <v>114</v>
      </c>
      <c r="C64" s="278"/>
      <c r="D64" s="278"/>
      <c r="E64" s="278"/>
      <c r="F64" s="278"/>
      <c r="G64" s="279"/>
      <c r="H64" s="117">
        <v>2E-3</v>
      </c>
      <c r="I64" s="118">
        <f t="shared" si="0"/>
        <v>5.61</v>
      </c>
      <c r="J64" s="24"/>
      <c r="K64" s="24"/>
      <c r="L64" s="24"/>
      <c r="M64" s="24"/>
      <c r="N64" s="24"/>
      <c r="O64" s="24"/>
      <c r="P64" s="24"/>
    </row>
    <row r="65" spans="1:16" ht="15.75" customHeight="1">
      <c r="A65" s="48" t="s">
        <v>87</v>
      </c>
      <c r="B65" s="282" t="s">
        <v>115</v>
      </c>
      <c r="C65" s="278"/>
      <c r="D65" s="278"/>
      <c r="E65" s="278"/>
      <c r="F65" s="278"/>
      <c r="G65" s="279"/>
      <c r="H65" s="117">
        <v>0.08</v>
      </c>
      <c r="I65" s="118">
        <f t="shared" si="0"/>
        <v>224.2</v>
      </c>
      <c r="J65" s="24"/>
      <c r="K65" s="24"/>
      <c r="L65" s="24"/>
      <c r="M65" s="24"/>
      <c r="N65" s="24"/>
      <c r="O65" s="24"/>
      <c r="P65" s="24"/>
    </row>
    <row r="66" spans="1:16" ht="15.75" customHeight="1">
      <c r="A66" s="340" t="s">
        <v>98</v>
      </c>
      <c r="B66" s="278"/>
      <c r="C66" s="278"/>
      <c r="D66" s="278"/>
      <c r="E66" s="278"/>
      <c r="F66" s="278"/>
      <c r="G66" s="279"/>
      <c r="H66" s="55">
        <f t="shared" ref="H66:I66" si="1">SUM(H58:H65)</f>
        <v>0.36800000000000005</v>
      </c>
      <c r="I66" s="44">
        <f t="shared" si="1"/>
        <v>1031.3499999999999</v>
      </c>
      <c r="J66" s="24"/>
      <c r="K66" s="24"/>
      <c r="L66" s="24"/>
      <c r="M66" s="24"/>
      <c r="N66" s="24"/>
      <c r="O66" s="24"/>
      <c r="P66" s="24"/>
    </row>
    <row r="67" spans="1:16" ht="8.25" customHeight="1">
      <c r="A67" s="56"/>
      <c r="B67" s="57"/>
      <c r="C67" s="57"/>
      <c r="D67" s="57"/>
      <c r="E67" s="57"/>
      <c r="F67" s="57"/>
      <c r="G67" s="57"/>
      <c r="H67" s="58"/>
      <c r="I67" s="59"/>
      <c r="J67" s="24"/>
      <c r="K67" s="24"/>
      <c r="L67" s="24"/>
      <c r="M67" s="24"/>
      <c r="N67" s="24"/>
      <c r="O67" s="24"/>
      <c r="P67" s="24"/>
    </row>
    <row r="68" spans="1:16" ht="35.25" customHeight="1">
      <c r="A68" s="315" t="s">
        <v>116</v>
      </c>
      <c r="B68" s="278"/>
      <c r="C68" s="278"/>
      <c r="D68" s="278"/>
      <c r="E68" s="278"/>
      <c r="F68" s="278"/>
      <c r="G68" s="278"/>
      <c r="H68" s="278"/>
      <c r="I68" s="279"/>
      <c r="J68" s="24"/>
      <c r="K68" s="24"/>
      <c r="L68" s="24"/>
      <c r="M68" s="24"/>
      <c r="N68" s="24"/>
      <c r="O68" s="24"/>
      <c r="P68" s="24"/>
    </row>
    <row r="69" spans="1:16" ht="9.75" customHeight="1">
      <c r="A69" s="314"/>
      <c r="B69" s="278"/>
      <c r="C69" s="278"/>
      <c r="D69" s="278"/>
      <c r="E69" s="278"/>
      <c r="F69" s="278"/>
      <c r="G69" s="278"/>
      <c r="H69" s="278"/>
      <c r="I69" s="279"/>
      <c r="J69" s="24"/>
      <c r="K69" s="24"/>
      <c r="L69" s="24"/>
      <c r="M69" s="24"/>
      <c r="N69" s="24"/>
      <c r="O69" s="24"/>
      <c r="P69" s="24"/>
    </row>
    <row r="70" spans="1:16" ht="20.25" customHeight="1">
      <c r="A70" s="341" t="s">
        <v>117</v>
      </c>
      <c r="B70" s="278"/>
      <c r="C70" s="278"/>
      <c r="D70" s="278"/>
      <c r="E70" s="278"/>
      <c r="F70" s="278"/>
      <c r="G70" s="278"/>
      <c r="H70" s="278"/>
      <c r="I70" s="279"/>
      <c r="J70" s="24"/>
      <c r="K70" s="24"/>
      <c r="L70" s="24"/>
      <c r="M70" s="24"/>
      <c r="N70" s="24"/>
      <c r="O70" s="24"/>
      <c r="P70" s="24"/>
    </row>
    <row r="71" spans="1:16" ht="27" customHeight="1">
      <c r="A71" s="60" t="s">
        <v>118</v>
      </c>
      <c r="B71" s="318" t="s">
        <v>119</v>
      </c>
      <c r="C71" s="278"/>
      <c r="D71" s="278"/>
      <c r="E71" s="278"/>
      <c r="F71" s="278"/>
      <c r="G71" s="278"/>
      <c r="H71" s="279"/>
      <c r="I71" s="47" t="s">
        <v>95</v>
      </c>
      <c r="J71" s="24"/>
      <c r="K71" s="24"/>
      <c r="L71" s="24"/>
      <c r="M71" s="24"/>
      <c r="N71" s="24"/>
      <c r="O71" s="24"/>
      <c r="P71" s="24"/>
    </row>
    <row r="72" spans="1:16" ht="23.25" customHeight="1">
      <c r="A72" s="61" t="s">
        <v>47</v>
      </c>
      <c r="B72" s="282" t="s">
        <v>302</v>
      </c>
      <c r="C72" s="278"/>
      <c r="D72" s="278"/>
      <c r="E72" s="278"/>
      <c r="F72" s="278"/>
      <c r="G72" s="278"/>
      <c r="H72" s="278"/>
      <c r="I72" s="118">
        <f>IF(ROUND((H73*H75*H74)-(I33*H76),2)&lt;0,0,ROUND((H73*H75*H74)-(I33*H76),2))</f>
        <v>103.32</v>
      </c>
      <c r="J72" s="24"/>
      <c r="K72" s="24"/>
      <c r="L72" s="24"/>
      <c r="M72" s="24"/>
      <c r="N72" s="24"/>
      <c r="O72" s="24"/>
      <c r="P72" s="24"/>
    </row>
    <row r="73" spans="1:16" ht="27" customHeight="1">
      <c r="A73" s="61"/>
      <c r="B73" s="282" t="s">
        <v>412</v>
      </c>
      <c r="C73" s="278"/>
      <c r="D73" s="278"/>
      <c r="E73" s="278"/>
      <c r="F73" s="278"/>
      <c r="G73" s="278"/>
      <c r="H73" s="62">
        <f>Consolidação!D20</f>
        <v>4.8</v>
      </c>
      <c r="I73" s="111" t="s">
        <v>22</v>
      </c>
      <c r="J73" s="24"/>
      <c r="K73" s="24"/>
      <c r="L73" s="24"/>
      <c r="M73" s="24"/>
      <c r="N73" s="24"/>
      <c r="O73" s="24"/>
      <c r="P73" s="24"/>
    </row>
    <row r="74" spans="1:16" ht="19.5" customHeight="1">
      <c r="A74" s="61"/>
      <c r="B74" s="282" t="s">
        <v>303</v>
      </c>
      <c r="C74" s="278"/>
      <c r="D74" s="278"/>
      <c r="E74" s="278"/>
      <c r="F74" s="278"/>
      <c r="G74" s="279"/>
      <c r="H74" s="123">
        <v>2</v>
      </c>
      <c r="I74" s="111" t="s">
        <v>22</v>
      </c>
      <c r="J74" s="24"/>
      <c r="K74" s="24"/>
      <c r="L74" s="24"/>
      <c r="M74" s="24"/>
      <c r="N74" s="24"/>
      <c r="O74" s="24"/>
      <c r="P74" s="24"/>
    </row>
    <row r="75" spans="1:16" ht="19.5" customHeight="1">
      <c r="A75" s="61"/>
      <c r="B75" s="441" t="s">
        <v>122</v>
      </c>
      <c r="C75" s="278"/>
      <c r="D75" s="278"/>
      <c r="E75" s="278"/>
      <c r="F75" s="278"/>
      <c r="G75" s="279"/>
      <c r="H75" s="124">
        <v>22</v>
      </c>
      <c r="I75" s="111"/>
      <c r="J75" s="24"/>
      <c r="K75" s="24"/>
      <c r="L75" s="24"/>
      <c r="M75" s="24"/>
      <c r="N75" s="24"/>
      <c r="O75" s="24"/>
      <c r="P75" s="24"/>
    </row>
    <row r="76" spans="1:16" ht="25.5" customHeight="1">
      <c r="A76" s="61"/>
      <c r="B76" s="441" t="s">
        <v>304</v>
      </c>
      <c r="C76" s="278"/>
      <c r="D76" s="278"/>
      <c r="E76" s="278"/>
      <c r="F76" s="278"/>
      <c r="G76" s="279"/>
      <c r="H76" s="125">
        <v>0.06</v>
      </c>
      <c r="I76" s="111"/>
      <c r="J76" s="24"/>
      <c r="K76" s="24"/>
      <c r="L76" s="24"/>
      <c r="M76" s="24"/>
      <c r="N76" s="24"/>
      <c r="O76" s="24"/>
      <c r="P76" s="24"/>
    </row>
    <row r="77" spans="1:16" ht="14.25" customHeight="1">
      <c r="A77" s="61" t="s">
        <v>49</v>
      </c>
      <c r="B77" s="282" t="s">
        <v>305</v>
      </c>
      <c r="C77" s="278"/>
      <c r="D77" s="278"/>
      <c r="E77" s="278"/>
      <c r="F77" s="278"/>
      <c r="G77" s="278"/>
      <c r="H77" s="278"/>
      <c r="I77" s="118">
        <f>ROUND(H79*H78*(1-H80),2)*1+ROUND(21.726*6*(1-H80),2)*0</f>
        <v>475.2</v>
      </c>
      <c r="J77" s="24"/>
      <c r="K77" s="24"/>
      <c r="L77" s="24"/>
      <c r="M77" s="24"/>
      <c r="N77" s="24"/>
      <c r="O77" s="24"/>
      <c r="P77" s="24"/>
    </row>
    <row r="78" spans="1:16" ht="15.75" customHeight="1">
      <c r="A78" s="61"/>
      <c r="B78" s="302" t="s">
        <v>417</v>
      </c>
      <c r="C78" s="278"/>
      <c r="D78" s="278"/>
      <c r="E78" s="278"/>
      <c r="F78" s="278"/>
      <c r="G78" s="278"/>
      <c r="H78" s="62">
        <f>Consolidação!D14</f>
        <v>27</v>
      </c>
      <c r="I78" s="111" t="s">
        <v>22</v>
      </c>
      <c r="J78" s="24"/>
      <c r="K78" s="24"/>
      <c r="L78" s="24"/>
      <c r="M78" s="24"/>
      <c r="N78" s="24"/>
      <c r="O78" s="24"/>
      <c r="P78" s="24"/>
    </row>
    <row r="79" spans="1:16" ht="15.75" customHeight="1">
      <c r="A79" s="61"/>
      <c r="B79" s="282" t="s">
        <v>306</v>
      </c>
      <c r="C79" s="278"/>
      <c r="D79" s="278"/>
      <c r="E79" s="278"/>
      <c r="F79" s="278"/>
      <c r="G79" s="278"/>
      <c r="H79" s="124">
        <v>22</v>
      </c>
      <c r="I79" s="111"/>
      <c r="J79" s="24"/>
      <c r="K79" s="24"/>
      <c r="L79" s="24"/>
      <c r="M79" s="24"/>
      <c r="N79" s="24"/>
      <c r="O79" s="24"/>
      <c r="P79" s="24"/>
    </row>
    <row r="80" spans="1:16" ht="22.5" customHeight="1">
      <c r="A80" s="61"/>
      <c r="B80" s="455" t="s">
        <v>409</v>
      </c>
      <c r="C80" s="333"/>
      <c r="D80" s="333"/>
      <c r="E80" s="333"/>
      <c r="F80" s="333"/>
      <c r="G80" s="334"/>
      <c r="H80" s="125">
        <v>0.2</v>
      </c>
      <c r="I80" s="111"/>
      <c r="J80" s="24"/>
      <c r="K80" s="24"/>
      <c r="L80" s="24"/>
      <c r="M80" s="24"/>
      <c r="N80" s="24"/>
      <c r="O80" s="24"/>
      <c r="P80" s="24"/>
    </row>
    <row r="81" spans="1:16" ht="15.75" customHeight="1">
      <c r="A81" s="61" t="s">
        <v>51</v>
      </c>
      <c r="B81" s="282" t="s">
        <v>126</v>
      </c>
      <c r="C81" s="278"/>
      <c r="D81" s="278"/>
      <c r="E81" s="278"/>
      <c r="F81" s="278"/>
      <c r="G81" s="278"/>
      <c r="H81" s="278"/>
      <c r="I81" s="118">
        <v>0</v>
      </c>
      <c r="J81" s="24"/>
      <c r="K81" s="24"/>
      <c r="L81" s="24"/>
      <c r="M81" s="24"/>
      <c r="N81" s="24"/>
      <c r="O81" s="24"/>
      <c r="P81" s="24"/>
    </row>
    <row r="82" spans="1:16" ht="34.5" customHeight="1">
      <c r="A82" s="61" t="s">
        <v>54</v>
      </c>
      <c r="B82" s="282" t="s">
        <v>307</v>
      </c>
      <c r="C82" s="278"/>
      <c r="D82" s="278"/>
      <c r="E82" s="278"/>
      <c r="F82" s="278"/>
      <c r="G82" s="278"/>
      <c r="H82" s="278"/>
      <c r="I82" s="118">
        <v>15.05</v>
      </c>
      <c r="J82" s="233"/>
      <c r="K82" s="24"/>
      <c r="L82" s="24"/>
      <c r="M82" s="24"/>
      <c r="N82" s="24"/>
      <c r="O82" s="24"/>
      <c r="P82" s="24"/>
    </row>
    <row r="83" spans="1:16" ht="35.1" customHeight="1">
      <c r="A83" s="61" t="s">
        <v>109</v>
      </c>
      <c r="B83" s="520" t="s">
        <v>421</v>
      </c>
      <c r="C83" s="426"/>
      <c r="D83" s="426"/>
      <c r="E83" s="426"/>
      <c r="F83" s="426"/>
      <c r="G83" s="426"/>
      <c r="H83" s="427"/>
      <c r="I83" s="118">
        <v>0.78</v>
      </c>
      <c r="J83" s="233"/>
      <c r="K83" s="24"/>
      <c r="L83" s="24"/>
      <c r="M83" s="24"/>
      <c r="N83" s="24"/>
      <c r="O83" s="24"/>
      <c r="P83" s="24"/>
    </row>
    <row r="84" spans="1:16" ht="15.75" customHeight="1">
      <c r="A84" s="61" t="s">
        <v>111</v>
      </c>
      <c r="B84" s="456" t="s">
        <v>127</v>
      </c>
      <c r="C84" s="278"/>
      <c r="D84" s="278"/>
      <c r="E84" s="278"/>
      <c r="F84" s="278"/>
      <c r="G84" s="278"/>
      <c r="H84" s="278"/>
      <c r="I84" s="99">
        <v>0</v>
      </c>
      <c r="J84" s="24"/>
      <c r="K84" s="24"/>
      <c r="L84" s="24"/>
      <c r="M84" s="24"/>
      <c r="N84" s="24"/>
      <c r="O84" s="24"/>
      <c r="P84" s="24"/>
    </row>
    <row r="85" spans="1:16" ht="18" customHeight="1">
      <c r="A85" s="67"/>
      <c r="B85" s="340" t="s">
        <v>98</v>
      </c>
      <c r="C85" s="278"/>
      <c r="D85" s="278"/>
      <c r="E85" s="278"/>
      <c r="F85" s="278"/>
      <c r="G85" s="278"/>
      <c r="H85" s="293"/>
      <c r="I85" s="44">
        <f>SUM(I72:I84)</f>
        <v>594.34999999999991</v>
      </c>
      <c r="J85" s="24"/>
      <c r="K85" s="24"/>
      <c r="L85" s="24"/>
      <c r="M85" s="24"/>
      <c r="N85" s="24"/>
      <c r="O85" s="24"/>
      <c r="P85" s="24"/>
    </row>
    <row r="86" spans="1:16" ht="9" customHeight="1">
      <c r="A86" s="314"/>
      <c r="B86" s="278"/>
      <c r="C86" s="278"/>
      <c r="D86" s="278"/>
      <c r="E86" s="278"/>
      <c r="F86" s="278"/>
      <c r="G86" s="278"/>
      <c r="H86" s="278"/>
      <c r="I86" s="279"/>
      <c r="J86" s="24"/>
      <c r="K86" s="24"/>
      <c r="L86" s="24"/>
      <c r="M86" s="24"/>
      <c r="N86" s="24"/>
      <c r="O86" s="24"/>
      <c r="P86" s="24"/>
    </row>
    <row r="87" spans="1:16" ht="32.25" customHeight="1">
      <c r="A87" s="315" t="s">
        <v>128</v>
      </c>
      <c r="B87" s="278"/>
      <c r="C87" s="278"/>
      <c r="D87" s="278"/>
      <c r="E87" s="278"/>
      <c r="F87" s="278"/>
      <c r="G87" s="278"/>
      <c r="H87" s="278"/>
      <c r="I87" s="279"/>
      <c r="J87" s="24"/>
      <c r="K87" s="24"/>
      <c r="L87" s="24"/>
      <c r="M87" s="24"/>
      <c r="N87" s="24"/>
      <c r="O87" s="24"/>
      <c r="P87" s="24"/>
    </row>
    <row r="88" spans="1:16" ht="8.25" customHeight="1">
      <c r="A88" s="299"/>
      <c r="B88" s="278"/>
      <c r="C88" s="278"/>
      <c r="D88" s="278"/>
      <c r="E88" s="278"/>
      <c r="F88" s="278"/>
      <c r="G88" s="278"/>
      <c r="H88" s="278"/>
      <c r="I88" s="279"/>
      <c r="J88" s="24"/>
      <c r="K88" s="24"/>
      <c r="L88" s="24"/>
      <c r="M88" s="24"/>
      <c r="N88" s="24"/>
      <c r="O88" s="24"/>
      <c r="P88" s="24"/>
    </row>
    <row r="89" spans="1:16" ht="17.25" customHeight="1">
      <c r="A89" s="347" t="s">
        <v>129</v>
      </c>
      <c r="B89" s="278"/>
      <c r="C89" s="278"/>
      <c r="D89" s="278"/>
      <c r="E89" s="278"/>
      <c r="F89" s="278"/>
      <c r="G89" s="278"/>
      <c r="H89" s="278"/>
      <c r="I89" s="279"/>
      <c r="J89" s="24"/>
      <c r="K89" s="24"/>
      <c r="L89" s="24"/>
      <c r="M89" s="24"/>
      <c r="N89" s="24"/>
      <c r="O89" s="24"/>
      <c r="P89" s="24"/>
    </row>
    <row r="90" spans="1:16" ht="15.75" customHeight="1">
      <c r="A90" s="68">
        <v>2</v>
      </c>
      <c r="B90" s="338" t="s">
        <v>130</v>
      </c>
      <c r="C90" s="278"/>
      <c r="D90" s="278"/>
      <c r="E90" s="278"/>
      <c r="F90" s="278"/>
      <c r="G90" s="278"/>
      <c r="H90" s="279"/>
      <c r="I90" s="68" t="s">
        <v>95</v>
      </c>
      <c r="J90" s="24"/>
      <c r="K90" s="24"/>
      <c r="L90" s="24"/>
      <c r="M90" s="24"/>
      <c r="N90" s="24"/>
      <c r="O90" s="24"/>
      <c r="P90" s="24"/>
    </row>
    <row r="91" spans="1:16" ht="14.25" customHeight="1">
      <c r="A91" s="13" t="s">
        <v>93</v>
      </c>
      <c r="B91" s="444" t="s">
        <v>308</v>
      </c>
      <c r="C91" s="278"/>
      <c r="D91" s="278"/>
      <c r="E91" s="278"/>
      <c r="F91" s="278"/>
      <c r="G91" s="278"/>
      <c r="H91" s="279"/>
      <c r="I91" s="126">
        <f>I53</f>
        <v>285.77999999999997</v>
      </c>
      <c r="J91" s="24"/>
      <c r="K91" s="24"/>
      <c r="L91" s="24"/>
      <c r="M91" s="24"/>
      <c r="N91" s="24"/>
      <c r="O91" s="24"/>
      <c r="P91" s="24"/>
    </row>
    <row r="92" spans="1:16" ht="14.25" customHeight="1">
      <c r="A92" s="13" t="s">
        <v>100</v>
      </c>
      <c r="B92" s="444" t="s">
        <v>101</v>
      </c>
      <c r="C92" s="278"/>
      <c r="D92" s="278"/>
      <c r="E92" s="278"/>
      <c r="F92" s="278"/>
      <c r="G92" s="278"/>
      <c r="H92" s="279"/>
      <c r="I92" s="126">
        <f>I66</f>
        <v>1031.3499999999999</v>
      </c>
      <c r="J92" s="24"/>
      <c r="K92" s="24"/>
      <c r="L92" s="24"/>
      <c r="M92" s="24"/>
      <c r="N92" s="24"/>
      <c r="O92" s="24"/>
      <c r="P92" s="24"/>
    </row>
    <row r="93" spans="1:16" ht="14.25" customHeight="1">
      <c r="A93" s="13" t="s">
        <v>118</v>
      </c>
      <c r="B93" s="444" t="s">
        <v>119</v>
      </c>
      <c r="C93" s="278"/>
      <c r="D93" s="278"/>
      <c r="E93" s="278"/>
      <c r="F93" s="278"/>
      <c r="G93" s="278"/>
      <c r="H93" s="279"/>
      <c r="I93" s="126">
        <f>I85</f>
        <v>594.34999999999991</v>
      </c>
      <c r="J93" s="24"/>
      <c r="K93" s="24"/>
      <c r="L93" s="24"/>
      <c r="M93" s="24"/>
      <c r="N93" s="24"/>
      <c r="O93" s="24"/>
      <c r="P93" s="24"/>
    </row>
    <row r="94" spans="1:16" ht="14.25" customHeight="1">
      <c r="A94" s="348" t="s">
        <v>98</v>
      </c>
      <c r="B94" s="278"/>
      <c r="C94" s="278"/>
      <c r="D94" s="278"/>
      <c r="E94" s="278"/>
      <c r="F94" s="278"/>
      <c r="G94" s="278"/>
      <c r="H94" s="279"/>
      <c r="I94" s="69">
        <f>SUM(I91+I92+I93)</f>
        <v>1911.4799999999998</v>
      </c>
      <c r="J94" s="24"/>
      <c r="K94" s="24"/>
      <c r="L94" s="24"/>
      <c r="M94" s="24"/>
      <c r="N94" s="24"/>
      <c r="O94" s="24"/>
      <c r="P94" s="24"/>
    </row>
    <row r="95" spans="1:16" ht="8.25" customHeight="1">
      <c r="A95" s="349"/>
      <c r="B95" s="278"/>
      <c r="C95" s="278"/>
      <c r="D95" s="278"/>
      <c r="E95" s="278"/>
      <c r="F95" s="278"/>
      <c r="G95" s="278"/>
      <c r="H95" s="278"/>
      <c r="I95" s="279"/>
      <c r="J95" s="24"/>
      <c r="K95" s="24"/>
      <c r="L95" s="24"/>
      <c r="M95" s="24"/>
      <c r="N95" s="24"/>
      <c r="O95" s="24"/>
      <c r="P95" s="24"/>
    </row>
    <row r="96" spans="1:16" ht="20.25" customHeight="1">
      <c r="A96" s="350" t="s">
        <v>132</v>
      </c>
      <c r="B96" s="278"/>
      <c r="C96" s="278"/>
      <c r="D96" s="278"/>
      <c r="E96" s="278"/>
      <c r="F96" s="278"/>
      <c r="G96" s="278"/>
      <c r="H96" s="278"/>
      <c r="I96" s="279"/>
      <c r="J96" s="24"/>
      <c r="K96" s="24"/>
      <c r="L96" s="24"/>
      <c r="M96" s="24"/>
      <c r="N96" s="24"/>
      <c r="O96" s="24"/>
      <c r="P96" s="24"/>
    </row>
    <row r="97" spans="1:16" ht="15" customHeight="1">
      <c r="A97" s="60">
        <v>3</v>
      </c>
      <c r="B97" s="351" t="s">
        <v>133</v>
      </c>
      <c r="C97" s="278"/>
      <c r="D97" s="278"/>
      <c r="E97" s="278"/>
      <c r="F97" s="278"/>
      <c r="G97" s="278"/>
      <c r="H97" s="279"/>
      <c r="I97" s="60" t="s">
        <v>95</v>
      </c>
      <c r="J97" s="24"/>
      <c r="K97" s="24"/>
      <c r="L97" s="24"/>
      <c r="M97" s="24"/>
      <c r="N97" s="24"/>
      <c r="O97" s="24"/>
      <c r="P97" s="24"/>
    </row>
    <row r="98" spans="1:16" ht="44.25" customHeight="1">
      <c r="A98" s="61" t="s">
        <v>47</v>
      </c>
      <c r="B98" s="352" t="s">
        <v>432</v>
      </c>
      <c r="C98" s="333"/>
      <c r="D98" s="333"/>
      <c r="E98" s="333"/>
      <c r="F98" s="333"/>
      <c r="G98" s="333"/>
      <c r="H98" s="334"/>
      <c r="I98" s="118">
        <f>ROUND(((I40/12)+($I$51/12)+(I40*0.121/12))*(30/30)*0.05,2)</f>
        <v>12.63</v>
      </c>
      <c r="J98" s="24"/>
      <c r="K98" s="24"/>
      <c r="L98" s="24"/>
      <c r="M98" s="24"/>
      <c r="N98" s="24"/>
      <c r="O98" s="24"/>
      <c r="P98" s="24"/>
    </row>
    <row r="99" spans="1:16" ht="14.25" customHeight="1">
      <c r="A99" s="61" t="s">
        <v>49</v>
      </c>
      <c r="B99" s="456" t="s">
        <v>134</v>
      </c>
      <c r="C99" s="278"/>
      <c r="D99" s="278"/>
      <c r="E99" s="278"/>
      <c r="F99" s="278"/>
      <c r="G99" s="278"/>
      <c r="H99" s="279"/>
      <c r="I99" s="118">
        <f>ROUND($H$65*I98,2)</f>
        <v>1.01</v>
      </c>
      <c r="J99" s="24"/>
      <c r="K99" s="24"/>
      <c r="L99" s="24"/>
      <c r="M99" s="24"/>
      <c r="N99" s="24"/>
      <c r="O99" s="24"/>
      <c r="P99" s="24"/>
    </row>
    <row r="100" spans="1:16" ht="51.75" customHeight="1">
      <c r="A100" s="61" t="s">
        <v>51</v>
      </c>
      <c r="B100" s="345" t="s">
        <v>431</v>
      </c>
      <c r="C100" s="333"/>
      <c r="D100" s="333"/>
      <c r="E100" s="333"/>
      <c r="F100" s="333"/>
      <c r="G100" s="333"/>
      <c r="H100" s="334"/>
      <c r="I100" s="118">
        <f>ROUND(((7/30)/$H$10)*I40*1,2)</f>
        <v>48.94</v>
      </c>
      <c r="J100" s="24"/>
      <c r="K100" s="24"/>
      <c r="L100" s="24"/>
      <c r="M100" s="24"/>
      <c r="N100" s="24"/>
      <c r="O100" s="24"/>
      <c r="P100" s="24"/>
    </row>
    <row r="101" spans="1:16" ht="19.5" customHeight="1">
      <c r="A101" s="61" t="s">
        <v>54</v>
      </c>
      <c r="B101" s="456" t="s">
        <v>135</v>
      </c>
      <c r="C101" s="278"/>
      <c r="D101" s="278"/>
      <c r="E101" s="278"/>
      <c r="F101" s="278"/>
      <c r="G101" s="278"/>
      <c r="H101" s="279"/>
      <c r="I101" s="118">
        <f>ROUND($H$66*I100,2)</f>
        <v>18.010000000000002</v>
      </c>
      <c r="J101" s="24"/>
      <c r="K101" s="24"/>
      <c r="L101" s="24"/>
      <c r="M101" s="24"/>
      <c r="N101" s="24"/>
      <c r="O101" s="24"/>
      <c r="P101" s="24"/>
    </row>
    <row r="102" spans="1:16" ht="36.75" customHeight="1">
      <c r="A102" s="61" t="s">
        <v>109</v>
      </c>
      <c r="B102" s="282" t="s">
        <v>309</v>
      </c>
      <c r="C102" s="278"/>
      <c r="D102" s="278"/>
      <c r="E102" s="278"/>
      <c r="F102" s="278"/>
      <c r="G102" s="279"/>
      <c r="H102" s="127">
        <v>0.04</v>
      </c>
      <c r="I102" s="118">
        <f>ROUND(I40*H102,2)</f>
        <v>100.67</v>
      </c>
      <c r="J102" s="24"/>
      <c r="K102" s="24"/>
      <c r="L102" s="24"/>
      <c r="M102" s="24"/>
      <c r="N102" s="24"/>
      <c r="O102" s="24"/>
      <c r="P102" s="24"/>
    </row>
    <row r="103" spans="1:16" ht="15.75" customHeight="1">
      <c r="A103" s="340" t="s">
        <v>41</v>
      </c>
      <c r="B103" s="278"/>
      <c r="C103" s="278"/>
      <c r="D103" s="278"/>
      <c r="E103" s="278"/>
      <c r="F103" s="278"/>
      <c r="G103" s="278"/>
      <c r="H103" s="279"/>
      <c r="I103" s="44">
        <f>SUM(I98:I102)</f>
        <v>181.26</v>
      </c>
      <c r="J103" s="24"/>
      <c r="K103" s="24"/>
      <c r="L103" s="24"/>
      <c r="M103" s="24"/>
      <c r="N103" s="24"/>
      <c r="O103" s="24"/>
      <c r="P103" s="24"/>
    </row>
    <row r="104" spans="1:16" ht="9" customHeight="1">
      <c r="A104" s="357"/>
      <c r="B104" s="278"/>
      <c r="C104" s="278"/>
      <c r="D104" s="278"/>
      <c r="E104" s="278"/>
      <c r="F104" s="278"/>
      <c r="G104" s="278"/>
      <c r="H104" s="278"/>
      <c r="I104" s="279"/>
      <c r="J104" s="24"/>
      <c r="K104" s="24"/>
      <c r="L104" s="24"/>
      <c r="M104" s="24"/>
      <c r="N104" s="24"/>
      <c r="O104" s="24"/>
      <c r="P104" s="24"/>
    </row>
    <row r="105" spans="1:16" ht="24" customHeight="1">
      <c r="A105" s="358" t="s">
        <v>137</v>
      </c>
      <c r="B105" s="278"/>
      <c r="C105" s="278"/>
      <c r="D105" s="278"/>
      <c r="E105" s="278"/>
      <c r="F105" s="278"/>
      <c r="G105" s="278"/>
      <c r="H105" s="278"/>
      <c r="I105" s="279"/>
      <c r="J105" s="24"/>
      <c r="K105" s="24"/>
      <c r="L105" s="24"/>
      <c r="M105" s="24"/>
      <c r="N105" s="24"/>
      <c r="O105" s="24"/>
      <c r="P105" s="24"/>
    </row>
    <row r="106" spans="1:16" ht="24.75" customHeight="1">
      <c r="A106" s="315" t="s">
        <v>138</v>
      </c>
      <c r="B106" s="278"/>
      <c r="C106" s="278"/>
      <c r="D106" s="278"/>
      <c r="E106" s="278"/>
      <c r="F106" s="278"/>
      <c r="G106" s="278"/>
      <c r="H106" s="278"/>
      <c r="I106" s="279"/>
      <c r="J106" s="24"/>
      <c r="K106" s="24"/>
      <c r="L106" s="24"/>
      <c r="M106" s="24"/>
      <c r="N106" s="24"/>
      <c r="O106" s="24"/>
      <c r="P106" s="24"/>
    </row>
    <row r="107" spans="1:16" ht="55.5" customHeight="1">
      <c r="A107" s="359" t="s">
        <v>310</v>
      </c>
      <c r="B107" s="278"/>
      <c r="C107" s="278"/>
      <c r="D107" s="278"/>
      <c r="E107" s="278"/>
      <c r="F107" s="278"/>
      <c r="G107" s="278"/>
      <c r="H107" s="278"/>
      <c r="I107" s="279"/>
      <c r="J107" s="24"/>
      <c r="K107" s="24"/>
      <c r="L107" s="24"/>
      <c r="M107" s="24"/>
      <c r="N107" s="24"/>
      <c r="O107" s="24"/>
      <c r="P107" s="24"/>
    </row>
    <row r="108" spans="1:16" ht="7.5" customHeight="1">
      <c r="A108" s="360"/>
      <c r="B108" s="278"/>
      <c r="C108" s="278"/>
      <c r="D108" s="278"/>
      <c r="E108" s="278"/>
      <c r="F108" s="278"/>
      <c r="G108" s="278"/>
      <c r="H108" s="278"/>
      <c r="I108" s="279"/>
      <c r="J108" s="24"/>
      <c r="K108" s="24"/>
      <c r="L108" s="24"/>
      <c r="M108" s="24"/>
      <c r="N108" s="24"/>
      <c r="O108" s="24"/>
      <c r="P108" s="24"/>
    </row>
    <row r="109" spans="1:16" ht="58.5" customHeight="1">
      <c r="A109" s="128" t="s">
        <v>140</v>
      </c>
      <c r="B109" s="129">
        <f>I40</f>
        <v>2516.75</v>
      </c>
      <c r="C109" s="130"/>
      <c r="D109" s="128" t="s">
        <v>311</v>
      </c>
      <c r="E109" s="129">
        <f>I94-I72-I77+I113</f>
        <v>1645.4111999999998</v>
      </c>
      <c r="F109" s="131"/>
      <c r="G109" s="128" t="s">
        <v>142</v>
      </c>
      <c r="H109" s="129">
        <f>I103</f>
        <v>181.26</v>
      </c>
      <c r="I109" s="75">
        <f>B109+E109+H109</f>
        <v>4343.4211999999998</v>
      </c>
      <c r="J109" s="37"/>
      <c r="K109" s="24"/>
      <c r="L109" s="24"/>
      <c r="M109" s="24"/>
      <c r="N109" s="24"/>
      <c r="O109" s="24"/>
      <c r="P109" s="24"/>
    </row>
    <row r="110" spans="1:16" ht="7.5" customHeight="1">
      <c r="A110" s="366"/>
      <c r="B110" s="278"/>
      <c r="C110" s="278"/>
      <c r="D110" s="278"/>
      <c r="E110" s="278"/>
      <c r="F110" s="278"/>
      <c r="G110" s="278"/>
      <c r="H110" s="278"/>
      <c r="I110" s="279"/>
      <c r="J110" s="24"/>
      <c r="K110" s="24"/>
      <c r="L110" s="24"/>
      <c r="M110" s="24"/>
      <c r="N110" s="24"/>
      <c r="O110" s="24"/>
      <c r="P110" s="24"/>
    </row>
    <row r="111" spans="1:16" ht="24" customHeight="1">
      <c r="A111" s="359" t="s">
        <v>143</v>
      </c>
      <c r="B111" s="278"/>
      <c r="C111" s="278"/>
      <c r="D111" s="278"/>
      <c r="E111" s="278"/>
      <c r="F111" s="278"/>
      <c r="G111" s="278"/>
      <c r="H111" s="278"/>
      <c r="I111" s="279"/>
      <c r="J111" s="24"/>
      <c r="K111" s="24"/>
      <c r="L111" s="24"/>
      <c r="M111" s="24"/>
      <c r="N111" s="24"/>
      <c r="O111" s="24"/>
      <c r="P111" s="24"/>
    </row>
    <row r="112" spans="1:16" ht="24" customHeight="1">
      <c r="A112" s="76" t="s">
        <v>144</v>
      </c>
      <c r="B112" s="351" t="s">
        <v>145</v>
      </c>
      <c r="C112" s="278"/>
      <c r="D112" s="278"/>
      <c r="E112" s="278"/>
      <c r="F112" s="278"/>
      <c r="G112" s="278"/>
      <c r="H112" s="279"/>
      <c r="I112" s="76" t="s">
        <v>95</v>
      </c>
      <c r="J112" s="24"/>
      <c r="K112" s="24"/>
      <c r="L112" s="24"/>
      <c r="M112" s="24"/>
      <c r="N112" s="24"/>
      <c r="O112" s="24"/>
      <c r="P112" s="24"/>
    </row>
    <row r="113" spans="1:16" ht="63.75" customHeight="1">
      <c r="A113" s="77" t="s">
        <v>47</v>
      </c>
      <c r="B113" s="444" t="s">
        <v>312</v>
      </c>
      <c r="C113" s="278"/>
      <c r="D113" s="278"/>
      <c r="E113" s="278"/>
      <c r="F113" s="278"/>
      <c r="G113" s="132">
        <v>9.0749999999999997E-2</v>
      </c>
      <c r="H113" s="133">
        <f>H66</f>
        <v>0.36800000000000005</v>
      </c>
      <c r="I113" s="118">
        <f>ROUND(G113*I40,2)*(1+H113)</f>
        <v>312.45120000000003</v>
      </c>
      <c r="J113" s="37"/>
      <c r="K113" s="24"/>
      <c r="L113" s="24"/>
      <c r="M113" s="24"/>
      <c r="N113" s="24"/>
      <c r="O113" s="24"/>
      <c r="P113" s="24"/>
    </row>
    <row r="114" spans="1:16" ht="30" customHeight="1">
      <c r="A114" s="61" t="s">
        <v>49</v>
      </c>
      <c r="B114" s="444" t="s">
        <v>313</v>
      </c>
      <c r="C114" s="278"/>
      <c r="D114" s="278"/>
      <c r="E114" s="278"/>
      <c r="F114" s="278"/>
      <c r="G114" s="278"/>
      <c r="H114" s="279"/>
      <c r="I114" s="118">
        <f>ROUND((1/30)/12*(I109),2)</f>
        <v>12.07</v>
      </c>
      <c r="J114" s="24"/>
      <c r="K114" s="37"/>
      <c r="L114" s="24"/>
      <c r="M114" s="24"/>
      <c r="N114" s="24"/>
      <c r="O114" s="24"/>
      <c r="P114" s="24"/>
    </row>
    <row r="115" spans="1:16" ht="31.5" customHeight="1">
      <c r="A115" s="61" t="s">
        <v>51</v>
      </c>
      <c r="B115" s="444" t="s">
        <v>314</v>
      </c>
      <c r="C115" s="278"/>
      <c r="D115" s="278"/>
      <c r="E115" s="278"/>
      <c r="F115" s="278"/>
      <c r="G115" s="278"/>
      <c r="H115" s="279"/>
      <c r="I115" s="118">
        <f>ROUND((5/30)/12*0.015*(I109),2)</f>
        <v>0.9</v>
      </c>
      <c r="J115" s="24"/>
      <c r="K115" s="24"/>
      <c r="L115" s="24"/>
      <c r="M115" s="24"/>
      <c r="N115" s="24"/>
      <c r="O115" s="24"/>
      <c r="P115" s="24"/>
    </row>
    <row r="116" spans="1:16" ht="30.75" customHeight="1">
      <c r="A116" s="61" t="s">
        <v>54</v>
      </c>
      <c r="B116" s="460" t="s">
        <v>315</v>
      </c>
      <c r="C116" s="278"/>
      <c r="D116" s="278"/>
      <c r="E116" s="278"/>
      <c r="F116" s="278"/>
      <c r="G116" s="278"/>
      <c r="H116" s="279"/>
      <c r="I116" s="118">
        <f>ROUND(((($I$109)/30)*0.69)/12,2)</f>
        <v>8.32</v>
      </c>
      <c r="J116" s="24"/>
      <c r="K116" s="24"/>
      <c r="L116" s="24"/>
      <c r="M116" s="24"/>
      <c r="N116" s="24"/>
      <c r="O116" s="24"/>
      <c r="P116" s="24"/>
    </row>
    <row r="117" spans="1:16" ht="78" customHeight="1">
      <c r="A117" s="61" t="s">
        <v>109</v>
      </c>
      <c r="B117" s="444" t="s">
        <v>316</v>
      </c>
      <c r="C117" s="278"/>
      <c r="D117" s="278"/>
      <c r="E117" s="278"/>
      <c r="F117" s="278"/>
      <c r="G117" s="278"/>
      <c r="H117" s="279"/>
      <c r="I117" s="118">
        <f>ROUND((((B109*0.121)+(H66)*(B109*0.121))*(4/12))*0.02,2)+ROUND(((H65*B109+H66*I51+I85-I72-I77+I103)*4/12)*0.02,2)</f>
        <v>5.9499999999999993</v>
      </c>
      <c r="J117" s="24"/>
      <c r="K117" s="24"/>
      <c r="L117" s="24"/>
      <c r="M117" s="24"/>
      <c r="N117" s="24"/>
      <c r="O117" s="24"/>
      <c r="P117" s="24"/>
    </row>
    <row r="118" spans="1:16" ht="39" customHeight="1">
      <c r="A118" s="61" t="s">
        <v>111</v>
      </c>
      <c r="B118" s="282" t="s">
        <v>317</v>
      </c>
      <c r="C118" s="278"/>
      <c r="D118" s="278"/>
      <c r="E118" s="278"/>
      <c r="F118" s="278"/>
      <c r="G118" s="278"/>
      <c r="H118" s="279"/>
      <c r="I118" s="118">
        <f>ROUND(((3/30)/12)*(I109),2)</f>
        <v>36.200000000000003</v>
      </c>
      <c r="J118" s="24"/>
      <c r="K118" s="24"/>
      <c r="L118" s="24"/>
      <c r="M118" s="24"/>
      <c r="N118" s="24"/>
      <c r="O118" s="24"/>
      <c r="P118" s="24"/>
    </row>
    <row r="119" spans="1:16" ht="15.75" customHeight="1">
      <c r="A119" s="340" t="s">
        <v>98</v>
      </c>
      <c r="B119" s="278"/>
      <c r="C119" s="278"/>
      <c r="D119" s="278"/>
      <c r="E119" s="278"/>
      <c r="F119" s="278"/>
      <c r="G119" s="278"/>
      <c r="H119" s="279"/>
      <c r="I119" s="44">
        <f>SUM(I113:I118)</f>
        <v>375.89119999999997</v>
      </c>
      <c r="J119" s="24"/>
      <c r="K119" s="24"/>
      <c r="L119" s="24"/>
      <c r="M119" s="24"/>
      <c r="N119" s="24"/>
      <c r="O119" s="24"/>
      <c r="P119" s="24"/>
    </row>
    <row r="120" spans="1:16" ht="9" customHeight="1">
      <c r="A120" s="382"/>
      <c r="B120" s="278"/>
      <c r="C120" s="278"/>
      <c r="D120" s="278"/>
      <c r="E120" s="278"/>
      <c r="F120" s="278"/>
      <c r="G120" s="278"/>
      <c r="H120" s="278"/>
      <c r="I120" s="279"/>
      <c r="J120" s="24"/>
      <c r="K120" s="24"/>
      <c r="L120" s="24"/>
      <c r="M120" s="24"/>
      <c r="N120" s="24"/>
      <c r="O120" s="24"/>
      <c r="P120" s="24"/>
    </row>
    <row r="121" spans="1:16" ht="15.75" customHeight="1">
      <c r="A121" s="341" t="s">
        <v>152</v>
      </c>
      <c r="B121" s="278"/>
      <c r="C121" s="278"/>
      <c r="D121" s="278"/>
      <c r="E121" s="278"/>
      <c r="F121" s="278"/>
      <c r="G121" s="278"/>
      <c r="H121" s="278"/>
      <c r="I121" s="279"/>
      <c r="J121" s="24"/>
      <c r="K121" s="24"/>
      <c r="L121" s="24"/>
      <c r="M121" s="24"/>
      <c r="N121" s="24"/>
      <c r="O121" s="24"/>
      <c r="P121" s="24"/>
    </row>
    <row r="122" spans="1:16" ht="15.75" customHeight="1">
      <c r="A122" s="80" t="s">
        <v>153</v>
      </c>
      <c r="B122" s="353" t="s">
        <v>154</v>
      </c>
      <c r="C122" s="278"/>
      <c r="D122" s="278"/>
      <c r="E122" s="278"/>
      <c r="F122" s="278"/>
      <c r="G122" s="278"/>
      <c r="H122" s="279"/>
      <c r="I122" s="81" t="s">
        <v>95</v>
      </c>
      <c r="J122" s="24"/>
      <c r="K122" s="24"/>
      <c r="L122" s="24"/>
      <c r="M122" s="24"/>
      <c r="N122" s="24"/>
      <c r="O122" s="24"/>
      <c r="P122" s="24"/>
    </row>
    <row r="123" spans="1:16" ht="15.75" customHeight="1">
      <c r="A123" s="4" t="s">
        <v>47</v>
      </c>
      <c r="B123" s="488" t="s">
        <v>155</v>
      </c>
      <c r="C123" s="278"/>
      <c r="D123" s="278"/>
      <c r="E123" s="278"/>
      <c r="F123" s="278"/>
      <c r="G123" s="278"/>
      <c r="H123" s="279"/>
      <c r="I123" s="134">
        <v>0</v>
      </c>
      <c r="J123" s="24"/>
      <c r="K123" s="24"/>
      <c r="L123" s="24"/>
      <c r="M123" s="24"/>
      <c r="N123" s="24"/>
      <c r="O123" s="24"/>
      <c r="P123" s="24"/>
    </row>
    <row r="124" spans="1:16" ht="15.75" customHeight="1">
      <c r="A124" s="355" t="s">
        <v>98</v>
      </c>
      <c r="B124" s="278"/>
      <c r="C124" s="278"/>
      <c r="D124" s="278"/>
      <c r="E124" s="278"/>
      <c r="F124" s="278"/>
      <c r="G124" s="278"/>
      <c r="H124" s="279"/>
      <c r="I124" s="134">
        <v>0</v>
      </c>
      <c r="J124" s="24"/>
      <c r="K124" s="24"/>
      <c r="L124" s="24"/>
      <c r="M124" s="24"/>
      <c r="N124" s="24"/>
      <c r="O124" s="24"/>
      <c r="P124" s="24"/>
    </row>
    <row r="125" spans="1:16" ht="7.5" customHeight="1">
      <c r="A125" s="356"/>
      <c r="B125" s="278"/>
      <c r="C125" s="278"/>
      <c r="D125" s="278"/>
      <c r="E125" s="278"/>
      <c r="F125" s="278"/>
      <c r="G125" s="278"/>
      <c r="H125" s="278"/>
      <c r="I125" s="279"/>
      <c r="J125" s="24"/>
      <c r="K125" s="24"/>
      <c r="L125" s="24"/>
      <c r="M125" s="24"/>
      <c r="N125" s="24"/>
      <c r="O125" s="24"/>
      <c r="P125" s="24"/>
    </row>
    <row r="126" spans="1:16" ht="23.25" customHeight="1">
      <c r="A126" s="329" t="s">
        <v>156</v>
      </c>
      <c r="B126" s="278"/>
      <c r="C126" s="278"/>
      <c r="D126" s="278"/>
      <c r="E126" s="278"/>
      <c r="F126" s="278"/>
      <c r="G126" s="278"/>
      <c r="H126" s="278"/>
      <c r="I126" s="279"/>
      <c r="J126" s="24"/>
      <c r="K126" s="24"/>
      <c r="L126" s="24"/>
      <c r="M126" s="24"/>
      <c r="N126" s="24"/>
      <c r="O126" s="24"/>
      <c r="P126" s="24"/>
    </row>
    <row r="127" spans="1:16" ht="23.25" customHeight="1">
      <c r="A127" s="68">
        <v>4</v>
      </c>
      <c r="B127" s="353" t="s">
        <v>157</v>
      </c>
      <c r="C127" s="278"/>
      <c r="D127" s="278"/>
      <c r="E127" s="278"/>
      <c r="F127" s="278"/>
      <c r="G127" s="278"/>
      <c r="H127" s="279"/>
      <c r="I127" s="81" t="s">
        <v>95</v>
      </c>
      <c r="J127" s="24"/>
      <c r="K127" s="24"/>
      <c r="L127" s="24"/>
      <c r="M127" s="24"/>
      <c r="N127" s="24"/>
      <c r="O127" s="24"/>
      <c r="P127" s="24"/>
    </row>
    <row r="128" spans="1:16" ht="18.75" customHeight="1">
      <c r="A128" s="13" t="s">
        <v>144</v>
      </c>
      <c r="B128" s="488" t="s">
        <v>145</v>
      </c>
      <c r="C128" s="278"/>
      <c r="D128" s="278"/>
      <c r="E128" s="278"/>
      <c r="F128" s="278"/>
      <c r="G128" s="278"/>
      <c r="H128" s="279"/>
      <c r="I128" s="134">
        <f>I119</f>
        <v>375.89119999999997</v>
      </c>
      <c r="J128" s="24"/>
      <c r="K128" s="24"/>
      <c r="L128" s="24"/>
      <c r="M128" s="24"/>
      <c r="N128" s="24"/>
      <c r="O128" s="24"/>
      <c r="P128" s="24"/>
    </row>
    <row r="129" spans="1:16" ht="21.75" customHeight="1">
      <c r="A129" s="13" t="s">
        <v>158</v>
      </c>
      <c r="B129" s="488" t="s">
        <v>154</v>
      </c>
      <c r="C129" s="278"/>
      <c r="D129" s="278"/>
      <c r="E129" s="278"/>
      <c r="F129" s="278"/>
      <c r="G129" s="278"/>
      <c r="H129" s="279"/>
      <c r="I129" s="134">
        <f>I124</f>
        <v>0</v>
      </c>
      <c r="J129" s="24"/>
      <c r="K129" s="24"/>
      <c r="L129" s="24"/>
      <c r="M129" s="24"/>
      <c r="N129" s="24"/>
      <c r="O129" s="24"/>
      <c r="P129" s="24"/>
    </row>
    <row r="130" spans="1:16" ht="23.25" customHeight="1">
      <c r="A130" s="348" t="s">
        <v>98</v>
      </c>
      <c r="B130" s="278"/>
      <c r="C130" s="278"/>
      <c r="D130" s="278"/>
      <c r="E130" s="278"/>
      <c r="F130" s="278"/>
      <c r="G130" s="278"/>
      <c r="H130" s="279"/>
      <c r="I130" s="83">
        <f>SUM(I128+I129)</f>
        <v>375.89119999999997</v>
      </c>
      <c r="J130" s="24"/>
      <c r="K130" s="24"/>
      <c r="L130" s="24"/>
      <c r="M130" s="24"/>
      <c r="N130" s="24"/>
      <c r="O130" s="24"/>
      <c r="P130" s="24"/>
    </row>
    <row r="131" spans="1:16" ht="7.5" customHeight="1">
      <c r="A131" s="357"/>
      <c r="B131" s="278"/>
      <c r="C131" s="278"/>
      <c r="D131" s="278"/>
      <c r="E131" s="278"/>
      <c r="F131" s="278"/>
      <c r="G131" s="278"/>
      <c r="H131" s="278"/>
      <c r="I131" s="279"/>
      <c r="J131" s="24"/>
      <c r="K131" s="24"/>
      <c r="L131" s="24"/>
      <c r="M131" s="24"/>
      <c r="N131" s="24"/>
      <c r="O131" s="24"/>
      <c r="P131" s="24"/>
    </row>
    <row r="132" spans="1:16" ht="27.75" customHeight="1">
      <c r="A132" s="358" t="s">
        <v>159</v>
      </c>
      <c r="B132" s="278"/>
      <c r="C132" s="278"/>
      <c r="D132" s="278"/>
      <c r="E132" s="278"/>
      <c r="F132" s="278"/>
      <c r="G132" s="278"/>
      <c r="H132" s="278"/>
      <c r="I132" s="279"/>
      <c r="J132" s="24"/>
      <c r="K132" s="24"/>
      <c r="L132" s="24"/>
      <c r="M132" s="24"/>
      <c r="N132" s="24"/>
      <c r="O132" s="24"/>
      <c r="P132" s="24"/>
    </row>
    <row r="133" spans="1:16" ht="27" customHeight="1">
      <c r="A133" s="60">
        <v>3</v>
      </c>
      <c r="B133" s="318" t="s">
        <v>160</v>
      </c>
      <c r="C133" s="278"/>
      <c r="D133" s="278"/>
      <c r="E133" s="278"/>
      <c r="F133" s="278"/>
      <c r="G133" s="278"/>
      <c r="H133" s="279"/>
      <c r="I133" s="60" t="s">
        <v>95</v>
      </c>
      <c r="J133" s="24"/>
      <c r="K133" s="24"/>
      <c r="L133" s="24"/>
      <c r="M133" s="24"/>
      <c r="N133" s="24"/>
      <c r="O133" s="24"/>
      <c r="P133" s="24"/>
    </row>
    <row r="134" spans="1:16" ht="27" customHeight="1">
      <c r="A134" s="61" t="s">
        <v>47</v>
      </c>
      <c r="B134" s="302" t="s">
        <v>429</v>
      </c>
      <c r="C134" s="278"/>
      <c r="D134" s="278"/>
      <c r="E134" s="278"/>
      <c r="F134" s="278"/>
      <c r="G134" s="278"/>
      <c r="H134" s="279"/>
      <c r="I134" s="118">
        <f>Uniformes!G15</f>
        <v>81.202083333333334</v>
      </c>
      <c r="J134" s="24"/>
      <c r="K134" s="24"/>
      <c r="L134" s="24"/>
      <c r="M134" s="24"/>
      <c r="N134" s="24"/>
      <c r="O134" s="24"/>
      <c r="P134" s="24"/>
    </row>
    <row r="135" spans="1:16" ht="15.75" customHeight="1">
      <c r="A135" s="61" t="s">
        <v>49</v>
      </c>
      <c r="B135" s="282" t="s">
        <v>384</v>
      </c>
      <c r="C135" s="278"/>
      <c r="D135" s="278"/>
      <c r="E135" s="278"/>
      <c r="F135" s="278"/>
      <c r="G135" s="278"/>
      <c r="H135" s="279"/>
      <c r="I135" s="99">
        <f>Equipamentos!F47</f>
        <v>52.859166666666674</v>
      </c>
      <c r="J135" s="24"/>
      <c r="K135" s="24"/>
      <c r="L135" s="24"/>
      <c r="M135" s="24"/>
      <c r="N135" s="24"/>
      <c r="O135" s="24"/>
      <c r="P135" s="24"/>
    </row>
    <row r="136" spans="1:16" ht="24.95" customHeight="1">
      <c r="A136" s="61" t="s">
        <v>51</v>
      </c>
      <c r="B136" s="425" t="s">
        <v>370</v>
      </c>
      <c r="C136" s="426"/>
      <c r="D136" s="426"/>
      <c r="E136" s="426"/>
      <c r="F136" s="426"/>
      <c r="G136" s="426"/>
      <c r="H136" s="427"/>
      <c r="I136" s="99">
        <f>Equipamentos!F40</f>
        <v>7.8226388888888891</v>
      </c>
      <c r="J136" s="24"/>
      <c r="K136" s="24"/>
      <c r="L136" s="24"/>
      <c r="M136" s="24"/>
      <c r="N136" s="24"/>
      <c r="O136" s="24"/>
      <c r="P136" s="24"/>
    </row>
    <row r="137" spans="1:16" ht="15.75" customHeight="1">
      <c r="A137" s="340" t="s">
        <v>161</v>
      </c>
      <c r="B137" s="278"/>
      <c r="C137" s="278"/>
      <c r="D137" s="278"/>
      <c r="E137" s="278"/>
      <c r="F137" s="278"/>
      <c r="G137" s="278"/>
      <c r="H137" s="279"/>
      <c r="I137" s="84">
        <f>ROUND(SUM(I134:I136),2)</f>
        <v>141.88</v>
      </c>
      <c r="J137" s="24"/>
      <c r="K137" s="24"/>
      <c r="L137" s="24"/>
      <c r="M137" s="24"/>
      <c r="N137" s="24"/>
      <c r="O137" s="24"/>
      <c r="P137" s="24"/>
    </row>
    <row r="138" spans="1:16" ht="7.5" customHeight="1">
      <c r="A138" s="428"/>
      <c r="B138" s="278"/>
      <c r="C138" s="278"/>
      <c r="D138" s="278"/>
      <c r="E138" s="278"/>
      <c r="F138" s="278"/>
      <c r="G138" s="278"/>
      <c r="H138" s="278"/>
      <c r="I138" s="279"/>
      <c r="J138" s="24"/>
      <c r="K138" s="24"/>
      <c r="L138" s="24"/>
      <c r="M138" s="24"/>
      <c r="N138" s="24"/>
      <c r="O138" s="24"/>
      <c r="P138" s="24"/>
    </row>
    <row r="139" spans="1:16" ht="15.75" customHeight="1">
      <c r="A139" s="429" t="s">
        <v>162</v>
      </c>
      <c r="B139" s="278"/>
      <c r="C139" s="278"/>
      <c r="D139" s="278"/>
      <c r="E139" s="278"/>
      <c r="F139" s="278"/>
      <c r="G139" s="278"/>
      <c r="H139" s="278"/>
      <c r="I139" s="279"/>
      <c r="J139" s="24"/>
      <c r="K139" s="24"/>
      <c r="L139" s="24"/>
      <c r="M139" s="24"/>
      <c r="N139" s="24"/>
      <c r="O139" s="24"/>
      <c r="P139" s="24"/>
    </row>
    <row r="140" spans="1:16" ht="6.75" customHeight="1">
      <c r="A140" s="85"/>
      <c r="B140" s="86"/>
      <c r="C140" s="86"/>
      <c r="D140" s="86"/>
      <c r="E140" s="86"/>
      <c r="F140" s="86"/>
      <c r="G140" s="86"/>
      <c r="H140" s="86"/>
      <c r="I140" s="87"/>
      <c r="J140" s="24"/>
      <c r="K140" s="24"/>
      <c r="L140" s="24"/>
      <c r="M140" s="24"/>
      <c r="N140" s="24"/>
      <c r="O140" s="24"/>
      <c r="P140" s="24"/>
    </row>
    <row r="141" spans="1:16" ht="15.75" customHeight="1">
      <c r="A141" s="350" t="s">
        <v>163</v>
      </c>
      <c r="B141" s="278"/>
      <c r="C141" s="278"/>
      <c r="D141" s="278"/>
      <c r="E141" s="278"/>
      <c r="F141" s="278"/>
      <c r="G141" s="278"/>
      <c r="H141" s="278"/>
      <c r="I141" s="279"/>
      <c r="J141" s="24"/>
      <c r="K141" s="24"/>
      <c r="L141" s="24"/>
      <c r="M141" s="24"/>
      <c r="N141" s="24"/>
      <c r="O141" s="24"/>
      <c r="P141" s="24"/>
    </row>
    <row r="142" spans="1:16" ht="30" customHeight="1">
      <c r="A142" s="60">
        <v>6</v>
      </c>
      <c r="B142" s="351" t="s">
        <v>164</v>
      </c>
      <c r="C142" s="278"/>
      <c r="D142" s="278"/>
      <c r="E142" s="278"/>
      <c r="F142" s="278"/>
      <c r="G142" s="279"/>
      <c r="H142" s="46" t="s">
        <v>81</v>
      </c>
      <c r="I142" s="88" t="s">
        <v>102</v>
      </c>
      <c r="J142" s="24"/>
      <c r="K142" s="24"/>
      <c r="L142" s="24"/>
      <c r="M142" s="24"/>
      <c r="N142" s="24"/>
      <c r="O142" s="24"/>
      <c r="P142" s="24"/>
    </row>
    <row r="143" spans="1:16" ht="50.25" customHeight="1">
      <c r="A143" s="441" t="s">
        <v>165</v>
      </c>
      <c r="B143" s="278"/>
      <c r="C143" s="278"/>
      <c r="D143" s="278"/>
      <c r="E143" s="278"/>
      <c r="F143" s="278"/>
      <c r="G143" s="279"/>
      <c r="H143" s="135" t="s">
        <v>22</v>
      </c>
      <c r="I143" s="136">
        <f>SUM(I44+I94+I103+I130+I137)</f>
        <v>5275.5412000000006</v>
      </c>
      <c r="J143" s="24"/>
      <c r="K143" s="24"/>
      <c r="L143" s="24"/>
      <c r="M143" s="24"/>
      <c r="N143" s="24"/>
      <c r="O143" s="24"/>
      <c r="P143" s="24"/>
    </row>
    <row r="144" spans="1:16" ht="15.75" customHeight="1">
      <c r="A144" s="61" t="s">
        <v>47</v>
      </c>
      <c r="B144" s="489" t="s">
        <v>24</v>
      </c>
      <c r="C144" s="278"/>
      <c r="D144" s="278"/>
      <c r="E144" s="278"/>
      <c r="F144" s="278"/>
      <c r="G144" s="279"/>
      <c r="H144" s="117">
        <v>0.06</v>
      </c>
      <c r="I144" s="118">
        <f>ROUND(H144*I143,2)</f>
        <v>316.52999999999997</v>
      </c>
      <c r="J144" s="24"/>
      <c r="K144" s="24"/>
      <c r="L144" s="24"/>
      <c r="M144" s="24"/>
      <c r="N144" s="24"/>
      <c r="O144" s="24"/>
      <c r="P144" s="24"/>
    </row>
    <row r="145" spans="1:16" ht="50.25" customHeight="1">
      <c r="A145" s="441" t="s">
        <v>166</v>
      </c>
      <c r="B145" s="278"/>
      <c r="C145" s="278"/>
      <c r="D145" s="278"/>
      <c r="E145" s="278"/>
      <c r="F145" s="278"/>
      <c r="G145" s="279"/>
      <c r="H145" s="137" t="s">
        <v>22</v>
      </c>
      <c r="I145" s="136">
        <f>SUM(I44+I94+I103+I130+I137+I144)</f>
        <v>5592.0712000000003</v>
      </c>
      <c r="J145" s="24"/>
      <c r="K145" s="24"/>
      <c r="L145" s="24"/>
      <c r="M145" s="24"/>
      <c r="N145" s="24"/>
      <c r="O145" s="24"/>
      <c r="P145" s="24"/>
    </row>
    <row r="146" spans="1:16" ht="15.75" customHeight="1">
      <c r="A146" s="61" t="s">
        <v>49</v>
      </c>
      <c r="B146" s="489" t="s">
        <v>26</v>
      </c>
      <c r="C146" s="278"/>
      <c r="D146" s="278"/>
      <c r="E146" s="278"/>
      <c r="F146" s="278"/>
      <c r="G146" s="279"/>
      <c r="H146" s="117">
        <v>6.7900000000000002E-2</v>
      </c>
      <c r="I146" s="118">
        <f>ROUND(H146*I145,2)</f>
        <v>379.7</v>
      </c>
      <c r="J146" s="24"/>
      <c r="K146" s="24"/>
      <c r="L146" s="24"/>
      <c r="M146" s="24"/>
      <c r="N146" s="24"/>
      <c r="O146" s="24"/>
      <c r="P146" s="24"/>
    </row>
    <row r="147" spans="1:16" ht="48.75" customHeight="1">
      <c r="A147" s="441" t="s">
        <v>167</v>
      </c>
      <c r="B147" s="278"/>
      <c r="C147" s="278"/>
      <c r="D147" s="278"/>
      <c r="E147" s="278"/>
      <c r="F147" s="278"/>
      <c r="G147" s="279"/>
      <c r="H147" s="137" t="s">
        <v>22</v>
      </c>
      <c r="I147" s="136">
        <f>SUM(I143+I144+I146)</f>
        <v>5971.7712000000001</v>
      </c>
      <c r="J147" s="24"/>
      <c r="K147" s="24"/>
      <c r="L147" s="24"/>
      <c r="M147" s="24"/>
      <c r="N147" s="24"/>
      <c r="O147" s="24"/>
      <c r="P147" s="24"/>
    </row>
    <row r="148" spans="1:16" ht="16.5" customHeight="1">
      <c r="A148" s="138" t="s">
        <v>51</v>
      </c>
      <c r="B148" s="350" t="s">
        <v>168</v>
      </c>
      <c r="C148" s="278"/>
      <c r="D148" s="278"/>
      <c r="E148" s="278"/>
      <c r="F148" s="278"/>
      <c r="G148" s="279"/>
      <c r="H148" s="110" t="s">
        <v>22</v>
      </c>
      <c r="I148" s="111" t="s">
        <v>22</v>
      </c>
      <c r="J148" s="24"/>
      <c r="K148" s="24"/>
      <c r="L148" s="24"/>
      <c r="M148" s="24"/>
      <c r="N148" s="24"/>
      <c r="O148" s="24"/>
      <c r="P148" s="24"/>
    </row>
    <row r="149" spans="1:16" ht="12.75" customHeight="1">
      <c r="A149" s="61"/>
      <c r="B149" s="456" t="s">
        <v>169</v>
      </c>
      <c r="C149" s="278"/>
      <c r="D149" s="278"/>
      <c r="E149" s="278"/>
      <c r="F149" s="278"/>
      <c r="G149" s="279"/>
      <c r="H149" s="110" t="s">
        <v>22</v>
      </c>
      <c r="I149" s="111" t="s">
        <v>22</v>
      </c>
      <c r="J149" s="24"/>
      <c r="K149" s="24"/>
      <c r="L149" s="24"/>
      <c r="M149" s="24"/>
      <c r="N149" s="24"/>
      <c r="O149" s="24"/>
      <c r="P149" s="24"/>
    </row>
    <row r="150" spans="1:16" ht="22.5" customHeight="1">
      <c r="A150" s="61"/>
      <c r="B150" s="302" t="s">
        <v>318</v>
      </c>
      <c r="C150" s="278"/>
      <c r="D150" s="278"/>
      <c r="E150" s="278"/>
      <c r="F150" s="278"/>
      <c r="G150" s="279"/>
      <c r="H150" s="92">
        <v>0.03</v>
      </c>
      <c r="I150" s="139">
        <f t="shared" ref="I150:I151" si="2">ROUND(($I$147/(1-$H$159))*H150,2)</f>
        <v>190.89</v>
      </c>
      <c r="J150" s="24"/>
      <c r="K150" s="24"/>
      <c r="L150" s="24"/>
      <c r="M150" s="24"/>
      <c r="N150" s="24"/>
      <c r="O150" s="24"/>
      <c r="P150" s="24"/>
    </row>
    <row r="151" spans="1:16" ht="22.5" customHeight="1">
      <c r="A151" s="61"/>
      <c r="B151" s="302" t="s">
        <v>319</v>
      </c>
      <c r="C151" s="278"/>
      <c r="D151" s="278"/>
      <c r="E151" s="278"/>
      <c r="F151" s="278"/>
      <c r="G151" s="279"/>
      <c r="H151" s="92">
        <v>6.4999999999999997E-3</v>
      </c>
      <c r="I151" s="139">
        <f t="shared" si="2"/>
        <v>41.36</v>
      </c>
      <c r="J151" s="24"/>
      <c r="K151" s="24"/>
      <c r="L151" s="24"/>
      <c r="M151" s="24"/>
      <c r="N151" s="24"/>
      <c r="O151" s="24"/>
      <c r="P151" s="24"/>
    </row>
    <row r="152" spans="1:16" ht="29.25" customHeight="1">
      <c r="A152" s="61"/>
      <c r="B152" s="282" t="s">
        <v>320</v>
      </c>
      <c r="C152" s="278"/>
      <c r="D152" s="278"/>
      <c r="E152" s="278"/>
      <c r="F152" s="278"/>
      <c r="G152" s="279"/>
      <c r="H152" s="140" t="s">
        <v>22</v>
      </c>
      <c r="I152" s="111" t="s">
        <v>22</v>
      </c>
      <c r="J152" s="24"/>
      <c r="K152" s="24"/>
      <c r="L152" s="24"/>
      <c r="M152" s="24"/>
      <c r="N152" s="24"/>
      <c r="O152" s="24"/>
      <c r="P152" s="24"/>
    </row>
    <row r="153" spans="1:16" ht="29.25" customHeight="1">
      <c r="A153" s="61"/>
      <c r="B153" s="282" t="s">
        <v>321</v>
      </c>
      <c r="C153" s="278"/>
      <c r="D153" s="278"/>
      <c r="E153" s="278"/>
      <c r="F153" s="278"/>
      <c r="G153" s="279"/>
      <c r="H153" s="140" t="s">
        <v>22</v>
      </c>
      <c r="I153" s="111" t="s">
        <v>22</v>
      </c>
      <c r="J153" s="24"/>
      <c r="K153" s="24"/>
      <c r="L153" s="24"/>
      <c r="M153" s="24"/>
      <c r="N153" s="24"/>
      <c r="O153" s="24"/>
      <c r="P153" s="24"/>
    </row>
    <row r="154" spans="1:16" ht="18" customHeight="1">
      <c r="A154" s="61"/>
      <c r="B154" s="282" t="s">
        <v>174</v>
      </c>
      <c r="C154" s="278"/>
      <c r="D154" s="278"/>
      <c r="E154" s="278"/>
      <c r="F154" s="278"/>
      <c r="G154" s="278"/>
      <c r="H154" s="141" t="s">
        <v>22</v>
      </c>
      <c r="I154" s="142" t="s">
        <v>22</v>
      </c>
      <c r="J154" s="24"/>
      <c r="K154" s="24"/>
      <c r="L154" s="24"/>
      <c r="M154" s="24"/>
      <c r="N154" s="24"/>
      <c r="O154" s="24"/>
      <c r="P154" s="24"/>
    </row>
    <row r="155" spans="1:16" ht="18" customHeight="1">
      <c r="A155" s="61"/>
      <c r="B155" s="282" t="s">
        <v>175</v>
      </c>
      <c r="C155" s="278"/>
      <c r="D155" s="278"/>
      <c r="E155" s="278"/>
      <c r="F155" s="278"/>
      <c r="G155" s="278"/>
      <c r="H155" s="141" t="s">
        <v>22</v>
      </c>
      <c r="I155" s="142" t="s">
        <v>22</v>
      </c>
      <c r="J155" s="24"/>
      <c r="K155" s="24"/>
      <c r="L155" s="24"/>
      <c r="M155" s="24"/>
      <c r="N155" s="24"/>
      <c r="O155" s="24"/>
      <c r="P155" s="24"/>
    </row>
    <row r="156" spans="1:16" ht="24.75" customHeight="1">
      <c r="A156" s="61"/>
      <c r="B156" s="345" t="s">
        <v>399</v>
      </c>
      <c r="C156" s="333"/>
      <c r="D156" s="333"/>
      <c r="E156" s="333"/>
      <c r="F156" s="333"/>
      <c r="G156" s="334"/>
      <c r="H156" s="92">
        <v>2.5000000000000001E-2</v>
      </c>
      <c r="I156" s="139">
        <f>ROUND(($I$147/(1-$H$159))*H156,2)</f>
        <v>159.08000000000001</v>
      </c>
      <c r="J156" s="24"/>
      <c r="K156" s="24"/>
      <c r="L156" s="24"/>
      <c r="M156" s="24"/>
      <c r="N156" s="24"/>
      <c r="O156" s="24"/>
      <c r="P156" s="24"/>
    </row>
    <row r="157" spans="1:16" ht="15.75" customHeight="1">
      <c r="A157" s="340" t="s">
        <v>41</v>
      </c>
      <c r="B157" s="278"/>
      <c r="C157" s="278"/>
      <c r="D157" s="278"/>
      <c r="E157" s="278"/>
      <c r="F157" s="278"/>
      <c r="G157" s="278"/>
      <c r="H157" s="279"/>
      <c r="I157" s="44">
        <f>SUM(I144+I146+I150+I151+I156)</f>
        <v>1087.56</v>
      </c>
      <c r="J157" s="24"/>
      <c r="K157" s="24"/>
      <c r="L157" s="24"/>
      <c r="M157" s="24"/>
      <c r="N157" s="24"/>
      <c r="O157" s="24"/>
      <c r="P157" s="24"/>
    </row>
    <row r="158" spans="1:16" ht="6.75" customHeight="1">
      <c r="A158" s="521"/>
      <c r="B158" s="368"/>
      <c r="C158" s="368"/>
      <c r="D158" s="368"/>
      <c r="E158" s="368"/>
      <c r="F158" s="368"/>
      <c r="G158" s="368"/>
      <c r="H158" s="368"/>
      <c r="I158" s="268"/>
      <c r="J158" s="24"/>
      <c r="K158" s="24"/>
      <c r="L158" s="24"/>
      <c r="M158" s="24"/>
      <c r="N158" s="24"/>
      <c r="O158" s="24"/>
      <c r="P158" s="24"/>
    </row>
    <row r="159" spans="1:16" ht="15.75" customHeight="1">
      <c r="A159" s="522" t="s">
        <v>176</v>
      </c>
      <c r="B159" s="421"/>
      <c r="C159" s="421"/>
      <c r="D159" s="421"/>
      <c r="E159" s="421"/>
      <c r="F159" s="421"/>
      <c r="G159" s="523"/>
      <c r="H159" s="190">
        <f t="shared" ref="H159:I159" si="3">SUM(H150:H156)</f>
        <v>6.1499999999999999E-2</v>
      </c>
      <c r="I159" s="191">
        <f t="shared" si="3"/>
        <v>391.33000000000004</v>
      </c>
      <c r="J159" s="24"/>
      <c r="K159" s="24"/>
      <c r="L159" s="24"/>
      <c r="M159" s="24"/>
      <c r="N159" s="24"/>
      <c r="O159" s="24"/>
      <c r="P159" s="24"/>
    </row>
    <row r="160" spans="1:16" ht="12.75" customHeight="1">
      <c r="A160" s="524" t="s">
        <v>177</v>
      </c>
      <c r="B160" s="372"/>
      <c r="C160" s="525" t="s">
        <v>178</v>
      </c>
      <c r="D160" s="372"/>
      <c r="E160" s="372"/>
      <c r="F160" s="372"/>
      <c r="G160" s="372"/>
      <c r="H160" s="372"/>
      <c r="I160" s="378"/>
      <c r="J160" s="24"/>
      <c r="K160" s="24"/>
      <c r="L160" s="24"/>
      <c r="M160" s="24"/>
      <c r="N160" s="24"/>
      <c r="O160" s="24"/>
      <c r="P160" s="24"/>
    </row>
    <row r="161" spans="1:16" ht="12" customHeight="1">
      <c r="A161" s="371"/>
      <c r="B161" s="372"/>
      <c r="C161" s="490" t="s">
        <v>179</v>
      </c>
      <c r="D161" s="372"/>
      <c r="E161" s="372"/>
      <c r="F161" s="372"/>
      <c r="G161" s="372"/>
      <c r="H161" s="372"/>
      <c r="I161" s="378"/>
      <c r="J161" s="24"/>
      <c r="K161" s="24"/>
      <c r="L161" s="24"/>
      <c r="M161" s="24"/>
      <c r="N161" s="24"/>
      <c r="O161" s="24"/>
      <c r="P161" s="24"/>
    </row>
    <row r="162" spans="1:16" ht="13.5" customHeight="1">
      <c r="A162" s="373"/>
      <c r="B162" s="374"/>
      <c r="C162" s="491" t="s">
        <v>180</v>
      </c>
      <c r="D162" s="374"/>
      <c r="E162" s="374"/>
      <c r="F162" s="374"/>
      <c r="G162" s="374"/>
      <c r="H162" s="374"/>
      <c r="I162" s="380"/>
      <c r="J162" s="24"/>
      <c r="K162" s="24"/>
      <c r="L162" s="24"/>
      <c r="M162" s="24"/>
      <c r="N162" s="24"/>
      <c r="O162" s="24"/>
      <c r="P162" s="24"/>
    </row>
    <row r="163" spans="1:16" ht="6.75" customHeight="1">
      <c r="A163" s="434"/>
      <c r="B163" s="276"/>
      <c r="C163" s="276"/>
      <c r="D163" s="276"/>
      <c r="E163" s="276"/>
      <c r="F163" s="276"/>
      <c r="G163" s="276"/>
      <c r="H163" s="276"/>
      <c r="I163" s="276"/>
      <c r="J163" s="24"/>
      <c r="K163" s="24"/>
      <c r="L163" s="24"/>
      <c r="M163" s="24"/>
      <c r="N163" s="24"/>
      <c r="O163" s="24"/>
      <c r="P163" s="24"/>
    </row>
    <row r="164" spans="1:16" ht="24" customHeight="1">
      <c r="A164" s="435" t="s">
        <v>181</v>
      </c>
      <c r="B164" s="278"/>
      <c r="C164" s="278"/>
      <c r="D164" s="278"/>
      <c r="E164" s="278"/>
      <c r="F164" s="278"/>
      <c r="G164" s="278"/>
      <c r="H164" s="278"/>
      <c r="I164" s="279"/>
      <c r="J164" s="24"/>
      <c r="K164" s="24"/>
      <c r="L164" s="24"/>
      <c r="M164" s="24"/>
      <c r="N164" s="24"/>
      <c r="O164" s="24"/>
      <c r="P164" s="24"/>
    </row>
    <row r="165" spans="1:16" ht="5.25" customHeight="1">
      <c r="A165" s="357"/>
      <c r="B165" s="278"/>
      <c r="C165" s="278"/>
      <c r="D165" s="278"/>
      <c r="E165" s="278"/>
      <c r="F165" s="278"/>
      <c r="G165" s="278"/>
      <c r="H165" s="278"/>
      <c r="I165" s="279"/>
      <c r="J165" s="24"/>
      <c r="K165" s="24"/>
      <c r="L165" s="24"/>
      <c r="M165" s="24"/>
      <c r="N165" s="24"/>
      <c r="O165" s="24"/>
      <c r="P165" s="24"/>
    </row>
    <row r="166" spans="1:16" ht="27.75" customHeight="1">
      <c r="A166" s="358" t="s">
        <v>322</v>
      </c>
      <c r="B166" s="278"/>
      <c r="C166" s="278"/>
      <c r="D166" s="278"/>
      <c r="E166" s="278"/>
      <c r="F166" s="278"/>
      <c r="G166" s="278"/>
      <c r="H166" s="278"/>
      <c r="I166" s="279"/>
      <c r="J166" s="24"/>
      <c r="K166" s="24"/>
      <c r="L166" s="24"/>
      <c r="M166" s="24"/>
      <c r="N166" s="24"/>
      <c r="O166" s="24"/>
      <c r="P166" s="24"/>
    </row>
    <row r="167" spans="1:16" ht="15" customHeight="1">
      <c r="A167" s="286" t="s">
        <v>183</v>
      </c>
      <c r="B167" s="278"/>
      <c r="C167" s="278"/>
      <c r="D167" s="278"/>
      <c r="E167" s="278"/>
      <c r="F167" s="278"/>
      <c r="G167" s="278"/>
      <c r="H167" s="279"/>
      <c r="I167" s="46" t="s">
        <v>95</v>
      </c>
      <c r="J167" s="24"/>
      <c r="K167" s="24"/>
      <c r="L167" s="24"/>
      <c r="M167" s="24"/>
      <c r="N167" s="24"/>
      <c r="O167" s="24"/>
      <c r="P167" s="24"/>
    </row>
    <row r="168" spans="1:16" ht="15" customHeight="1">
      <c r="A168" s="98" t="s">
        <v>47</v>
      </c>
      <c r="B168" s="432" t="s">
        <v>248</v>
      </c>
      <c r="C168" s="278"/>
      <c r="D168" s="278"/>
      <c r="E168" s="278"/>
      <c r="F168" s="278"/>
      <c r="G168" s="278"/>
      <c r="H168" s="278"/>
      <c r="I168" s="99">
        <f>I44</f>
        <v>2665.03</v>
      </c>
      <c r="J168" s="24"/>
      <c r="K168" s="182"/>
      <c r="L168" s="24"/>
      <c r="M168" s="24"/>
      <c r="N168" s="24"/>
      <c r="O168" s="24"/>
      <c r="P168" s="24"/>
    </row>
    <row r="169" spans="1:16" ht="15" customHeight="1">
      <c r="A169" s="98" t="s">
        <v>49</v>
      </c>
      <c r="B169" s="432" t="s">
        <v>185</v>
      </c>
      <c r="C169" s="278"/>
      <c r="D169" s="278"/>
      <c r="E169" s="278"/>
      <c r="F169" s="278"/>
      <c r="G169" s="278"/>
      <c r="H169" s="278"/>
      <c r="I169" s="99">
        <f>I94</f>
        <v>1911.4799999999998</v>
      </c>
      <c r="J169" s="24"/>
      <c r="K169" s="24"/>
      <c r="L169" s="24"/>
      <c r="M169" s="24"/>
      <c r="N169" s="24"/>
      <c r="O169" s="24"/>
      <c r="P169" s="24"/>
    </row>
    <row r="170" spans="1:16" ht="15" customHeight="1">
      <c r="A170" s="98" t="s">
        <v>51</v>
      </c>
      <c r="B170" s="432" t="s">
        <v>186</v>
      </c>
      <c r="C170" s="278"/>
      <c r="D170" s="278"/>
      <c r="E170" s="278"/>
      <c r="F170" s="278"/>
      <c r="G170" s="278"/>
      <c r="H170" s="278"/>
      <c r="I170" s="99">
        <f>I103</f>
        <v>181.26</v>
      </c>
      <c r="J170" s="24"/>
      <c r="K170" s="24"/>
      <c r="L170" s="24"/>
      <c r="M170" s="24"/>
      <c r="N170" s="24"/>
      <c r="O170" s="24"/>
      <c r="P170" s="24"/>
    </row>
    <row r="171" spans="1:16" ht="15" customHeight="1">
      <c r="A171" s="98" t="s">
        <v>54</v>
      </c>
      <c r="B171" s="432" t="s">
        <v>187</v>
      </c>
      <c r="C171" s="278"/>
      <c r="D171" s="278"/>
      <c r="E171" s="278"/>
      <c r="F171" s="278"/>
      <c r="G171" s="278"/>
      <c r="H171" s="278"/>
      <c r="I171" s="99">
        <f>I130</f>
        <v>375.89119999999997</v>
      </c>
      <c r="J171" s="24"/>
      <c r="K171" s="24"/>
      <c r="L171" s="24"/>
      <c r="M171" s="24"/>
      <c r="N171" s="24"/>
      <c r="O171" s="24"/>
      <c r="P171" s="24"/>
    </row>
    <row r="172" spans="1:16" ht="15" customHeight="1">
      <c r="A172" s="98" t="s">
        <v>109</v>
      </c>
      <c r="B172" s="432" t="s">
        <v>188</v>
      </c>
      <c r="C172" s="278"/>
      <c r="D172" s="278"/>
      <c r="E172" s="278"/>
      <c r="F172" s="278"/>
      <c r="G172" s="278"/>
      <c r="H172" s="278"/>
      <c r="I172" s="99">
        <f>I137</f>
        <v>141.88</v>
      </c>
      <c r="J172" s="24"/>
      <c r="K172" s="24"/>
      <c r="L172" s="24"/>
      <c r="M172" s="24"/>
      <c r="N172" s="24"/>
      <c r="O172" s="24"/>
      <c r="P172" s="24"/>
    </row>
    <row r="173" spans="1:16" ht="15" customHeight="1">
      <c r="A173" s="433" t="s">
        <v>189</v>
      </c>
      <c r="B173" s="278"/>
      <c r="C173" s="278"/>
      <c r="D173" s="278"/>
      <c r="E173" s="278"/>
      <c r="F173" s="278"/>
      <c r="G173" s="278"/>
      <c r="H173" s="293"/>
      <c r="I173" s="99">
        <f>ROUND(SUM(I168:I172),2)</f>
        <v>5275.54</v>
      </c>
      <c r="J173" s="24"/>
      <c r="K173" s="24"/>
      <c r="L173" s="24"/>
      <c r="M173" s="24"/>
      <c r="N173" s="24"/>
      <c r="O173" s="24"/>
      <c r="P173" s="24"/>
    </row>
    <row r="174" spans="1:16" ht="15" customHeight="1">
      <c r="A174" s="100" t="s">
        <v>111</v>
      </c>
      <c r="B174" s="432" t="s">
        <v>163</v>
      </c>
      <c r="C174" s="278"/>
      <c r="D174" s="278"/>
      <c r="E174" s="278"/>
      <c r="F174" s="278"/>
      <c r="G174" s="278"/>
      <c r="H174" s="278"/>
      <c r="I174" s="84">
        <f>I157</f>
        <v>1087.56</v>
      </c>
      <c r="J174" s="24"/>
      <c r="K174" s="24"/>
      <c r="L174" s="24"/>
      <c r="M174" s="24"/>
      <c r="N174" s="24"/>
      <c r="O174" s="24"/>
      <c r="P174" s="24"/>
    </row>
    <row r="175" spans="1:16" ht="15" customHeight="1">
      <c r="A175" s="433" t="s">
        <v>190</v>
      </c>
      <c r="B175" s="278"/>
      <c r="C175" s="278"/>
      <c r="D175" s="278"/>
      <c r="E175" s="278"/>
      <c r="F175" s="278"/>
      <c r="G175" s="278"/>
      <c r="H175" s="293"/>
      <c r="I175" s="99">
        <f>I173+I174</f>
        <v>6363.1</v>
      </c>
      <c r="J175" s="24"/>
      <c r="K175" s="24"/>
      <c r="L175" s="24"/>
      <c r="M175" s="24"/>
      <c r="N175" s="24"/>
      <c r="O175" s="24"/>
      <c r="P175" s="24"/>
    </row>
    <row r="176" spans="1:16" ht="7.5" customHeight="1">
      <c r="A176" s="361"/>
      <c r="B176" s="278"/>
      <c r="C176" s="278"/>
      <c r="D176" s="278"/>
      <c r="E176" s="278"/>
      <c r="F176" s="278"/>
      <c r="G176" s="278"/>
      <c r="H176" s="278"/>
      <c r="I176" s="279"/>
      <c r="J176" s="24"/>
      <c r="K176" s="24"/>
      <c r="L176" s="24"/>
      <c r="M176" s="24"/>
      <c r="N176" s="24"/>
      <c r="O176" s="24"/>
      <c r="P176" s="24"/>
    </row>
    <row r="177" spans="1:16" ht="15" hidden="1" customHeight="1">
      <c r="A177" s="101"/>
      <c r="B177" s="101"/>
      <c r="C177" s="101"/>
      <c r="D177" s="101"/>
      <c r="E177" s="101"/>
      <c r="F177" s="101"/>
      <c r="G177" s="101"/>
      <c r="H177" s="102"/>
      <c r="I177" s="103"/>
      <c r="J177" s="27"/>
      <c r="K177" s="104"/>
      <c r="L177" s="27"/>
      <c r="M177" s="105"/>
      <c r="N177" s="24"/>
      <c r="O177" s="24"/>
      <c r="P177" s="24"/>
    </row>
    <row r="178" spans="1:16" ht="31.5" customHeight="1">
      <c r="A178" s="362" t="s">
        <v>191</v>
      </c>
      <c r="B178" s="363"/>
      <c r="C178" s="363"/>
      <c r="D178" s="363"/>
      <c r="E178" s="363"/>
      <c r="F178" s="363"/>
      <c r="G178" s="363"/>
      <c r="H178" s="363"/>
      <c r="I178" s="364"/>
      <c r="J178" s="24"/>
      <c r="K178" s="24"/>
      <c r="L178" s="24"/>
      <c r="M178" s="24"/>
      <c r="N178" s="24"/>
      <c r="O178" s="24"/>
      <c r="P178" s="24"/>
    </row>
    <row r="179" spans="1:16" ht="45" customHeight="1">
      <c r="A179" s="527" t="s">
        <v>192</v>
      </c>
      <c r="B179" s="421"/>
      <c r="C179" s="421"/>
      <c r="D179" s="523"/>
      <c r="E179" s="528" t="s">
        <v>193</v>
      </c>
      <c r="F179" s="523"/>
      <c r="G179" s="236" t="s">
        <v>194</v>
      </c>
      <c r="H179" s="528" t="s">
        <v>195</v>
      </c>
      <c r="I179" s="422"/>
    </row>
    <row r="180" spans="1:16" ht="50.1" customHeight="1">
      <c r="A180" s="529" t="s">
        <v>426</v>
      </c>
      <c r="B180" s="530"/>
      <c r="C180" s="530"/>
      <c r="D180" s="531"/>
      <c r="E180" s="466">
        <f>I175</f>
        <v>6363.1</v>
      </c>
      <c r="F180" s="243"/>
      <c r="G180" s="106">
        <f>H13</f>
        <v>1</v>
      </c>
      <c r="H180" s="462">
        <f>E180*G180</f>
        <v>6363.1</v>
      </c>
      <c r="I180" s="260"/>
    </row>
    <row r="181" spans="1:16" ht="20.25" customHeight="1">
      <c r="A181" s="533" t="s">
        <v>197</v>
      </c>
      <c r="B181" s="368"/>
      <c r="C181" s="368"/>
      <c r="D181" s="368"/>
      <c r="E181" s="368"/>
      <c r="F181" s="268"/>
      <c r="G181" s="192">
        <f>SUM(G180)</f>
        <v>1</v>
      </c>
      <c r="H181" s="532">
        <f>SUM(H180:I180)</f>
        <v>6363.1</v>
      </c>
      <c r="I181" s="478"/>
    </row>
    <row r="182" spans="1:16" ht="6.75" customHeight="1">
      <c r="A182" s="534"/>
      <c r="B182" s="535"/>
      <c r="C182" s="535"/>
      <c r="D182" s="535"/>
      <c r="E182" s="535"/>
      <c r="F182" s="535"/>
      <c r="G182" s="535"/>
      <c r="H182" s="535"/>
      <c r="I182" s="536"/>
    </row>
    <row r="183" spans="1:16" ht="17.25" customHeight="1">
      <c r="A183" s="472" t="s">
        <v>198</v>
      </c>
      <c r="B183" s="276"/>
      <c r="C183" s="276"/>
      <c r="D183" s="276"/>
      <c r="E183" s="276"/>
      <c r="F183" s="276"/>
      <c r="G183" s="276"/>
      <c r="H183" s="276"/>
      <c r="I183" s="473"/>
    </row>
    <row r="184" spans="1:16" ht="6.75" customHeight="1">
      <c r="A184" s="537"/>
      <c r="B184" s="265"/>
      <c r="C184" s="265"/>
      <c r="D184" s="265"/>
      <c r="E184" s="265"/>
      <c r="F184" s="265"/>
      <c r="G184" s="265"/>
      <c r="H184" s="265"/>
      <c r="I184" s="416"/>
      <c r="J184" s="24"/>
      <c r="K184" s="24"/>
      <c r="L184" s="24"/>
      <c r="M184" s="24"/>
      <c r="N184" s="24"/>
      <c r="O184" s="24"/>
      <c r="P184" s="24"/>
    </row>
    <row r="185" spans="1:16" ht="18.75" customHeight="1">
      <c r="A185" s="538" t="s">
        <v>199</v>
      </c>
      <c r="B185" s="276"/>
      <c r="C185" s="276"/>
      <c r="D185" s="276"/>
      <c r="E185" s="276"/>
      <c r="F185" s="270"/>
      <c r="G185" s="539">
        <f>$H$181</f>
        <v>6363.1</v>
      </c>
      <c r="H185" s="276"/>
      <c r="I185" s="473"/>
      <c r="J185" s="24"/>
      <c r="K185" s="24"/>
      <c r="L185" s="24"/>
      <c r="M185" s="24"/>
      <c r="N185" s="24"/>
      <c r="O185" s="24"/>
      <c r="P185" s="24"/>
    </row>
    <row r="186" spans="1:16" ht="8.25" customHeight="1">
      <c r="A186" s="477"/>
      <c r="B186" s="368"/>
      <c r="C186" s="368"/>
      <c r="D186" s="368"/>
      <c r="E186" s="368"/>
      <c r="F186" s="368"/>
      <c r="G186" s="368"/>
      <c r="H186" s="368"/>
      <c r="I186" s="478"/>
      <c r="J186" s="24"/>
      <c r="K186" s="24"/>
      <c r="L186" s="24"/>
      <c r="M186" s="24"/>
      <c r="N186" s="24"/>
      <c r="O186" s="24"/>
      <c r="P186" s="24"/>
    </row>
    <row r="187" spans="1:16" ht="19.5" customHeight="1">
      <c r="A187" s="475" t="s">
        <v>200</v>
      </c>
      <c r="B187" s="242"/>
      <c r="C187" s="242"/>
      <c r="D187" s="242"/>
      <c r="E187" s="242"/>
      <c r="F187" s="243"/>
      <c r="G187" s="479">
        <f>$H$10</f>
        <v>12</v>
      </c>
      <c r="H187" s="242"/>
      <c r="I187" s="260"/>
      <c r="J187" s="24"/>
      <c r="K187" s="24"/>
      <c r="L187" s="24"/>
      <c r="M187" s="24"/>
      <c r="N187" s="24"/>
      <c r="O187" s="24"/>
      <c r="P187" s="24"/>
    </row>
    <row r="188" spans="1:16" ht="8.25" customHeight="1">
      <c r="A188" s="480"/>
      <c r="B188" s="242"/>
      <c r="C188" s="242"/>
      <c r="D188" s="242"/>
      <c r="E188" s="242"/>
      <c r="F188" s="242"/>
      <c r="G188" s="242"/>
      <c r="H188" s="242"/>
      <c r="I188" s="260"/>
      <c r="J188" s="24"/>
      <c r="K188" s="24"/>
      <c r="L188" s="24"/>
      <c r="M188" s="24"/>
      <c r="N188" s="24"/>
      <c r="O188" s="24"/>
      <c r="P188" s="24"/>
    </row>
    <row r="189" spans="1:16" ht="31.5" customHeight="1">
      <c r="A189" s="475" t="s">
        <v>323</v>
      </c>
      <c r="B189" s="242"/>
      <c r="C189" s="242"/>
      <c r="D189" s="242"/>
      <c r="E189" s="242"/>
      <c r="F189" s="243"/>
      <c r="G189" s="481">
        <f>ROUND(G185*G187,2)</f>
        <v>76357.2</v>
      </c>
      <c r="H189" s="242"/>
      <c r="I189" s="260"/>
      <c r="J189" s="24"/>
      <c r="K189" s="24"/>
      <c r="L189" s="24"/>
      <c r="M189" s="24"/>
      <c r="N189" s="24"/>
      <c r="O189" s="24"/>
      <c r="P189" s="24"/>
    </row>
    <row r="190" spans="1:16" ht="8.25" customHeight="1">
      <c r="A190" s="482"/>
      <c r="B190" s="242"/>
      <c r="C190" s="242"/>
      <c r="D190" s="242"/>
      <c r="E190" s="242"/>
      <c r="F190" s="242"/>
      <c r="G190" s="242"/>
      <c r="H190" s="242"/>
      <c r="I190" s="260"/>
      <c r="J190" s="24"/>
      <c r="K190" s="24"/>
      <c r="L190" s="24"/>
      <c r="M190" s="24"/>
      <c r="N190" s="24"/>
      <c r="O190" s="24"/>
      <c r="P190" s="24"/>
    </row>
    <row r="191" spans="1:16" ht="29.25" customHeight="1">
      <c r="A191" s="483" t="s">
        <v>324</v>
      </c>
      <c r="B191" s="242"/>
      <c r="C191" s="242"/>
      <c r="D191" s="242"/>
      <c r="E191" s="242"/>
      <c r="F191" s="242"/>
      <c r="G191" s="242"/>
      <c r="H191" s="242"/>
      <c r="I191" s="260"/>
      <c r="J191" s="24"/>
      <c r="K191" s="24"/>
      <c r="L191" s="24"/>
      <c r="M191" s="24"/>
      <c r="N191" s="24"/>
      <c r="O191" s="24"/>
      <c r="P191" s="24"/>
    </row>
    <row r="192" spans="1:16" ht="12" customHeight="1">
      <c r="A192" s="484" t="s">
        <v>203</v>
      </c>
      <c r="B192" s="372"/>
      <c r="C192" s="408"/>
      <c r="D192" s="410" t="s">
        <v>204</v>
      </c>
      <c r="E192" s="368"/>
      <c r="F192" s="368"/>
      <c r="G192" s="368"/>
      <c r="H192" s="368"/>
      <c r="I192" s="478"/>
      <c r="J192" s="24"/>
      <c r="K192" s="24"/>
      <c r="L192" s="24"/>
      <c r="M192" s="24"/>
      <c r="N192" s="24"/>
      <c r="O192" s="24"/>
      <c r="P192" s="24"/>
    </row>
    <row r="193" spans="1:16" ht="12" customHeight="1">
      <c r="A193" s="269"/>
      <c r="B193" s="276"/>
      <c r="C193" s="270"/>
      <c r="D193" s="409"/>
      <c r="E193" s="276"/>
      <c r="F193" s="276"/>
      <c r="G193" s="276"/>
      <c r="H193" s="276"/>
      <c r="I193" s="473"/>
      <c r="J193" s="24"/>
      <c r="K193" s="24"/>
      <c r="L193" s="24"/>
      <c r="M193" s="24"/>
      <c r="N193" s="24"/>
      <c r="O193" s="24"/>
      <c r="P193" s="24"/>
    </row>
    <row r="194" spans="1:16" ht="14.25" customHeight="1">
      <c r="A194" s="412" t="s">
        <v>205</v>
      </c>
      <c r="B194" s="242"/>
      <c r="C194" s="243"/>
      <c r="D194" s="485">
        <v>1</v>
      </c>
      <c r="E194" s="242"/>
      <c r="F194" s="242"/>
      <c r="G194" s="242"/>
      <c r="H194" s="242"/>
      <c r="I194" s="260"/>
      <c r="J194" s="24"/>
      <c r="K194" s="24"/>
      <c r="L194" s="24"/>
      <c r="M194" s="24"/>
      <c r="N194" s="24"/>
      <c r="O194" s="24"/>
      <c r="P194" s="24"/>
    </row>
    <row r="195" spans="1:16" ht="15" customHeight="1">
      <c r="A195" s="486"/>
      <c r="B195" s="368"/>
      <c r="C195" s="368"/>
      <c r="D195" s="368"/>
      <c r="E195" s="368"/>
      <c r="F195" s="368"/>
      <c r="G195" s="368"/>
      <c r="H195" s="368"/>
      <c r="I195" s="478"/>
      <c r="J195" s="24"/>
      <c r="K195" s="24"/>
      <c r="L195" s="24"/>
      <c r="M195" s="24"/>
      <c r="N195" s="24"/>
      <c r="O195" s="24"/>
      <c r="P195" s="24"/>
    </row>
    <row r="196" spans="1:16" ht="12" hidden="1" customHeight="1">
      <c r="A196" s="371"/>
      <c r="B196" s="419"/>
      <c r="C196" s="419"/>
      <c r="D196" s="419"/>
      <c r="E196" s="419"/>
      <c r="F196" s="419"/>
      <c r="G196" s="419"/>
      <c r="H196" s="419"/>
      <c r="I196" s="487"/>
      <c r="J196" s="24"/>
      <c r="K196" s="24"/>
      <c r="L196" s="24"/>
      <c r="M196" s="24"/>
      <c r="N196" s="24"/>
      <c r="O196" s="24"/>
      <c r="P196" s="24"/>
    </row>
    <row r="197" spans="1:16" ht="27" customHeight="1">
      <c r="A197" s="420" t="s">
        <v>325</v>
      </c>
      <c r="B197" s="421"/>
      <c r="C197" s="421"/>
      <c r="D197" s="421"/>
      <c r="E197" s="421"/>
      <c r="F197" s="421"/>
      <c r="G197" s="421"/>
      <c r="H197" s="421"/>
      <c r="I197" s="422"/>
      <c r="J197" s="24"/>
      <c r="K197" s="24"/>
      <c r="L197" s="24"/>
      <c r="M197" s="24"/>
      <c r="N197" s="24"/>
      <c r="O197" s="24"/>
      <c r="P197" s="24"/>
    </row>
    <row r="198" spans="1:16" ht="12.75" customHeight="1">
      <c r="A198" s="423" t="s">
        <v>207</v>
      </c>
      <c r="B198" s="242"/>
      <c r="C198" s="242"/>
      <c r="D198" s="242"/>
      <c r="E198" s="242"/>
      <c r="F198" s="242"/>
      <c r="G198" s="243"/>
      <c r="H198" s="413" t="s">
        <v>208</v>
      </c>
      <c r="I198" s="260"/>
      <c r="J198" s="24"/>
      <c r="K198" s="24"/>
      <c r="L198" s="24"/>
      <c r="M198" s="24"/>
      <c r="N198" s="24"/>
      <c r="O198" s="24"/>
      <c r="P198" s="24"/>
    </row>
    <row r="199" spans="1:16" ht="15" customHeight="1">
      <c r="A199" s="526"/>
      <c r="B199" s="265"/>
      <c r="C199" s="265"/>
      <c r="D199" s="265"/>
      <c r="E199" s="265"/>
      <c r="F199" s="265"/>
      <c r="G199" s="266"/>
      <c r="H199" s="415"/>
      <c r="I199" s="416"/>
      <c r="J199" s="24"/>
      <c r="K199" s="24"/>
      <c r="L199" s="24"/>
      <c r="M199" s="24"/>
      <c r="N199" s="24"/>
      <c r="O199" s="24"/>
      <c r="P199" s="24"/>
    </row>
    <row r="200" spans="1:16" ht="12" customHeight="1">
      <c r="A200" s="24"/>
      <c r="B200" s="24"/>
      <c r="C200" s="24"/>
      <c r="D200" s="24"/>
      <c r="E200" s="24"/>
      <c r="F200" s="24"/>
      <c r="G200" s="24"/>
      <c r="H200" s="24"/>
      <c r="I200" s="108"/>
      <c r="J200" s="24"/>
      <c r="K200" s="24"/>
      <c r="L200" s="24"/>
      <c r="M200" s="24"/>
      <c r="N200" s="24"/>
      <c r="O200" s="24"/>
      <c r="P200" s="24"/>
    </row>
  </sheetData>
  <mergeCells count="229">
    <mergeCell ref="G189:I189"/>
    <mergeCell ref="A190:I190"/>
    <mergeCell ref="A191:I191"/>
    <mergeCell ref="H181:I181"/>
    <mergeCell ref="A181:F181"/>
    <mergeCell ref="A182:I182"/>
    <mergeCell ref="A183:I183"/>
    <mergeCell ref="A184:I184"/>
    <mergeCell ref="A185:F185"/>
    <mergeCell ref="G185:I185"/>
    <mergeCell ref="A186:I186"/>
    <mergeCell ref="A187:F187"/>
    <mergeCell ref="G187:I187"/>
    <mergeCell ref="A195:I196"/>
    <mergeCell ref="A197:I197"/>
    <mergeCell ref="A198:G198"/>
    <mergeCell ref="H198:I198"/>
    <mergeCell ref="A199:G199"/>
    <mergeCell ref="H199:I199"/>
    <mergeCell ref="B168:H168"/>
    <mergeCell ref="B169:H169"/>
    <mergeCell ref="B170:H170"/>
    <mergeCell ref="B171:H171"/>
    <mergeCell ref="B172:H172"/>
    <mergeCell ref="A173:H173"/>
    <mergeCell ref="B174:H174"/>
    <mergeCell ref="A175:H175"/>
    <mergeCell ref="A176:I176"/>
    <mergeCell ref="A178:I178"/>
    <mergeCell ref="A179:D179"/>
    <mergeCell ref="E179:F179"/>
    <mergeCell ref="H179:I179"/>
    <mergeCell ref="A180:D180"/>
    <mergeCell ref="E180:F180"/>
    <mergeCell ref="H180:I180"/>
    <mergeCell ref="A188:I188"/>
    <mergeCell ref="A189:F189"/>
    <mergeCell ref="B149:G149"/>
    <mergeCell ref="B150:G150"/>
    <mergeCell ref="A192:C193"/>
    <mergeCell ref="D192:I193"/>
    <mergeCell ref="A194:C194"/>
    <mergeCell ref="D194:I194"/>
    <mergeCell ref="B151:G151"/>
    <mergeCell ref="B152:G152"/>
    <mergeCell ref="B153:G153"/>
    <mergeCell ref="B154:G154"/>
    <mergeCell ref="B155:G155"/>
    <mergeCell ref="B156:G156"/>
    <mergeCell ref="A157:H157"/>
    <mergeCell ref="A158:I158"/>
    <mergeCell ref="A159:G159"/>
    <mergeCell ref="A160:B162"/>
    <mergeCell ref="C160:I160"/>
    <mergeCell ref="C161:I161"/>
    <mergeCell ref="C162:I162"/>
    <mergeCell ref="A163:I163"/>
    <mergeCell ref="A164:I164"/>
    <mergeCell ref="A165:I165"/>
    <mergeCell ref="A166:I166"/>
    <mergeCell ref="A167:H167"/>
    <mergeCell ref="A137:H137"/>
    <mergeCell ref="B117:H117"/>
    <mergeCell ref="B118:H118"/>
    <mergeCell ref="A119:H119"/>
    <mergeCell ref="A111:I111"/>
    <mergeCell ref="B112:H112"/>
    <mergeCell ref="B113:F113"/>
    <mergeCell ref="B114:H114"/>
    <mergeCell ref="B115:H115"/>
    <mergeCell ref="B116:H116"/>
    <mergeCell ref="B133:H133"/>
    <mergeCell ref="B134:H134"/>
    <mergeCell ref="B135:H135"/>
    <mergeCell ref="B136:H136"/>
    <mergeCell ref="B122:H122"/>
    <mergeCell ref="B123:H123"/>
    <mergeCell ref="A124:H124"/>
    <mergeCell ref="A125:I125"/>
    <mergeCell ref="A126:I126"/>
    <mergeCell ref="B127:H127"/>
    <mergeCell ref="B128:H128"/>
    <mergeCell ref="A145:G145"/>
    <mergeCell ref="B146:G146"/>
    <mergeCell ref="A147:G147"/>
    <mergeCell ref="B148:G148"/>
    <mergeCell ref="B144:G144"/>
    <mergeCell ref="A138:I138"/>
    <mergeCell ref="A139:I139"/>
    <mergeCell ref="A141:I141"/>
    <mergeCell ref="B142:G142"/>
    <mergeCell ref="A143:G143"/>
    <mergeCell ref="A66:G66"/>
    <mergeCell ref="A68:I68"/>
    <mergeCell ref="A69:I69"/>
    <mergeCell ref="A70:I70"/>
    <mergeCell ref="B71:H71"/>
    <mergeCell ref="B72:H72"/>
    <mergeCell ref="B73:G73"/>
    <mergeCell ref="B74:G74"/>
    <mergeCell ref="B75:G75"/>
    <mergeCell ref="A107:I107"/>
    <mergeCell ref="A108:I108"/>
    <mergeCell ref="A110:I110"/>
    <mergeCell ref="B76:G76"/>
    <mergeCell ref="B102:G102"/>
    <mergeCell ref="B129:H129"/>
    <mergeCell ref="A130:H130"/>
    <mergeCell ref="A131:I131"/>
    <mergeCell ref="A132:I132"/>
    <mergeCell ref="B92:H92"/>
    <mergeCell ref="B93:H93"/>
    <mergeCell ref="A94:H94"/>
    <mergeCell ref="A95:I95"/>
    <mergeCell ref="A96:I96"/>
    <mergeCell ref="B97:H97"/>
    <mergeCell ref="B98:H98"/>
    <mergeCell ref="B99:H99"/>
    <mergeCell ref="B101:H101"/>
    <mergeCell ref="A103:H103"/>
    <mergeCell ref="A104:I104"/>
    <mergeCell ref="A105:I105"/>
    <mergeCell ref="A106:I106"/>
    <mergeCell ref="A120:I120"/>
    <mergeCell ref="A121:I121"/>
    <mergeCell ref="A49:I49"/>
    <mergeCell ref="B50:H50"/>
    <mergeCell ref="B51:G51"/>
    <mergeCell ref="B52:G52"/>
    <mergeCell ref="A53:H53"/>
    <mergeCell ref="A54:I54"/>
    <mergeCell ref="A55:I55"/>
    <mergeCell ref="A56:I56"/>
    <mergeCell ref="B100:H100"/>
    <mergeCell ref="B77:H77"/>
    <mergeCell ref="B78:G78"/>
    <mergeCell ref="B79:G79"/>
    <mergeCell ref="B80:G80"/>
    <mergeCell ref="B81:H81"/>
    <mergeCell ref="B82:H82"/>
    <mergeCell ref="B83:H83"/>
    <mergeCell ref="B84:H84"/>
    <mergeCell ref="B85:H85"/>
    <mergeCell ref="A86:I86"/>
    <mergeCell ref="A87:I87"/>
    <mergeCell ref="A88:I88"/>
    <mergeCell ref="A89:I89"/>
    <mergeCell ref="B90:H90"/>
    <mergeCell ref="B91:H91"/>
    <mergeCell ref="A40:H40"/>
    <mergeCell ref="A41:I41"/>
    <mergeCell ref="B42:H42"/>
    <mergeCell ref="A43:I43"/>
    <mergeCell ref="A44:H44"/>
    <mergeCell ref="A45:I45"/>
    <mergeCell ref="A46:I46"/>
    <mergeCell ref="A47:I47"/>
    <mergeCell ref="A48:I48"/>
    <mergeCell ref="B57:G57"/>
    <mergeCell ref="B58:G58"/>
    <mergeCell ref="B59:G59"/>
    <mergeCell ref="B60:C60"/>
    <mergeCell ref="B61:G61"/>
    <mergeCell ref="B62:G62"/>
    <mergeCell ref="B63:G63"/>
    <mergeCell ref="B64:G64"/>
    <mergeCell ref="B65:G65"/>
    <mergeCell ref="A31:I31"/>
    <mergeCell ref="B32:G32"/>
    <mergeCell ref="B33:H33"/>
    <mergeCell ref="B34:H34"/>
    <mergeCell ref="B35:H35"/>
    <mergeCell ref="B36:H36"/>
    <mergeCell ref="B37:H37"/>
    <mergeCell ref="B38:G38"/>
    <mergeCell ref="B39:H39"/>
    <mergeCell ref="B25:G25"/>
    <mergeCell ref="H25:I25"/>
    <mergeCell ref="B26:G26"/>
    <mergeCell ref="H26:I26"/>
    <mergeCell ref="B27:G27"/>
    <mergeCell ref="H27:I27"/>
    <mergeCell ref="A28:I28"/>
    <mergeCell ref="A29:I29"/>
    <mergeCell ref="A30:I30"/>
    <mergeCell ref="A14:G14"/>
    <mergeCell ref="H14:I14"/>
    <mergeCell ref="A15:I15"/>
    <mergeCell ref="A16:I16"/>
    <mergeCell ref="J16:P16"/>
    <mergeCell ref="B24:G24"/>
    <mergeCell ref="H24:I24"/>
    <mergeCell ref="B17:G17"/>
    <mergeCell ref="H17:I17"/>
    <mergeCell ref="B18:G18"/>
    <mergeCell ref="H18:I18"/>
    <mergeCell ref="B19:G19"/>
    <mergeCell ref="H19:I19"/>
    <mergeCell ref="H20:I20"/>
    <mergeCell ref="B20:G20"/>
    <mergeCell ref="B21:G21"/>
    <mergeCell ref="H21:I21"/>
    <mergeCell ref="B22:G22"/>
    <mergeCell ref="H22:I22"/>
    <mergeCell ref="B23:G23"/>
    <mergeCell ref="H23:I23"/>
    <mergeCell ref="B8:G8"/>
    <mergeCell ref="H8:I8"/>
    <mergeCell ref="B9:G9"/>
    <mergeCell ref="H9:I9"/>
    <mergeCell ref="F13:G13"/>
    <mergeCell ref="H13:I13"/>
    <mergeCell ref="B10:G10"/>
    <mergeCell ref="H10:I10"/>
    <mergeCell ref="A11:I11"/>
    <mergeCell ref="A12:E12"/>
    <mergeCell ref="F12:G12"/>
    <mergeCell ref="H12:I12"/>
    <mergeCell ref="A13:E13"/>
    <mergeCell ref="A1:I1"/>
    <mergeCell ref="A2:I2"/>
    <mergeCell ref="A3:E3"/>
    <mergeCell ref="F3:I3"/>
    <mergeCell ref="A4:E4"/>
    <mergeCell ref="F4:I4"/>
    <mergeCell ref="A5:I5"/>
    <mergeCell ref="A6:I6"/>
    <mergeCell ref="B7:G7"/>
    <mergeCell ref="H7:I7"/>
  </mergeCells>
  <pageMargins left="0.7" right="0.7" top="0.75" bottom="0.75" header="0" footer="0"/>
  <pageSetup scale="63" orientation="portrait" r:id="rId1"/>
  <rowBreaks count="4" manualBreakCount="4">
    <brk id="47" max="10" man="1"/>
    <brk id="87" max="10" man="1"/>
    <brk id="119" max="10" man="1"/>
    <brk id="16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6"/>
  <sheetViews>
    <sheetView view="pageBreakPreview" topLeftCell="A4" zoomScaleNormal="100" zoomScaleSheetLayoutView="100" workbookViewId="0">
      <selection activeCell="E9" sqref="E9"/>
    </sheetView>
  </sheetViews>
  <sheetFormatPr defaultColWidth="12.5703125" defaultRowHeight="15" customHeight="1"/>
  <cols>
    <col min="1" max="1" width="8" customWidth="1"/>
    <col min="2" max="2" width="42" customWidth="1"/>
    <col min="3" max="3" width="18.28515625" bestFit="1" customWidth="1"/>
    <col min="4" max="4" width="15" bestFit="1" customWidth="1"/>
    <col min="5" max="5" width="12" bestFit="1" customWidth="1"/>
    <col min="6" max="6" width="19.7109375" bestFit="1" customWidth="1"/>
    <col min="7" max="7" width="14.42578125" bestFit="1" customWidth="1"/>
    <col min="8" max="26" width="8" customWidth="1"/>
  </cols>
  <sheetData>
    <row r="1" spans="1:9" ht="21.95" customHeight="1">
      <c r="A1" s="540" t="s">
        <v>326</v>
      </c>
      <c r="B1" s="541"/>
      <c r="C1" s="541"/>
      <c r="D1" s="541"/>
      <c r="E1" s="541"/>
      <c r="F1" s="541"/>
      <c r="G1" s="541"/>
    </row>
    <row r="2" spans="1:9" ht="15" customHeight="1">
      <c r="A2" s="542" t="s">
        <v>29</v>
      </c>
      <c r="B2" s="543"/>
      <c r="C2" s="210" t="s">
        <v>327</v>
      </c>
      <c r="D2" s="211" t="s">
        <v>328</v>
      </c>
      <c r="E2" s="211" t="s">
        <v>329</v>
      </c>
      <c r="F2" s="211" t="s">
        <v>356</v>
      </c>
      <c r="G2" s="211" t="s">
        <v>355</v>
      </c>
    </row>
    <row r="3" spans="1:9" ht="15" customHeight="1">
      <c r="A3" s="193">
        <v>1</v>
      </c>
      <c r="B3" s="194" t="s">
        <v>330</v>
      </c>
      <c r="C3" s="195">
        <v>2</v>
      </c>
      <c r="D3" s="196">
        <v>78.97</v>
      </c>
      <c r="E3" s="196">
        <f t="shared" ref="E3:E14" si="0">C3*D3</f>
        <v>157.94</v>
      </c>
      <c r="F3" s="197">
        <v>12</v>
      </c>
      <c r="G3" s="198">
        <f>E3/F3</f>
        <v>13.161666666666667</v>
      </c>
    </row>
    <row r="4" spans="1:9" ht="15" customHeight="1">
      <c r="A4" s="193">
        <v>2</v>
      </c>
      <c r="B4" s="194" t="s">
        <v>331</v>
      </c>
      <c r="C4" s="195">
        <v>2</v>
      </c>
      <c r="D4" s="196">
        <v>58.97</v>
      </c>
      <c r="E4" s="196">
        <f t="shared" si="0"/>
        <v>117.94</v>
      </c>
      <c r="F4" s="197">
        <v>12</v>
      </c>
      <c r="G4" s="198">
        <f t="shared" ref="G4:G14" si="1">E4/F4</f>
        <v>9.8283333333333331</v>
      </c>
    </row>
    <row r="5" spans="1:9" ht="15" customHeight="1">
      <c r="A5" s="193">
        <v>3</v>
      </c>
      <c r="B5" s="194" t="s">
        <v>332</v>
      </c>
      <c r="C5" s="195">
        <v>3</v>
      </c>
      <c r="D5" s="196">
        <v>48.27</v>
      </c>
      <c r="E5" s="196">
        <f t="shared" si="0"/>
        <v>144.81</v>
      </c>
      <c r="F5" s="197">
        <v>12</v>
      </c>
      <c r="G5" s="198">
        <f t="shared" si="1"/>
        <v>12.067500000000001</v>
      </c>
    </row>
    <row r="6" spans="1:9" ht="15" customHeight="1">
      <c r="A6" s="193">
        <v>4</v>
      </c>
      <c r="B6" s="194" t="s">
        <v>333</v>
      </c>
      <c r="C6" s="195">
        <v>1</v>
      </c>
      <c r="D6" s="196">
        <v>37.56</v>
      </c>
      <c r="E6" s="196">
        <f t="shared" si="0"/>
        <v>37.56</v>
      </c>
      <c r="F6" s="197">
        <v>12</v>
      </c>
      <c r="G6" s="198">
        <f t="shared" si="1"/>
        <v>3.1300000000000003</v>
      </c>
    </row>
    <row r="7" spans="1:9" ht="15" customHeight="1">
      <c r="A7" s="193">
        <v>5</v>
      </c>
      <c r="B7" s="194" t="s">
        <v>334</v>
      </c>
      <c r="C7" s="195">
        <v>2</v>
      </c>
      <c r="D7" s="199">
        <v>85.67</v>
      </c>
      <c r="E7" s="196">
        <f t="shared" si="0"/>
        <v>171.34</v>
      </c>
      <c r="F7" s="197">
        <v>24</v>
      </c>
      <c r="G7" s="198">
        <f t="shared" si="1"/>
        <v>7.1391666666666671</v>
      </c>
    </row>
    <row r="8" spans="1:9" ht="15" customHeight="1">
      <c r="A8" s="193">
        <v>6</v>
      </c>
      <c r="B8" s="194" t="s">
        <v>335</v>
      </c>
      <c r="C8" s="195">
        <v>3</v>
      </c>
      <c r="D8" s="199">
        <v>10.27</v>
      </c>
      <c r="E8" s="196">
        <f t="shared" si="0"/>
        <v>30.81</v>
      </c>
      <c r="F8" s="197">
        <v>12</v>
      </c>
      <c r="G8" s="198">
        <f t="shared" si="1"/>
        <v>2.5674999999999999</v>
      </c>
    </row>
    <row r="9" spans="1:9" ht="24.95" customHeight="1">
      <c r="A9" s="200">
        <v>7</v>
      </c>
      <c r="B9" s="201" t="s">
        <v>336</v>
      </c>
      <c r="C9" s="202">
        <v>1</v>
      </c>
      <c r="D9" s="203">
        <v>135.97</v>
      </c>
      <c r="E9" s="204">
        <f t="shared" si="0"/>
        <v>135.97</v>
      </c>
      <c r="F9" s="205">
        <v>24</v>
      </c>
      <c r="G9" s="206">
        <f t="shared" si="1"/>
        <v>5.6654166666666663</v>
      </c>
    </row>
    <row r="10" spans="1:9" ht="15" customHeight="1">
      <c r="A10" s="193">
        <v>8</v>
      </c>
      <c r="B10" s="207" t="s">
        <v>337</v>
      </c>
      <c r="C10" s="202">
        <v>1</v>
      </c>
      <c r="D10" s="203">
        <v>58.77</v>
      </c>
      <c r="E10" s="196">
        <f t="shared" si="0"/>
        <v>58.77</v>
      </c>
      <c r="F10" s="197">
        <v>24</v>
      </c>
      <c r="G10" s="198">
        <f t="shared" si="1"/>
        <v>2.44875</v>
      </c>
    </row>
    <row r="11" spans="1:9" ht="15" customHeight="1">
      <c r="A11" s="193">
        <v>9</v>
      </c>
      <c r="B11" s="208" t="s">
        <v>338</v>
      </c>
      <c r="C11" s="195">
        <v>1</v>
      </c>
      <c r="D11" s="199">
        <v>316.31</v>
      </c>
      <c r="E11" s="196">
        <f t="shared" si="0"/>
        <v>316.31</v>
      </c>
      <c r="F11" s="197">
        <v>24</v>
      </c>
      <c r="G11" s="198">
        <f t="shared" si="1"/>
        <v>13.179583333333333</v>
      </c>
    </row>
    <row r="12" spans="1:9" ht="15" customHeight="1">
      <c r="A12" s="193">
        <v>10</v>
      </c>
      <c r="B12" s="194" t="s">
        <v>339</v>
      </c>
      <c r="C12" s="195">
        <v>1</v>
      </c>
      <c r="D12" s="199">
        <v>4.78</v>
      </c>
      <c r="E12" s="196">
        <f t="shared" si="0"/>
        <v>4.78</v>
      </c>
      <c r="F12" s="197">
        <v>12</v>
      </c>
      <c r="G12" s="198">
        <f t="shared" si="1"/>
        <v>0.39833333333333337</v>
      </c>
    </row>
    <row r="13" spans="1:9" ht="15" customHeight="1">
      <c r="A13" s="193">
        <v>11</v>
      </c>
      <c r="B13" s="208" t="s">
        <v>353</v>
      </c>
      <c r="C13" s="195">
        <v>1</v>
      </c>
      <c r="D13" s="199">
        <v>55.06</v>
      </c>
      <c r="E13" s="196">
        <f t="shared" si="0"/>
        <v>55.06</v>
      </c>
      <c r="F13" s="197">
        <v>24</v>
      </c>
      <c r="G13" s="198">
        <f t="shared" si="1"/>
        <v>2.2941666666666669</v>
      </c>
    </row>
    <row r="14" spans="1:9" ht="15" customHeight="1">
      <c r="A14" s="193">
        <v>12</v>
      </c>
      <c r="B14" s="194" t="s">
        <v>352</v>
      </c>
      <c r="C14" s="195">
        <v>2</v>
      </c>
      <c r="D14" s="199">
        <v>55.93</v>
      </c>
      <c r="E14" s="196">
        <f t="shared" si="0"/>
        <v>111.86</v>
      </c>
      <c r="F14" s="197">
        <v>12</v>
      </c>
      <c r="G14" s="198">
        <f t="shared" si="1"/>
        <v>9.3216666666666672</v>
      </c>
      <c r="I14" s="157"/>
    </row>
    <row r="15" spans="1:9" ht="21.95" customHeight="1">
      <c r="A15" s="545" t="s">
        <v>354</v>
      </c>
      <c r="B15" s="545"/>
      <c r="C15" s="545"/>
      <c r="D15" s="545"/>
      <c r="E15" s="544">
        <f>SUM(E3:E14)</f>
        <v>1343.1499999999999</v>
      </c>
      <c r="F15" s="544"/>
      <c r="G15" s="209">
        <f>SUM(G3:G14)</f>
        <v>81.202083333333334</v>
      </c>
      <c r="I15" s="150"/>
    </row>
    <row r="16" spans="1:9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</sheetData>
  <mergeCells count="4">
    <mergeCell ref="A1:G1"/>
    <mergeCell ref="A2:B2"/>
    <mergeCell ref="E15:F15"/>
    <mergeCell ref="A15:D15"/>
  </mergeCells>
  <pageMargins left="0.7" right="0.7" top="0.75" bottom="0.75" header="0" footer="0"/>
  <pageSetup scale="71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zoomScaleNormal="100" zoomScaleSheetLayoutView="100" workbookViewId="0">
      <selection activeCell="E37" sqref="E37"/>
    </sheetView>
  </sheetViews>
  <sheetFormatPr defaultRowHeight="12.75"/>
  <cols>
    <col min="1" max="1" width="7.85546875" bestFit="1" customWidth="1"/>
    <col min="2" max="2" width="32.42578125" bestFit="1" customWidth="1"/>
    <col min="3" max="3" width="11.42578125" bestFit="1" customWidth="1"/>
    <col min="4" max="4" width="18" bestFit="1" customWidth="1"/>
    <col min="5" max="5" width="17.28515625" bestFit="1" customWidth="1"/>
    <col min="6" max="6" width="13.5703125" bestFit="1" customWidth="1"/>
  </cols>
  <sheetData>
    <row r="1" spans="1:6" ht="15.75">
      <c r="A1" s="554" t="s">
        <v>357</v>
      </c>
      <c r="B1" s="555"/>
      <c r="C1" s="555"/>
      <c r="D1" s="555"/>
      <c r="E1" s="555"/>
      <c r="F1" s="556"/>
    </row>
    <row r="2" spans="1:6">
      <c r="A2" s="557" t="s">
        <v>29</v>
      </c>
      <c r="B2" s="558"/>
      <c r="C2" s="158" t="s">
        <v>340</v>
      </c>
      <c r="D2" s="159" t="s">
        <v>358</v>
      </c>
      <c r="E2" s="158" t="s">
        <v>341</v>
      </c>
      <c r="F2" s="164" t="s">
        <v>360</v>
      </c>
    </row>
    <row r="3" spans="1:6" ht="14.25">
      <c r="A3" s="149">
        <v>1</v>
      </c>
      <c r="B3" s="151" t="s">
        <v>342</v>
      </c>
      <c r="C3" s="168">
        <v>1</v>
      </c>
      <c r="D3" s="169">
        <v>4741.8599999999997</v>
      </c>
      <c r="E3" s="147">
        <v>10</v>
      </c>
      <c r="F3" s="163">
        <f t="shared" ref="F3:F9" si="0">ROUND((C3*D3)/E3,2)</f>
        <v>474.19</v>
      </c>
    </row>
    <row r="4" spans="1:6" ht="14.25">
      <c r="A4" s="149">
        <v>2</v>
      </c>
      <c r="B4" s="151" t="s">
        <v>343</v>
      </c>
      <c r="C4" s="155">
        <v>1</v>
      </c>
      <c r="D4" s="169">
        <v>130.07</v>
      </c>
      <c r="E4" s="147">
        <v>1</v>
      </c>
      <c r="F4" s="163">
        <f t="shared" si="0"/>
        <v>130.07</v>
      </c>
    </row>
    <row r="5" spans="1:6" ht="14.25">
      <c r="A5" s="149">
        <v>3</v>
      </c>
      <c r="B5" s="160" t="s">
        <v>359</v>
      </c>
      <c r="C5" s="155">
        <v>1</v>
      </c>
      <c r="D5" s="169">
        <v>2395.52</v>
      </c>
      <c r="E5" s="147">
        <v>5</v>
      </c>
      <c r="F5" s="163">
        <f t="shared" si="0"/>
        <v>479.1</v>
      </c>
    </row>
    <row r="6" spans="1:6" ht="14.25">
      <c r="A6" s="149">
        <v>4</v>
      </c>
      <c r="B6" s="151" t="s">
        <v>344</v>
      </c>
      <c r="C6" s="155">
        <v>1</v>
      </c>
      <c r="D6" s="169">
        <v>54.59</v>
      </c>
      <c r="E6" s="147">
        <v>5</v>
      </c>
      <c r="F6" s="163">
        <f t="shared" si="0"/>
        <v>10.92</v>
      </c>
    </row>
    <row r="7" spans="1:6" ht="14.25">
      <c r="A7" s="149">
        <v>5</v>
      </c>
      <c r="B7" s="152" t="s">
        <v>345</v>
      </c>
      <c r="C7" s="155">
        <v>1</v>
      </c>
      <c r="D7" s="170">
        <v>57.59</v>
      </c>
      <c r="E7" s="153">
        <v>5</v>
      </c>
      <c r="F7" s="163">
        <f t="shared" si="0"/>
        <v>11.52</v>
      </c>
    </row>
    <row r="8" spans="1:6" ht="14.25">
      <c r="A8" s="149">
        <v>6</v>
      </c>
      <c r="B8" s="152" t="s">
        <v>346</v>
      </c>
      <c r="C8" s="155">
        <v>4</v>
      </c>
      <c r="D8" s="169">
        <v>23.66</v>
      </c>
      <c r="E8" s="153">
        <v>5</v>
      </c>
      <c r="F8" s="163">
        <f t="shared" si="0"/>
        <v>18.93</v>
      </c>
    </row>
    <row r="9" spans="1:6" ht="14.25">
      <c r="A9" s="149">
        <v>7</v>
      </c>
      <c r="B9" s="152" t="s">
        <v>393</v>
      </c>
      <c r="C9" s="155">
        <v>1</v>
      </c>
      <c r="D9" s="169">
        <v>61.67</v>
      </c>
      <c r="E9" s="153">
        <v>2</v>
      </c>
      <c r="F9" s="163">
        <f t="shared" si="0"/>
        <v>30.84</v>
      </c>
    </row>
    <row r="10" spans="1:6" ht="14.25">
      <c r="A10" s="149">
        <v>8</v>
      </c>
      <c r="B10" s="152" t="s">
        <v>347</v>
      </c>
      <c r="C10" s="155">
        <v>1</v>
      </c>
      <c r="D10" s="169">
        <v>14.78</v>
      </c>
      <c r="E10" s="153">
        <v>1</v>
      </c>
      <c r="F10" s="163">
        <f t="shared" ref="F10:F12" si="1">ROUND((C10*D10)/E10,2)</f>
        <v>14.78</v>
      </c>
    </row>
    <row r="11" spans="1:6" ht="14.25">
      <c r="A11" s="149">
        <v>9</v>
      </c>
      <c r="B11" s="152" t="s">
        <v>348</v>
      </c>
      <c r="C11" s="156">
        <v>1</v>
      </c>
      <c r="D11" s="169">
        <v>245.04</v>
      </c>
      <c r="E11" s="148">
        <v>2</v>
      </c>
      <c r="F11" s="163">
        <f t="shared" si="1"/>
        <v>122.52</v>
      </c>
    </row>
    <row r="12" spans="1:6" ht="14.25">
      <c r="A12" s="149">
        <v>10</v>
      </c>
      <c r="B12" s="152" t="s">
        <v>349</v>
      </c>
      <c r="C12" s="156">
        <v>1</v>
      </c>
      <c r="D12" s="169">
        <v>578</v>
      </c>
      <c r="E12" s="148">
        <v>10</v>
      </c>
      <c r="F12" s="163">
        <f t="shared" si="1"/>
        <v>57.8</v>
      </c>
    </row>
    <row r="13" spans="1:6">
      <c r="A13" s="559" t="s">
        <v>351</v>
      </c>
      <c r="B13" s="560"/>
      <c r="C13" s="560"/>
      <c r="D13" s="560"/>
      <c r="E13" s="561"/>
      <c r="F13" s="146">
        <f>SUM(F3:F12)</f>
        <v>1350.67</v>
      </c>
    </row>
    <row r="14" spans="1:6">
      <c r="A14" s="571" t="s">
        <v>371</v>
      </c>
      <c r="B14" s="567"/>
      <c r="C14" s="567"/>
      <c r="D14" s="567"/>
      <c r="E14" s="568"/>
      <c r="F14" s="171">
        <f>(F13/12)</f>
        <v>112.55583333333334</v>
      </c>
    </row>
    <row r="15" spans="1:6" ht="35.1" customHeight="1">
      <c r="A15" s="562" t="s">
        <v>389</v>
      </c>
      <c r="B15" s="563"/>
      <c r="C15" s="563"/>
      <c r="D15" s="563"/>
      <c r="E15" s="564"/>
      <c r="F15" s="180">
        <f>F14/4</f>
        <v>28.138958333333335</v>
      </c>
    </row>
    <row r="16" spans="1:6">
      <c r="B16" s="167"/>
      <c r="C16" s="167"/>
      <c r="D16" s="167"/>
      <c r="E16" s="167"/>
      <c r="F16" s="167"/>
    </row>
    <row r="17" spans="1:6" ht="15.75">
      <c r="A17" s="554" t="s">
        <v>364</v>
      </c>
      <c r="B17" s="555"/>
      <c r="C17" s="555"/>
      <c r="D17" s="555"/>
      <c r="E17" s="555"/>
      <c r="F17" s="556"/>
    </row>
    <row r="18" spans="1:6">
      <c r="A18" s="557" t="s">
        <v>29</v>
      </c>
      <c r="B18" s="558"/>
      <c r="C18" s="158" t="s">
        <v>340</v>
      </c>
      <c r="D18" s="159" t="s">
        <v>358</v>
      </c>
      <c r="E18" s="158" t="s">
        <v>341</v>
      </c>
      <c r="F18" s="164" t="s">
        <v>360</v>
      </c>
    </row>
    <row r="19" spans="1:6" ht="14.25">
      <c r="A19" s="149">
        <v>1</v>
      </c>
      <c r="B19" s="151" t="s">
        <v>342</v>
      </c>
      <c r="C19" s="173">
        <v>1</v>
      </c>
      <c r="D19" s="169">
        <v>4741.8599999999997</v>
      </c>
      <c r="E19" s="147">
        <v>10</v>
      </c>
      <c r="F19" s="163">
        <f t="shared" ref="F19:F25" si="2">ROUND((C19*D19)/E19,2)</f>
        <v>474.19</v>
      </c>
    </row>
    <row r="20" spans="1:6" ht="14.25">
      <c r="A20" s="149">
        <v>2</v>
      </c>
      <c r="B20" s="151" t="s">
        <v>343</v>
      </c>
      <c r="C20" s="155">
        <v>1</v>
      </c>
      <c r="D20" s="169">
        <v>130.07</v>
      </c>
      <c r="E20" s="147">
        <v>1</v>
      </c>
      <c r="F20" s="163">
        <f t="shared" si="2"/>
        <v>130.07</v>
      </c>
    </row>
    <row r="21" spans="1:6" ht="14.25">
      <c r="A21" s="149">
        <v>3</v>
      </c>
      <c r="B21" s="160" t="s">
        <v>359</v>
      </c>
      <c r="C21" s="155">
        <v>1</v>
      </c>
      <c r="D21" s="169">
        <v>2395.52</v>
      </c>
      <c r="E21" s="147">
        <v>5</v>
      </c>
      <c r="F21" s="163">
        <f t="shared" si="2"/>
        <v>479.1</v>
      </c>
    </row>
    <row r="22" spans="1:6" ht="14.25">
      <c r="A22" s="149">
        <v>4</v>
      </c>
      <c r="B22" s="151" t="s">
        <v>344</v>
      </c>
      <c r="C22" s="155">
        <v>1</v>
      </c>
      <c r="D22" s="169">
        <v>54.59</v>
      </c>
      <c r="E22" s="147">
        <v>5</v>
      </c>
      <c r="F22" s="163">
        <f t="shared" si="2"/>
        <v>10.92</v>
      </c>
    </row>
    <row r="23" spans="1:6" ht="14.25">
      <c r="A23" s="149">
        <v>5</v>
      </c>
      <c r="B23" s="152" t="s">
        <v>345</v>
      </c>
      <c r="C23" s="155">
        <v>1</v>
      </c>
      <c r="D23" s="170">
        <v>57.59</v>
      </c>
      <c r="E23" s="153">
        <v>5</v>
      </c>
      <c r="F23" s="163">
        <f t="shared" si="2"/>
        <v>11.52</v>
      </c>
    </row>
    <row r="24" spans="1:6" ht="14.25">
      <c r="A24" s="149">
        <v>6</v>
      </c>
      <c r="B24" s="152" t="s">
        <v>346</v>
      </c>
      <c r="C24" s="155">
        <v>2</v>
      </c>
      <c r="D24" s="169">
        <v>23.66</v>
      </c>
      <c r="E24" s="153">
        <v>5</v>
      </c>
      <c r="F24" s="163">
        <f t="shared" si="2"/>
        <v>9.4600000000000009</v>
      </c>
    </row>
    <row r="25" spans="1:6" ht="14.25">
      <c r="A25" s="149">
        <v>7</v>
      </c>
      <c r="B25" s="152" t="s">
        <v>393</v>
      </c>
      <c r="C25" s="155">
        <v>1</v>
      </c>
      <c r="D25" s="169">
        <v>61.67</v>
      </c>
      <c r="E25" s="153">
        <v>2</v>
      </c>
      <c r="F25" s="163">
        <f t="shared" si="2"/>
        <v>30.84</v>
      </c>
    </row>
    <row r="26" spans="1:6" ht="14.25">
      <c r="A26" s="149">
        <v>9</v>
      </c>
      <c r="B26" s="152" t="s">
        <v>348</v>
      </c>
      <c r="C26" s="156">
        <v>1</v>
      </c>
      <c r="D26" s="169">
        <v>245.04</v>
      </c>
      <c r="E26" s="148">
        <v>2</v>
      </c>
      <c r="F26" s="163">
        <f t="shared" ref="F26" si="3">ROUND((C26*D26)/E26,2)</f>
        <v>122.52</v>
      </c>
    </row>
    <row r="27" spans="1:6">
      <c r="A27" s="559" t="s">
        <v>351</v>
      </c>
      <c r="B27" s="560"/>
      <c r="C27" s="560"/>
      <c r="D27" s="560"/>
      <c r="E27" s="561"/>
      <c r="F27" s="146">
        <f>SUM(F19:F26)</f>
        <v>1268.6200000000001</v>
      </c>
    </row>
    <row r="28" spans="1:6">
      <c r="A28" s="559" t="s">
        <v>383</v>
      </c>
      <c r="B28" s="560"/>
      <c r="C28" s="560"/>
      <c r="D28" s="560"/>
      <c r="E28" s="561"/>
      <c r="F28" s="154">
        <f>(F27/12)</f>
        <v>105.71833333333335</v>
      </c>
    </row>
    <row r="29" spans="1:6" ht="30" customHeight="1">
      <c r="A29" s="562" t="s">
        <v>388</v>
      </c>
      <c r="B29" s="563"/>
      <c r="C29" s="563"/>
      <c r="D29" s="563"/>
      <c r="E29" s="564"/>
      <c r="F29" s="180">
        <f>F28/2</f>
        <v>52.859166666666674</v>
      </c>
    </row>
    <row r="30" spans="1:6">
      <c r="A30" s="172"/>
      <c r="B30" s="166"/>
      <c r="C30" s="166"/>
      <c r="D30" s="166"/>
      <c r="E30" s="166"/>
      <c r="F30" s="165"/>
    </row>
    <row r="31" spans="1:6">
      <c r="A31" s="167"/>
      <c r="B31" s="167"/>
      <c r="C31" s="167"/>
      <c r="D31" s="167"/>
      <c r="E31" s="167"/>
      <c r="F31" s="167"/>
    </row>
    <row r="32" spans="1:6" ht="15.75">
      <c r="A32" s="554" t="s">
        <v>366</v>
      </c>
      <c r="B32" s="555"/>
      <c r="C32" s="555"/>
      <c r="D32" s="555"/>
      <c r="E32" s="555"/>
      <c r="F32" s="556"/>
    </row>
    <row r="33" spans="1:6">
      <c r="A33" s="557" t="s">
        <v>29</v>
      </c>
      <c r="B33" s="558"/>
      <c r="C33" s="158" t="s">
        <v>340</v>
      </c>
      <c r="D33" s="159" t="s">
        <v>358</v>
      </c>
      <c r="E33" s="158" t="s">
        <v>341</v>
      </c>
      <c r="F33" s="164" t="s">
        <v>360</v>
      </c>
    </row>
    <row r="34" spans="1:6" ht="14.25">
      <c r="A34" s="149">
        <v>1</v>
      </c>
      <c r="B34" s="237" t="s">
        <v>362</v>
      </c>
      <c r="C34" s="148">
        <v>1</v>
      </c>
      <c r="D34" s="161">
        <v>179.28</v>
      </c>
      <c r="E34" s="148">
        <v>5</v>
      </c>
      <c r="F34" s="163">
        <f t="shared" ref="F34:F37" si="4">ROUND((C34*D34)/E34,2)</f>
        <v>35.86</v>
      </c>
    </row>
    <row r="35" spans="1:6" ht="25.5">
      <c r="A35" s="149">
        <v>2</v>
      </c>
      <c r="B35" s="237" t="s">
        <v>361</v>
      </c>
      <c r="C35" s="148">
        <v>1</v>
      </c>
      <c r="D35" s="161">
        <v>859.47</v>
      </c>
      <c r="E35" s="148">
        <v>5</v>
      </c>
      <c r="F35" s="163">
        <f t="shared" si="4"/>
        <v>171.89</v>
      </c>
    </row>
    <row r="36" spans="1:6" ht="24">
      <c r="A36" s="149">
        <v>3</v>
      </c>
      <c r="B36" s="238" t="s">
        <v>350</v>
      </c>
      <c r="C36" s="148">
        <v>1</v>
      </c>
      <c r="D36" s="162">
        <v>639</v>
      </c>
      <c r="E36" s="148">
        <v>5</v>
      </c>
      <c r="F36" s="163">
        <f t="shared" si="4"/>
        <v>127.8</v>
      </c>
    </row>
    <row r="37" spans="1:6" ht="14.25">
      <c r="A37" s="149">
        <v>4</v>
      </c>
      <c r="B37" s="239" t="s">
        <v>363</v>
      </c>
      <c r="C37" s="148">
        <v>1</v>
      </c>
      <c r="D37" s="162">
        <v>1138.42</v>
      </c>
      <c r="E37" s="148">
        <v>5</v>
      </c>
      <c r="F37" s="163">
        <f t="shared" si="4"/>
        <v>227.68</v>
      </c>
    </row>
    <row r="38" spans="1:6">
      <c r="A38" s="565" t="s">
        <v>365</v>
      </c>
      <c r="B38" s="560"/>
      <c r="C38" s="560"/>
      <c r="D38" s="560"/>
      <c r="E38" s="561"/>
      <c r="F38" s="146">
        <f>SUM(F34:F37)</f>
        <v>563.23</v>
      </c>
    </row>
    <row r="39" spans="1:6">
      <c r="A39" s="566" t="s">
        <v>368</v>
      </c>
      <c r="B39" s="567"/>
      <c r="C39" s="567"/>
      <c r="D39" s="567"/>
      <c r="E39" s="568"/>
      <c r="F39" s="171">
        <f>F38/12</f>
        <v>46.935833333333335</v>
      </c>
    </row>
    <row r="40" spans="1:6">
      <c r="A40" s="569" t="s">
        <v>367</v>
      </c>
      <c r="B40" s="570"/>
      <c r="C40" s="570"/>
      <c r="D40" s="570"/>
      <c r="E40" s="570"/>
      <c r="F40" s="180">
        <f>F39/6</f>
        <v>7.8226388888888891</v>
      </c>
    </row>
    <row r="43" spans="1:6" ht="14.25">
      <c r="A43" s="548" t="s">
        <v>373</v>
      </c>
      <c r="B43" s="548" t="s">
        <v>374</v>
      </c>
      <c r="C43" s="551" t="s">
        <v>380</v>
      </c>
      <c r="D43" s="548" t="s">
        <v>381</v>
      </c>
      <c r="E43" s="548" t="s">
        <v>372</v>
      </c>
      <c r="F43" s="549"/>
    </row>
    <row r="44" spans="1:6">
      <c r="A44" s="548"/>
      <c r="B44" s="548"/>
      <c r="C44" s="551"/>
      <c r="D44" s="548"/>
      <c r="E44" s="176" t="s">
        <v>375</v>
      </c>
      <c r="F44" s="176" t="s">
        <v>376</v>
      </c>
    </row>
    <row r="45" spans="1:6">
      <c r="A45" s="550" t="s">
        <v>36</v>
      </c>
      <c r="B45" s="175" t="s">
        <v>377</v>
      </c>
      <c r="C45" s="175">
        <v>1</v>
      </c>
      <c r="D45" s="174">
        <v>2</v>
      </c>
      <c r="E45" s="179">
        <f>F15</f>
        <v>28.138958333333335</v>
      </c>
      <c r="F45" s="179">
        <f>D45*E45</f>
        <v>56.27791666666667</v>
      </c>
    </row>
    <row r="46" spans="1:6">
      <c r="A46" s="550"/>
      <c r="B46" s="175" t="s">
        <v>385</v>
      </c>
      <c r="C46" s="175">
        <v>1</v>
      </c>
      <c r="D46" s="174">
        <v>1</v>
      </c>
      <c r="E46" s="179">
        <f>F29</f>
        <v>52.859166666666674</v>
      </c>
      <c r="F46" s="179">
        <f>D46*E46</f>
        <v>52.859166666666674</v>
      </c>
    </row>
    <row r="47" spans="1:6">
      <c r="A47" s="550"/>
      <c r="B47" s="175" t="s">
        <v>386</v>
      </c>
      <c r="C47" s="175">
        <v>1</v>
      </c>
      <c r="D47" s="174">
        <v>1</v>
      </c>
      <c r="E47" s="179">
        <f>F29</f>
        <v>52.859166666666674</v>
      </c>
      <c r="F47" s="179">
        <f>D47*E47</f>
        <v>52.859166666666674</v>
      </c>
    </row>
    <row r="48" spans="1:6">
      <c r="A48" s="550"/>
      <c r="B48" s="175" t="s">
        <v>378</v>
      </c>
      <c r="C48" s="175">
        <v>1</v>
      </c>
      <c r="D48" s="174">
        <v>2</v>
      </c>
      <c r="E48" s="179">
        <f>F15</f>
        <v>28.138958333333335</v>
      </c>
      <c r="F48" s="179">
        <f>D48*E48</f>
        <v>56.27791666666667</v>
      </c>
    </row>
    <row r="49" spans="1:6">
      <c r="A49" s="552" t="s">
        <v>379</v>
      </c>
      <c r="B49" s="553"/>
      <c r="C49" s="177">
        <f>SUM(C45:C48)</f>
        <v>4</v>
      </c>
      <c r="D49" s="177">
        <f>SUM(D45:D48)</f>
        <v>6</v>
      </c>
      <c r="E49" s="178">
        <f>SUM(E45:E48)</f>
        <v>161.99625000000003</v>
      </c>
      <c r="F49" s="178">
        <f>SUM(F45:F48)</f>
        <v>218.2741666666667</v>
      </c>
    </row>
    <row r="50" spans="1:6">
      <c r="A50" s="1"/>
      <c r="B50" s="2"/>
      <c r="C50" s="2"/>
      <c r="D50" s="2"/>
      <c r="E50" s="2"/>
      <c r="F50" s="1"/>
    </row>
    <row r="51" spans="1:6" ht="24.95" customHeight="1">
      <c r="A51" s="546" t="s">
        <v>382</v>
      </c>
      <c r="B51" s="547"/>
      <c r="C51" s="547"/>
      <c r="D51" s="547"/>
      <c r="E51" s="547"/>
      <c r="F51" s="547"/>
    </row>
    <row r="53" spans="1:6">
      <c r="A53" s="546" t="s">
        <v>387</v>
      </c>
      <c r="B53" s="547"/>
      <c r="C53" s="547"/>
      <c r="D53" s="547"/>
      <c r="E53" s="547"/>
      <c r="F53" s="547"/>
    </row>
  </sheetData>
  <mergeCells count="24">
    <mergeCell ref="A38:E38"/>
    <mergeCell ref="A39:E39"/>
    <mergeCell ref="A40:E40"/>
    <mergeCell ref="A14:E14"/>
    <mergeCell ref="A17:F17"/>
    <mergeCell ref="A18:B18"/>
    <mergeCell ref="A27:E27"/>
    <mergeCell ref="A28:E28"/>
    <mergeCell ref="A32:F32"/>
    <mergeCell ref="A29:E29"/>
    <mergeCell ref="A1:F1"/>
    <mergeCell ref="A2:B2"/>
    <mergeCell ref="A13:E13"/>
    <mergeCell ref="A15:E15"/>
    <mergeCell ref="A33:B33"/>
    <mergeCell ref="A53:F53"/>
    <mergeCell ref="E43:F43"/>
    <mergeCell ref="A51:F51"/>
    <mergeCell ref="A45:A48"/>
    <mergeCell ref="A43:A44"/>
    <mergeCell ref="B43:B44"/>
    <mergeCell ref="C43:C44"/>
    <mergeCell ref="D43:D44"/>
    <mergeCell ref="A49:B49"/>
  </mergeCell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Consolidação</vt:lpstr>
      <vt:lpstr>12x36 DIURNO</vt:lpstr>
      <vt:lpstr>12x36 NOTURNO</vt:lpstr>
      <vt:lpstr>40H Diurno (7h_15h)</vt:lpstr>
      <vt:lpstr>40h Diurno (15h_23h)</vt:lpstr>
      <vt:lpstr>Uniformes</vt:lpstr>
      <vt:lpstr>Equipamentos</vt:lpstr>
      <vt:lpstr>'12x36 DIURNO'!Area_de_impressao</vt:lpstr>
      <vt:lpstr>'12x36 NOTURNO'!Area_de_impressao</vt:lpstr>
      <vt:lpstr>'40h Diurno (15h_23h)'!Area_de_impressao</vt:lpstr>
      <vt:lpstr>'40H Diurno (7h_15h)'!Area_de_impressao</vt:lpstr>
      <vt:lpstr>Consolidação!Area_de_impressao</vt:lpstr>
      <vt:lpstr>Equipamentos!Area_de_impressao</vt:lpstr>
      <vt:lpstr>Uniformes!Area_de_impressao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Hélio Justo</dc:creator>
  <cp:lastModifiedBy>Andréia Maria Pruinelli</cp:lastModifiedBy>
  <cp:lastPrinted>2024-03-12T16:47:43Z</cp:lastPrinted>
  <dcterms:created xsi:type="dcterms:W3CDTF">2022-04-26T00:10:00Z</dcterms:created>
  <dcterms:modified xsi:type="dcterms:W3CDTF">2024-06-14T13:33:51Z</dcterms:modified>
</cp:coreProperties>
</file>