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835" tabRatio="527" activeTab="1"/>
  </bookViews>
  <sheets>
    <sheet name="Plan" sheetId="1" r:id="rId1"/>
    <sheet name="ViG Dur inicio rendição" sheetId="8" r:id="rId2"/>
  </sheets>
  <definedNames>
    <definedName name="_xlnm.Print_Area" localSheetId="0">Plan!#REF!</definedName>
    <definedName name="_xlnm.Print_Area" localSheetId="1">'ViG Dur inicio rendição'!$A$2:$I$211</definedName>
    <definedName name="Excel_BuiltIn_Print_Area" localSheetId="0">#REF!</definedName>
  </definedNames>
  <calcPr calcId="145621"/>
</workbook>
</file>

<file path=xl/calcChain.xml><?xml version="1.0" encoding="utf-8"?>
<calcChain xmlns="http://schemas.openxmlformats.org/spreadsheetml/2006/main">
  <c r="G190" i="8" l="1"/>
  <c r="G193" i="8"/>
  <c r="H193" i="8"/>
  <c r="G194" i="8"/>
  <c r="H194" i="8"/>
  <c r="H16" i="8"/>
  <c r="H26" i="8"/>
  <c r="H32" i="8"/>
  <c r="H31" i="8"/>
  <c r="I39" i="8"/>
  <c r="I73" i="8"/>
  <c r="H62" i="8"/>
  <c r="H68" i="8"/>
  <c r="I79" i="8"/>
  <c r="I147" i="8"/>
  <c r="I182" i="8"/>
  <c r="H169" i="8"/>
  <c r="G191" i="8"/>
  <c r="H191" i="8"/>
  <c r="G195" i="8"/>
  <c r="H195" i="8"/>
  <c r="G202" i="8"/>
  <c r="I40" i="8"/>
  <c r="H29" i="8"/>
  <c r="I42" i="8"/>
  <c r="I53" i="8"/>
  <c r="I103" i="8"/>
  <c r="H30" i="8"/>
  <c r="H27" i="8"/>
  <c r="I123" i="8"/>
  <c r="G196" i="8"/>
  <c r="I85" i="8"/>
  <c r="H190" i="8"/>
  <c r="H28" i="8"/>
  <c r="I129" i="8"/>
  <c r="I130" i="8"/>
  <c r="I44" i="8"/>
  <c r="I45" i="8"/>
  <c r="I74" i="8"/>
  <c r="I47" i="8"/>
  <c r="I111" i="8"/>
  <c r="I107" i="8"/>
  <c r="I101" i="8"/>
  <c r="I102" i="8"/>
  <c r="I115" i="8"/>
  <c r="I54" i="8"/>
  <c r="I124" i="8"/>
  <c r="I125" i="8"/>
  <c r="I84" i="8"/>
  <c r="I87" i="8"/>
  <c r="I94" i="8"/>
  <c r="I178" i="8"/>
  <c r="I55" i="8"/>
  <c r="I99" i="8"/>
  <c r="I100" i="8"/>
  <c r="I104" i="8"/>
  <c r="I180" i="8"/>
  <c r="I92" i="8"/>
  <c r="I65" i="8"/>
  <c r="I63" i="8"/>
  <c r="I66" i="8"/>
  <c r="I60" i="8"/>
  <c r="I67" i="8"/>
  <c r="I62" i="8"/>
  <c r="I61" i="8"/>
  <c r="I64" i="8"/>
  <c r="I127" i="8"/>
  <c r="I132" i="8"/>
  <c r="I138" i="8"/>
  <c r="I126" i="8"/>
  <c r="I112" i="8"/>
  <c r="I114" i="8"/>
  <c r="I113" i="8"/>
  <c r="I116" i="8"/>
  <c r="I68" i="8"/>
  <c r="I93" i="8"/>
  <c r="I95" i="8"/>
  <c r="I117" i="8"/>
  <c r="I118" i="8"/>
  <c r="I119" i="8"/>
  <c r="I137" i="8"/>
  <c r="I139" i="8"/>
  <c r="I179" i="8"/>
  <c r="I181" i="8"/>
  <c r="I153" i="8"/>
  <c r="I154" i="8"/>
  <c r="I183" i="8"/>
  <c r="I155" i="8"/>
  <c r="I156" i="8"/>
  <c r="I157" i="8"/>
  <c r="I161" i="8"/>
  <c r="I160" i="8"/>
  <c r="I166" i="8"/>
  <c r="I169" i="8"/>
  <c r="I167" i="8"/>
  <c r="I184" i="8"/>
  <c r="I185" i="8"/>
  <c r="E192" i="8"/>
  <c r="H192" i="8"/>
  <c r="H196" i="8"/>
  <c r="G200" i="8"/>
  <c r="G204" i="8"/>
</calcChain>
</file>

<file path=xl/sharedStrings.xml><?xml version="1.0" encoding="utf-8"?>
<sst xmlns="http://schemas.openxmlformats.org/spreadsheetml/2006/main" count="289" uniqueCount="195">
  <si>
    <r>
      <t xml:space="preserve">Total da Remuneração de verbas de natureza indenizatória, nas quais não incidem INSS, FGTS, Férias, 13º, etc. - </t>
    </r>
    <r>
      <rPr>
        <b/>
        <sz val="11"/>
        <color indexed="12"/>
        <rFont val="Arial"/>
        <family val="2"/>
      </rPr>
      <t>Valor entra nos seguintes cálculos: Item 2, "A" - Quadro-Resumo do Custo por Posto de Trabalho, Custos Indiretos, Lucro e Tributos.</t>
    </r>
  </si>
  <si>
    <r>
      <t xml:space="preserve">Total da Remuneração de verbas de natureza indenizatória, nas quais não incidem INSS, FGTS, Férias, 13º, etc. - </t>
    </r>
    <r>
      <rPr>
        <b/>
        <sz val="11"/>
        <color indexed="12"/>
        <rFont val="Arial"/>
        <family val="2"/>
      </rPr>
      <t>Valor entra nos seguintes cálculos: Custos Indiretos, Lucro e Tributos.</t>
    </r>
  </si>
  <si>
    <t>Total que incide INSS + FGTS + Férias + 13º, etc.</t>
  </si>
  <si>
    <t>Nº do processo:</t>
  </si>
  <si>
    <t>Licitação nº: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</si>
  <si>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</si>
  <si>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</si>
  <si>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</si>
  <si>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</si>
  <si>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</si>
  <si>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</si>
  <si>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</si>
  <si>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</si>
  <si>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</si>
  <si>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>IDENTIFICAÇÃO DO SERVIÇO</t>
  </si>
  <si>
    <t xml:space="preserve">Tipo de serviço:
                  Vigilância e Segurança Armada e Desarmada                                                                                            </t>
  </si>
  <si>
    <t>Unidade
 de 
Medida</t>
  </si>
  <si>
    <t xml:space="preserve">Quantidade total a contratar (Em função da unidade de medida) </t>
  </si>
  <si>
    <t>posto</t>
  </si>
  <si>
    <t>-</t>
  </si>
  <si>
    <t>12  x 36 horas diurnas - de segunda-feira a domingo</t>
  </si>
  <si>
    <t>12 x 36 horas noturnas - de segunda-feira a domingo</t>
  </si>
  <si>
    <t>TOTAL DE POSTOS</t>
  </si>
  <si>
    <t>Dados complementares para composição dos custos referente à mão de obra</t>
  </si>
  <si>
    <t>Tipo de serviço (mesmo serviço com características distintas)</t>
  </si>
  <si>
    <t xml:space="preserve">Vigilância e Segurança Armada </t>
  </si>
  <si>
    <t>Classificação Brasileira de Ocupações (CBO)</t>
  </si>
  <si>
    <t>5173-30</t>
  </si>
  <si>
    <t>Salário Normativo da Categoria Profissional</t>
  </si>
  <si>
    <t xml:space="preserve">Categoria Profissional (vinculada à execução contratual) </t>
  </si>
  <si>
    <t>vigilante</t>
  </si>
  <si>
    <t>Adicional de troca de uniforme</t>
  </si>
  <si>
    <t>Quantidade de vigilantes por posto de serviço</t>
  </si>
  <si>
    <t>Módulo 1: Composição da Remuneração (por Posto)</t>
  </si>
  <si>
    <t>Composição da Remuneração (por Posto)</t>
  </si>
  <si>
    <t>Percentual (%)</t>
  </si>
  <si>
    <t xml:space="preserve">Valor 
(R$) </t>
  </si>
  <si>
    <r>
      <t xml:space="preserve">Salário-Base            </t>
    </r>
    <r>
      <rPr>
        <b/>
        <sz val="10"/>
        <color indexed="10"/>
        <rFont val="Arial"/>
        <family val="2"/>
      </rPr>
      <t xml:space="preserve"> (valor para 2 vigilantes = 1 posto) </t>
    </r>
  </si>
  <si>
    <t>E</t>
  </si>
  <si>
    <t>F</t>
  </si>
  <si>
    <r>
      <t>Adicional de Periculosidade</t>
    </r>
    <r>
      <rPr>
        <b/>
        <sz val="10"/>
        <color indexed="10"/>
        <rFont val="Arial"/>
        <family val="2"/>
      </rPr>
      <t xml:space="preserve"> (Lei nº 12.740/2012)    (30% das rubricas pertinentes) </t>
    </r>
  </si>
  <si>
    <t>G</t>
  </si>
  <si>
    <t xml:space="preserve">Outros (especificar)                      </t>
  </si>
  <si>
    <t xml:space="preserve">Total </t>
  </si>
  <si>
    <t>Módulo 2 : Encargos e Benefícios Anuais, Mensais e Diários</t>
  </si>
  <si>
    <t>2.1</t>
  </si>
  <si>
    <t>Valor (R$)</t>
  </si>
  <si>
    <t>Total</t>
  </si>
  <si>
    <t>2.2</t>
  </si>
  <si>
    <t>GPS, FGTS e outras contribuições</t>
  </si>
  <si>
    <t>Valor
 (R$)</t>
  </si>
  <si>
    <t xml:space="preserve">INSS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</si>
  <si>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</si>
  <si>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t>RAT =</t>
  </si>
  <si>
    <t xml:space="preserve"> FAP =</t>
  </si>
  <si>
    <t xml:space="preserve">SESC ou SESI                                                                                                 </t>
  </si>
  <si>
    <t xml:space="preserve">SENAC ou SENAI                                                                                           </t>
  </si>
  <si>
    <t xml:space="preserve">SEBRAE                                                                                                              </t>
  </si>
  <si>
    <t xml:space="preserve">INCRA                                                                                                                  </t>
  </si>
  <si>
    <t>H</t>
  </si>
  <si>
    <t xml:space="preserve">FGTS                                                                                                                 </t>
  </si>
  <si>
    <t>Submódulo 2.3 – Benefícios Mensais e Diários</t>
  </si>
  <si>
    <t>2.3</t>
  </si>
  <si>
    <t>Benefícios Mensais e Diários</t>
  </si>
  <si>
    <r>
      <t xml:space="preserve">     </t>
    </r>
    <r>
      <rPr>
        <b/>
        <sz val="10"/>
        <color indexed="10"/>
        <rFont val="Arial"/>
        <family val="2"/>
      </rPr>
      <t xml:space="preserve"> A.2) Quantidade de passagens por dia por empregado</t>
    </r>
  </si>
  <si>
    <r>
      <t xml:space="preserve">Auxílio-Refeição/Alimentação  </t>
    </r>
    <r>
      <rPr>
        <b/>
        <sz val="10"/>
        <color indexed="10"/>
        <rFont val="Arial"/>
        <family val="2"/>
      </rPr>
      <t>Cálculo do valor = [(30xVA)x(1-0,20)]</t>
    </r>
  </si>
  <si>
    <r>
      <t xml:space="preserve">     </t>
    </r>
    <r>
      <rPr>
        <b/>
        <sz val="10"/>
        <color indexed="10"/>
        <rFont val="Arial"/>
        <family val="2"/>
      </rPr>
      <t xml:space="preserve"> B.2) Quantidade de dias do mês de recebimento de auxílio-alimentação</t>
    </r>
  </si>
  <si>
    <t>Assistência Médica e Familiar</t>
  </si>
  <si>
    <t>Outros (especificar)</t>
  </si>
  <si>
    <t>Quadro-Resumo do Módulo 2 – Encargos e Benefícios Anuais, Mensais e Diários</t>
  </si>
  <si>
    <t>Encargos e Benefícios Anuais, Mensais e Diários</t>
  </si>
  <si>
    <t>Módulo 3 - Provisão para Rescisão</t>
  </si>
  <si>
    <t>Incidência do FGTS sobre o Aviso Prévio Indenizado</t>
  </si>
  <si>
    <t>Incidência dos encargos  do Submódulo 2.2 sobre o Aviso Prévio Trabalhado</t>
  </si>
  <si>
    <t>Módulo 4 - Custo de Reposição do Profissional Ausente</t>
  </si>
  <si>
    <t>Submódulo 4.1 – Ausências Legais</t>
  </si>
  <si>
    <t>4.1</t>
  </si>
  <si>
    <t>Ausências Legais</t>
  </si>
  <si>
    <r>
      <t xml:space="preserve">Ausências Legais               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/30)x2,96dias]/12 </t>
    </r>
  </si>
  <si>
    <r>
      <t xml:space="preserve">Licença-Paternidade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/30)x5dias]/12}x1,5% </t>
    </r>
  </si>
  <si>
    <r>
      <t xml:space="preserve">Ausência por acidente de trabalho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/30)x15dias]/12}x0,78% </t>
    </r>
  </si>
  <si>
    <r>
      <t xml:space="preserve">(Outros) </t>
    </r>
    <r>
      <rPr>
        <b/>
        <sz val="10"/>
        <color indexed="12"/>
        <rFont val="Arial"/>
        <family val="2"/>
      </rPr>
      <t xml:space="preserve">Ausência por doença (incluído)   </t>
    </r>
    <r>
      <rPr>
        <b/>
        <sz val="10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/30)x3dias]/12       </t>
    </r>
  </si>
  <si>
    <t>Incidência dos encargos do Submódulo 2.2 sobre o total do Submódulo 4.1</t>
  </si>
  <si>
    <t>Submódulo 4.2 – Intrajornada</t>
  </si>
  <si>
    <t xml:space="preserve">4.2 </t>
  </si>
  <si>
    <t>Intrajornada</t>
  </si>
  <si>
    <t>Incidência dos encargos do Submódulo 2.2 sobre o total do Submódulo 4.2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</si>
  <si>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</si>
  <si>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</si>
  <si>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</si>
  <si>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</si>
  <si>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</si>
  <si>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>Nota: Valores mensais por empregado</t>
  </si>
  <si>
    <t>Módulo 6 - Custos Indiretos, Lucro e Tributos</t>
  </si>
  <si>
    <t xml:space="preserve">Custos Indiretos, Lucro e Tributos </t>
  </si>
  <si>
    <t>Custos Indiretos</t>
  </si>
  <si>
    <t>Lucro</t>
  </si>
  <si>
    <t>Tributos</t>
  </si>
  <si>
    <t>C.1    Tributos federais (especificar)</t>
  </si>
  <si>
    <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Real ou Presumido)</t>
    </r>
  </si>
  <si>
    <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>(depende do regime de tributação - utilizada a hipótese de Lucro Real ou Presumido)</t>
    </r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</si>
  <si>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</si>
  <si>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</si>
  <si>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</si>
  <si>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</si>
  <si>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</si>
  <si>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</si>
  <si>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</si>
  <si>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t>Nota 1: Custos Indiretos, Lucro e Tributos por empregado.
Nota 2: O valor referente a tributos é obtido aplicando-se o percentual sobre o valor do faturamento.</t>
  </si>
  <si>
    <r>
      <t xml:space="preserve">
</t>
    </r>
    <r>
      <rPr>
        <b/>
        <sz val="11"/>
        <rFont val="Arial"/>
        <family val="2"/>
      </rPr>
      <t xml:space="preserve">2. QUADRO-RESUMO DO CUSTO POR POSTO DE TRABALHO
</t>
    </r>
  </si>
  <si>
    <t>Mão de obra vinculada à execução contratual (valor por Posto de Trabalho)</t>
  </si>
  <si>
    <t>Módulo 2 – Encargos e Benefícios Anuais, Mensais e Diários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</si>
  <si>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</si>
  <si>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</si>
  <si>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</si>
  <si>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</si>
  <si>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Valor Total por Posto</t>
  </si>
  <si>
    <t>3.  COMPLEMENTO DOS SERVIÇOS DE VIGILÂNCIA – VALOR MENSAL DOS SERVIÇOS</t>
  </si>
  <si>
    <t>ESCALA DE TRABALHO</t>
  </si>
  <si>
    <t>PREÇO MENSAL DO POSTO  
(R$)</t>
  </si>
  <si>
    <t>NÚMERO DE POSTOS</t>
  </si>
  <si>
    <t>SUBTOTAL
(R$)</t>
  </si>
  <si>
    <t>44 (quarenta e quatro) horas semanais diurnas, de segunda a sexta-feira envolvendo 1 (um) vigilante</t>
  </si>
  <si>
    <t xml:space="preserve">12 horas diurnas, de segunda-feira a domingo, envolvendo 2 (dois) vigilantes em turnos de  12 (doze) por 36 (trinta e seis) horas </t>
  </si>
  <si>
    <t xml:space="preserve">12 horas noturnas, de segunda-feira a domingo, envolvendo 2 (dois) vigilantes em turnos de  12 (doze) por 36 (trinta e seis) horas </t>
  </si>
  <si>
    <t xml:space="preserve">12 horas diurnas, de segunda-feira à sexta-feira, envolvendo 2 (dois) vigilantes em turnos de  12 (doze) por 36 (trinta e seis) horas </t>
  </si>
  <si>
    <t xml:space="preserve">12 horas noturnas, de segunda-feira à sexta-feira, envolvendo 2 (dois) vigilantes em turnos de  12 (doze) por 36 (trinta e seis) horas </t>
  </si>
  <si>
    <r>
      <t xml:space="preserve">Outros (especificar) </t>
    </r>
    <r>
      <rPr>
        <b/>
        <sz val="14"/>
        <color indexed="10"/>
        <rFont val="Arial"/>
        <family val="2"/>
      </rPr>
      <t>(excluir linhas que não serão utilizadas)</t>
    </r>
  </si>
  <si>
    <t>TOTAL:</t>
  </si>
  <si>
    <t xml:space="preserve">Nota: Nos casos de inclusão de outros tipos de postos, observar o disposto no item 4 do Anexo VI-A, desta Instrução Normativa </t>
  </si>
  <si>
    <t>Valor mensal do serviço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</si>
  <si>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</si>
  <si>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</si>
  <si>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Tipo de Mão de Obra</t>
  </si>
  <si>
    <t>Quantidade de Pessoal</t>
  </si>
  <si>
    <t>Vigilante</t>
  </si>
  <si>
    <r>
      <t xml:space="preserve">Valor do salárioxhora sem periculosidade
</t>
    </r>
    <r>
      <rPr>
        <b/>
        <sz val="10"/>
        <color indexed="12"/>
        <rFont val="Arial"/>
        <family val="2"/>
      </rPr>
      <t>VSH (s/peri)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(Valor do salário normativo / 220 h)</t>
    </r>
  </si>
  <si>
    <r>
      <t xml:space="preserve">Valor do salárioxhora com periculosidade
</t>
    </r>
    <r>
      <rPr>
        <b/>
        <sz val="10"/>
        <color indexed="12"/>
        <rFont val="Arial"/>
        <family val="2"/>
      </rPr>
      <t>VSH (c/peri)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(valor da hora + 30% de peri)</t>
    </r>
  </si>
  <si>
    <r>
      <t xml:space="preserve">Valor da hora extra com periculosidade com 50% 
</t>
    </r>
    <r>
      <rPr>
        <b/>
        <sz val="10"/>
        <color indexed="12"/>
        <rFont val="Arial"/>
        <family val="2"/>
      </rPr>
      <t>HE (c/peri) = (valor da hora + 30% de peri) + 50%</t>
    </r>
  </si>
  <si>
    <r>
      <t xml:space="preserve">Valor da hora do adicional noturno com periculosidade
</t>
    </r>
    <r>
      <rPr>
        <b/>
        <sz val="10"/>
        <color indexed="12"/>
        <rFont val="Arial"/>
        <family val="2"/>
      </rPr>
      <t>AN (c/peri)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(valor da hora + 30% de peri) x 20%</t>
    </r>
  </si>
  <si>
    <r>
      <t xml:space="preserve">Valor da hora de  periculosidade
</t>
    </r>
    <r>
      <rPr>
        <b/>
        <sz val="10"/>
        <color indexed="12"/>
        <rFont val="Arial"/>
        <family val="2"/>
      </rPr>
      <t>VHP =</t>
    </r>
    <r>
      <rPr>
        <b/>
        <sz val="10"/>
        <color indexed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(30% do valor da hora sem peri)</t>
    </r>
  </si>
  <si>
    <r>
      <t xml:space="preserve">Valor do adicional de periculosidade              </t>
    </r>
    <r>
      <rPr>
        <b/>
        <sz val="9"/>
        <color indexed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(30% do salário normativo)</t>
    </r>
  </si>
  <si>
    <r>
      <t>GPS, FGTS e outras contribuições</t>
    </r>
    <r>
      <rPr>
        <b/>
        <sz val="11"/>
        <color indexed="25"/>
        <rFont val="Arial"/>
        <family val="2"/>
      </rPr>
      <t xml:space="preserve"> (só dos titulares)</t>
    </r>
  </si>
  <si>
    <r>
      <t xml:space="preserve">RAT x FAP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</si>
  <si>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t>A1</t>
  </si>
  <si>
    <r>
      <t xml:space="preserve">Transporte dos 2 titulares   - </t>
    </r>
    <r>
      <rPr>
        <b/>
        <sz val="10"/>
        <color indexed="10"/>
        <rFont val="Arial"/>
        <family val="2"/>
      </rPr>
      <t xml:space="preserve">Cálculo do valor: [(2xVTx30) – (6%xSB) </t>
    </r>
    <r>
      <rPr>
        <b/>
        <sz val="10"/>
        <color indexed="12"/>
        <rFont val="Arial"/>
        <family val="2"/>
      </rPr>
      <t xml:space="preserve">-   (sendo 2 passagens para o titular do dia) </t>
    </r>
  </si>
  <si>
    <t>A2</t>
  </si>
  <si>
    <t xml:space="preserve">Provisão para Rescisão </t>
  </si>
  <si>
    <r>
      <t xml:space="preserve">Ausências Legais </t>
    </r>
    <r>
      <rPr>
        <b/>
        <sz val="11"/>
        <color indexed="36"/>
        <rFont val="Arial"/>
        <family val="2"/>
      </rPr>
      <t>(só constam a do titular)</t>
    </r>
  </si>
  <si>
    <r>
      <t xml:space="preserve">Materiais / Equipamentos   </t>
    </r>
    <r>
      <rPr>
        <b/>
        <sz val="10"/>
        <color indexed="12"/>
        <rFont val="Arial"/>
        <family val="2"/>
      </rPr>
      <t xml:space="preserve"> Com 1 colete para o posto. É por posto e não por vigilante</t>
    </r>
  </si>
  <si>
    <t xml:space="preserve">       B.3) Participação do empregado em percentual sobre o auxílio-alimentação</t>
  </si>
  <si>
    <t xml:space="preserve">      A.1) Valor da passagem do transporte coletivo no município de
                prestação dos serviços</t>
  </si>
  <si>
    <t xml:space="preserve">      A.2) Quantidade de dias do mês de recebimento de passagens</t>
  </si>
  <si>
    <r>
      <t xml:space="preserve">13 (décimo terceiro) Salário e Adicional de Férias </t>
    </r>
    <r>
      <rPr>
        <b/>
        <sz val="10"/>
        <color indexed="12"/>
        <rFont val="Arial"/>
        <family val="2"/>
        <charset val="1"/>
      </rPr>
      <t>do Almocista</t>
    </r>
    <r>
      <rPr>
        <b/>
        <sz val="10"/>
        <color indexed="8"/>
        <rFont val="Arial"/>
        <family val="2"/>
        <charset val="1"/>
      </rPr>
      <t xml:space="preserve"> –</t>
    </r>
    <r>
      <rPr>
        <b/>
        <sz val="10"/>
        <color indexed="10"/>
        <rFont val="Arial"/>
        <family val="2"/>
        <charset val="1"/>
      </rPr>
      <t xml:space="preserve"> Cálculo do valor: Rem/12 + Rem/12 + (Rem/3)/12</t>
    </r>
  </si>
  <si>
    <r>
      <t xml:space="preserve"> c) IRPJ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39"/>
        <rFont val="Arial"/>
        <family val="2"/>
      </rPr>
      <t>- Em face dos Acórdãos TCU nºs 950/2007-P e 205/2018-P, o licitante não pode cotar expressamente este tributo.</t>
    </r>
  </si>
  <si>
    <r>
      <t xml:space="preserve"> d) CSLL </t>
    </r>
    <r>
      <rPr>
        <b/>
        <sz val="10"/>
        <color indexed="39"/>
        <rFont val="Arial"/>
        <family val="2"/>
      </rPr>
      <t>- Em face dos Acórdãos TCU nºs 950/2007-P e 205/2018-P, o licitante não pode cotar expressamente este tributo.</t>
    </r>
  </si>
  <si>
    <t>Remuneração 1 = Total da Remuneração que incide INSS + FGTS + Férias + 13º, etc.</t>
  </si>
  <si>
    <t>Remuneração 2 = Total da Remuneração que o empregado irá receber</t>
  </si>
  <si>
    <r>
      <t xml:space="preserve">Submódulo 2.2 - Encargos Previdenciários (GPS), Fundo de Garantia por Tempo de Serviço (FGTS) e outras contribuições  </t>
    </r>
    <r>
      <rPr>
        <b/>
        <sz val="11"/>
        <color indexed="12"/>
        <rFont val="Arial"/>
        <family val="2"/>
      </rPr>
      <t>(Base de Cálculo = Módulo 1 (Rem1) + Submódulo 2.1)</t>
    </r>
  </si>
  <si>
    <r>
      <t xml:space="preserve">Aviso Prévio Indenizado     </t>
    </r>
    <r>
      <rPr>
        <b/>
        <sz val="8"/>
        <color indexed="10"/>
        <rFont val="Arial"/>
        <family val="2"/>
      </rPr>
      <t>Cálculo do valor = {Rem1/12 + 13º/12 + Férias/12 + (1/3xFérias)/12]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</si>
  <si>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t xml:space="preserve">Aviso Prévio Trabalhado       </t>
    </r>
    <r>
      <rPr>
        <b/>
        <sz val="10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>negociar extinção/redução na 1ª prorrogação)  Cálculo do valor= [(Rem1/30)x7]/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contratox100% dos empregados </t>
    </r>
    <r>
      <rPr>
        <b/>
        <sz val="10"/>
        <color indexed="12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ao final do contrato  </t>
    </r>
  </si>
  <si>
    <t>BASE DE CÁLCULO DOS CUSTOS INDIRETOS  = 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Diversos)</t>
  </si>
  <si>
    <t>BASE DE CÁLCULO DO LUCRO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Indiretos)</t>
  </si>
  <si>
    <t>BASE DE CÁLCULO DOS TRIBUTOS = (Total do Módulo 1 – Composição da  Remuneração2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</si>
  <si>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Módulo 1 - Composição da Remuneração2</t>
  </si>
  <si>
    <t>Remuneração 1 = Total da Remuneração que incide INSS + FGTS + Férias + 13º, etc</t>
  </si>
  <si>
    <r>
      <t xml:space="preserve">Afastamento maternidade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Rem1</t>
    </r>
    <r>
      <rPr>
        <b/>
        <sz val="10"/>
        <color indexed="10"/>
        <rFont val="Arial"/>
        <family val="2"/>
      </rPr>
      <t>+1/3x</t>
    </r>
    <r>
      <rPr>
        <b/>
        <sz val="10"/>
        <color indexed="12"/>
        <rFont val="Arial"/>
        <family val="2"/>
      </rPr>
      <t>Rem1</t>
    </r>
    <r>
      <rPr>
        <b/>
        <sz val="10"/>
        <color indexed="10"/>
        <rFont val="Arial"/>
        <family val="2"/>
      </rPr>
      <t>)/12]x(4/12)}x2%</t>
    </r>
  </si>
  <si>
    <t>VIGILÂNCIA 12 x 36 DIURNA - Lucro Real e Presumido</t>
  </si>
  <si>
    <t>23361.000217/2018-53</t>
  </si>
  <si>
    <t>Pregão nº 34/2018</t>
  </si>
  <si>
    <t>Canoas/RS</t>
  </si>
  <si>
    <r>
      <t xml:space="preserve">1. MÓDULOS 
</t>
    </r>
    <r>
      <rPr>
        <b/>
        <sz val="12"/>
        <color indexed="8"/>
        <rFont val="Arial"/>
        <family val="2"/>
      </rPr>
      <t>Mão de obra
Mão de obra vinculada à execução contratual</t>
    </r>
  </si>
  <si>
    <r>
      <t xml:space="preserve">Submódulo 2.1 – 13º (décimo terceiro) Salário </t>
    </r>
    <r>
      <rPr>
        <b/>
        <sz val="11"/>
        <color indexed="25"/>
        <rFont val="Arial"/>
        <family val="2"/>
      </rPr>
      <t>(Férias)</t>
    </r>
    <r>
      <rPr>
        <b/>
        <sz val="11"/>
        <color indexed="3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e Adicional de Férias</t>
    </r>
  </si>
  <si>
    <r>
      <t xml:space="preserve">13º (décimo terceiro) Salário </t>
    </r>
    <r>
      <rPr>
        <b/>
        <sz val="10"/>
        <color indexed="25"/>
        <rFont val="Arial"/>
        <family val="2"/>
      </rPr>
      <t>(Férias)</t>
    </r>
    <r>
      <rPr>
        <b/>
        <sz val="10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e Adicional de Férias</t>
    </r>
  </si>
  <si>
    <r>
      <t xml:space="preserve">13º (décimo terceiro) Salário  </t>
    </r>
    <r>
      <rPr>
        <b/>
        <sz val="10"/>
        <color indexed="25"/>
        <rFont val="Arial"/>
        <family val="2"/>
      </rPr>
      <t>(Férias)</t>
    </r>
    <r>
      <rPr>
        <b/>
        <sz val="10"/>
        <color indexed="21"/>
        <rFont val="Arial"/>
        <family val="2"/>
      </rPr>
      <t xml:space="preserve"> </t>
    </r>
    <r>
      <rPr>
        <b/>
        <sz val="10"/>
        <color indexed="8"/>
        <rFont val="Arial"/>
        <family val="2"/>
      </rPr>
      <t>e Adicional de Férias</t>
    </r>
  </si>
  <si>
    <r>
      <t xml:space="preserve">Uniformes   </t>
    </r>
    <r>
      <rPr>
        <b/>
        <sz val="10"/>
        <color indexed="12"/>
        <rFont val="Arial"/>
        <family val="2"/>
      </rPr>
      <t xml:space="preserve">São 2 conjuntos de uniformes (para os 2 vigilantes titulares  - considerado uniforme sem colete)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valor: R$ 120,00 por vigilante  x 2 vigilantes</t>
    </r>
  </si>
  <si>
    <r>
      <t>Uniforme da rendição -</t>
    </r>
    <r>
      <rPr>
        <b/>
        <sz val="10"/>
        <color indexed="12"/>
        <rFont val="Arial"/>
        <family val="2"/>
      </rPr>
      <t xml:space="preserve"> </t>
    </r>
    <r>
      <rPr>
        <b/>
        <sz val="9"/>
        <color indexed="12"/>
        <rFont val="Arial"/>
        <family val="2"/>
      </rPr>
      <t>É 1 conjunto de uniforme sem colete -</t>
    </r>
    <r>
      <rPr>
        <b/>
        <sz val="9"/>
        <color indexed="10"/>
        <rFont val="Arial"/>
        <family val="2"/>
      </rPr>
      <t xml:space="preserve"> Cálculo do valor: R$ 120,00  </t>
    </r>
    <r>
      <rPr>
        <b/>
        <sz val="9"/>
        <color indexed="12"/>
        <rFont val="Arial"/>
        <family val="2"/>
      </rPr>
      <t>Deve-se dividir o valor do uniforme pelo nº de postos em que haverá rendição com o mesmo vigilante no mesmo prédio, no caso considerou-se somente a rendição de 1 posto.</t>
    </r>
  </si>
  <si>
    <t>Ponto Eletrônico</t>
  </si>
  <si>
    <r>
      <t>13º (décimo terceiro) Salário</t>
    </r>
    <r>
      <rPr>
        <b/>
        <sz val="11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8,33% sobre o valor do Módulo 1 – Composição da Remuneração1, conforme Anexo XII da IN 5/17</t>
    </r>
  </si>
  <si>
    <r>
      <t>Multa do FGTS e contribuição social sobre o Aviso PrévioTrabalhado e Aviso Prévio Indenizado</t>
    </r>
    <r>
      <rPr>
        <b/>
        <sz val="8"/>
        <color indexed="10"/>
        <rFont val="Arial"/>
        <family val="2"/>
      </rPr>
      <t xml:space="preserve">Obrigatória a cotação de 5% sobre o valor do Módulo 1 – Composição da Remuneração1, conforme Anexo XII da IN Seges nº 5/2017 </t>
    </r>
  </si>
  <si>
    <r>
      <t>Férias</t>
    </r>
    <r>
      <rPr>
        <b/>
        <sz val="10"/>
        <color indexed="1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9,0755% sobre o valor do Módulo 1 – Composição da Remuneração, conforme Anexo XII da IN 5/17 (Férias + Adicional = 9,075% + 3,025% = 12,10%)</t>
    </r>
  </si>
  <si>
    <r>
      <t>Base de cálculo para o Custo de Reposição do Profissional Ausente (substituto): BCCPA = Rem1 + 13º + Férias + 1/3Férias -</t>
    </r>
    <r>
      <rPr>
        <b/>
        <sz val="11"/>
        <color indexed="32"/>
        <rFont val="Arial"/>
        <family val="2"/>
      </rPr>
      <t xml:space="preserve"> (exceto a linha “A” que tem % fixo pela conta vinculada e o Afastamento Maternidade1)</t>
    </r>
    <r>
      <rPr>
        <b/>
        <sz val="11"/>
        <color indexed="10"/>
        <rFont val="Arial"/>
        <family val="2"/>
      </rPr>
      <t xml:space="preserve"> - </t>
    </r>
    <r>
      <rPr>
        <sz val="10"/>
        <color indexed="8"/>
        <rFont val="Arial"/>
        <family val="2"/>
      </rPr>
      <t xml:space="preserve">Conforme item 89 do Relatório do Acórdão TCU nº 1.753/2008 do Plenário
</t>
    </r>
    <r>
      <rPr>
        <b/>
        <sz val="10"/>
        <color indexed="8"/>
        <rFont val="Arial"/>
        <family val="2"/>
      </rPr>
      <t>OBS A SER EXCLUÍDA:O valor das Férias acima, quando tiver conta vinculada, deve ser o mesmo  do item 4.1.”A” abaixo</t>
    </r>
    <r>
      <rPr>
        <sz val="10"/>
        <color indexed="8"/>
        <rFont val="Arial"/>
        <family val="2"/>
      </rPr>
      <t>. Quando não tem conta vinculada não se pode adotar esse procedimento pois se necessita do valor do BCCPA para se calcular as Férias, o que não é o caso da conta vinculada.</t>
    </r>
  </si>
  <si>
    <r>
      <t xml:space="preserve">Transporte para a rendição -   </t>
    </r>
    <r>
      <rPr>
        <b/>
        <sz val="10"/>
        <color indexed="10"/>
        <rFont val="Arial"/>
        <family val="2"/>
      </rPr>
      <t xml:space="preserve"> Cálculo do valor: [(2xVTx30) – (6%x Rendição=R$ Sal.Norm./220h x 0,5h x 30 dias x 1,2 de RSR)]</t>
    </r>
    <r>
      <rPr>
        <b/>
        <sz val="10"/>
        <rFont val="Arial"/>
        <family val="2"/>
      </rPr>
      <t xml:space="preserve">  </t>
    </r>
    <r>
      <rPr>
        <b/>
        <sz val="9"/>
        <color indexed="12"/>
        <rFont val="Arial"/>
        <family val="2"/>
      </rPr>
      <t xml:space="preserve"> (sendo 2 passagens para a rendição) - Dividir o valor pelo nº de postos em que haverá rendição com o mesmo vigilante sem necessidade de mais transporte, no caso considerou-se somente a rendição de 1 posto.</t>
    </r>
  </si>
  <si>
    <r>
      <t>Intervalo para repouso ou alimentação</t>
    </r>
    <r>
      <rPr>
        <b/>
        <sz val="10"/>
        <color indexed="38"/>
        <rFont val="Arial"/>
        <family val="2"/>
        <charset val="1"/>
      </rPr>
      <t xml:space="preserve"> </t>
    </r>
    <r>
      <rPr>
        <b/>
        <sz val="10"/>
        <color indexed="12"/>
        <rFont val="Arial"/>
        <family val="2"/>
        <charset val="1"/>
      </rPr>
      <t xml:space="preserve">(Rendição para almoço) - Remuneração do Almocista - </t>
    </r>
    <r>
      <rPr>
        <b/>
        <sz val="10"/>
        <color indexed="25"/>
        <rFont val="Arial"/>
        <family val="2"/>
        <charset val="1"/>
      </rPr>
      <t xml:space="preserve">Cálculo do valor: </t>
    </r>
    <r>
      <rPr>
        <b/>
        <sz val="10"/>
        <color indexed="12"/>
        <rFont val="Arial"/>
        <family val="2"/>
        <charset val="1"/>
      </rPr>
      <t>Salário-Base:</t>
    </r>
    <r>
      <rPr>
        <b/>
        <sz val="10"/>
        <color indexed="25"/>
        <rFont val="Arial"/>
        <family val="2"/>
        <charset val="1"/>
      </rPr>
      <t xml:space="preserve"> [VSH (c/peri) x  0,5h/dia x 30 dias x 1,2 RSR </t>
    </r>
  </si>
  <si>
    <r>
      <t xml:space="preserve">  a) ISS             </t>
    </r>
    <r>
      <rPr>
        <b/>
        <sz val="10"/>
        <color indexed="10"/>
        <rFont val="Arial"/>
        <family val="2"/>
      </rPr>
      <t>(Conforme item 11.02 Anexo I Lei Municipal 4818/2003 de Canoas)</t>
    </r>
  </si>
  <si>
    <r>
      <t xml:space="preserve">      </t>
    </r>
    <r>
      <rPr>
        <b/>
        <sz val="10"/>
        <color indexed="10"/>
        <rFont val="Arial"/>
        <family val="2"/>
      </rPr>
      <t>B.1) Valor do Auxílio-Alimentação  (cláusula 34 da CCT 2018/2020)</t>
    </r>
  </si>
  <si>
    <r>
      <t xml:space="preserve">Seguro de Vida </t>
    </r>
    <r>
      <rPr>
        <b/>
        <sz val="10"/>
        <color indexed="10"/>
        <rFont val="Arial"/>
        <family val="2"/>
      </rPr>
      <t>(cláusula 39 da CCT 2018/2020)</t>
    </r>
    <r>
      <rPr>
        <b/>
        <sz val="9"/>
        <color indexed="10"/>
        <rFont val="Arial"/>
        <family val="2"/>
      </rPr>
      <t xml:space="preserve"> Cálculo do valor: 26 x (Rem  + Rem da Rendição)x 0,023%</t>
    </r>
  </si>
  <si>
    <r>
      <t xml:space="preserve">Auxílio-Funeral   </t>
    </r>
    <r>
      <rPr>
        <b/>
        <sz val="10"/>
        <color indexed="10"/>
        <rFont val="Arial"/>
        <family val="2"/>
      </rPr>
      <t>(cláusula 38 da CCT 2018/2020) Cálculo do valor: [(SB + (salário da rendição= Sal.Norm./220h x 30 d x 1,2 DSR)x 0,52066%)/12]</t>
    </r>
  </si>
  <si>
    <r>
      <t xml:space="preserve">ANEXO </t>
    </r>
    <r>
      <rPr>
        <b/>
        <sz val="12"/>
        <color indexed="10"/>
        <rFont val="Arial"/>
        <family val="2"/>
      </rPr>
      <t xml:space="preserve">do Pregão nº 34/2018- </t>
    </r>
    <r>
      <rPr>
        <b/>
        <sz val="12"/>
        <color indexed="12"/>
        <rFont val="Arial"/>
        <family val="2"/>
      </rPr>
      <t xml:space="preserve">Com Periculosidade NO INÍCIO
Conta Vinculada – </t>
    </r>
    <r>
      <rPr>
        <b/>
        <u/>
        <sz val="12"/>
        <color indexed="12"/>
        <rFont val="Arial"/>
        <family val="2"/>
      </rPr>
      <t>Com Rendição</t>
    </r>
    <r>
      <rPr>
        <b/>
        <sz val="12"/>
        <color indexed="12"/>
        <rFont val="Arial"/>
        <family val="2"/>
      </rPr>
      <t xml:space="preserve">
</t>
    </r>
    <r>
      <rPr>
        <b/>
        <sz val="12"/>
        <rFont val="Arial"/>
        <family val="2"/>
      </rPr>
      <t xml:space="preserve">MODELO DE PLANILHA DE CUSTOS E FORMAÇÃO DE PREÇOS </t>
    </r>
    <r>
      <rPr>
        <b/>
        <sz val="12"/>
        <color indexed="2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</si>
  <si>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Férias e Adicional de Férias</t>
    </r>
    <r>
      <rPr>
        <b/>
        <sz val="10"/>
        <color indexed="1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3,025% sobre o valor do Módulo 1 – Composição da Remuneração1, conforme Anexo XII da IN 5/17 (Férias + Adicional = 9,075% + 3,025% = 12,10%)</t>
    </r>
  </si>
  <si>
    <r>
      <t xml:space="preserve">Adicional de Troca de Uniforme -  </t>
    </r>
    <r>
      <rPr>
        <b/>
        <sz val="10"/>
        <color indexed="10"/>
        <rFont val="Arial"/>
        <family val="2"/>
      </rPr>
      <t xml:space="preserve">Cálculo do valor: 1/6 do salário x hora por dia = (VSH/6=1,10)x2x15 = R$ 1,10x2x15 </t>
    </r>
    <r>
      <rPr>
        <b/>
        <sz val="10"/>
        <rFont val="Arial"/>
        <family val="2"/>
      </rPr>
      <t xml:space="preserve"> cláusula 32ª da CCT 2018/2020 </t>
    </r>
  </si>
  <si>
    <t xml:space="preserve">     A.4) Participação do empregado em percentual do salário-base </t>
  </si>
  <si>
    <r>
      <t xml:space="preserve">Adicional de Troca de Uniforme -  </t>
    </r>
    <r>
      <rPr>
        <b/>
        <sz val="10"/>
        <color indexed="10"/>
        <rFont val="Arial"/>
        <family val="2"/>
      </rPr>
      <t xml:space="preserve">Cálculo do valor: 1/6 do salário x hora por dia = (VSH/6=1,10)x2x15 = R$ 1,10x2x15 </t>
    </r>
    <r>
      <rPr>
        <b/>
        <sz val="10"/>
        <rFont val="Arial"/>
        <family val="2"/>
      </rPr>
      <t xml:space="preserve"> cláusula 32 da CCT 2018/2020</t>
    </r>
  </si>
  <si>
    <t>QUANTIDADE DE PESSOAL ALOCADO NA EXECUÇÃO CONTRATUAL (item 6.2.e do Anexo VII da IN nº 5/2017)</t>
  </si>
  <si>
    <t>Dia: 24/08/2018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</si>
</sst>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\-??_);_(@_)"/>
    <numFmt numFmtId="165" formatCode="_(&quot;R$ &quot;* #,##0.00_);_(&quot;R$ &quot;* \(#,##0.00\);_(&quot;R$ &quot;* \-??_);_(@_)"/>
    <numFmt numFmtId="166" formatCode="&quot;R$ &quot;#,##0.00"/>
    <numFmt numFmtId="167" formatCode="0.0000"/>
    <numFmt numFmtId="168" formatCode="0.0000%"/>
    <numFmt numFmtId="169" formatCode="0.000%"/>
  </numFmts>
  <fonts count="6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25"/>
      <name val="Arial"/>
      <family val="2"/>
    </font>
    <font>
      <b/>
      <sz val="11"/>
      <color indexed="38"/>
      <name val="Arial"/>
      <family val="2"/>
    </font>
    <font>
      <b/>
      <sz val="10"/>
      <color indexed="25"/>
      <name val="Arial"/>
      <family val="2"/>
    </font>
    <font>
      <b/>
      <sz val="10"/>
      <color indexed="3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  <charset val="1"/>
    </font>
    <font>
      <b/>
      <sz val="11"/>
      <color indexed="12"/>
      <name val="Arial"/>
      <family val="2"/>
    </font>
    <font>
      <sz val="9"/>
      <color indexed="3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11"/>
      <color indexed="36"/>
      <name val="Arial"/>
      <family val="2"/>
    </font>
    <font>
      <b/>
      <sz val="10"/>
      <color indexed="38"/>
      <name val="Arial"/>
      <family val="2"/>
      <charset val="1"/>
    </font>
    <font>
      <b/>
      <sz val="10"/>
      <color indexed="12"/>
      <name val="Arial"/>
      <family val="2"/>
      <charset val="1"/>
    </font>
    <font>
      <b/>
      <sz val="10"/>
      <color indexed="25"/>
      <name val="Arial"/>
      <family val="2"/>
      <charset val="1"/>
    </font>
    <font>
      <b/>
      <sz val="10"/>
      <color indexed="10"/>
      <name val="Arial"/>
      <family val="2"/>
      <charset val="1"/>
    </font>
    <font>
      <sz val="11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2"/>
      <color indexed="2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color indexed="19"/>
      <name val="Arial"/>
      <family val="2"/>
    </font>
    <font>
      <b/>
      <sz val="11"/>
      <color indexed="61"/>
      <name val="Arial"/>
      <family val="2"/>
    </font>
    <font>
      <b/>
      <sz val="11"/>
      <color indexed="3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8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28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5" fontId="57" fillId="0" borderId="0" applyFill="0" applyBorder="0" applyAlignment="0" applyProtection="0"/>
    <xf numFmtId="0" fontId="9" fillId="22" borderId="0" applyNumberFormat="0" applyBorder="0" applyAlignment="0" applyProtection="0"/>
    <xf numFmtId="0" fontId="57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64" fontId="57" fillId="0" borderId="0" applyFill="0" applyBorder="0" applyAlignment="0" applyProtection="0"/>
  </cellStyleXfs>
  <cellXfs count="272">
    <xf numFmtId="0" fontId="0" fillId="0" borderId="0" xfId="0"/>
    <xf numFmtId="0" fontId="18" fillId="0" borderId="0" xfId="0" applyFont="1"/>
    <xf numFmtId="0" fontId="18" fillId="24" borderId="0" xfId="0" applyFont="1" applyFill="1"/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22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10" fontId="18" fillId="0" borderId="0" xfId="43" applyNumberFormat="1" applyFont="1" applyFill="1" applyBorder="1" applyAlignment="1" applyProtection="1">
      <alignment horizontal="center" vertical="center"/>
    </xf>
    <xf numFmtId="165" fontId="18" fillId="0" borderId="0" xfId="31" applyFont="1" applyFill="1" applyBorder="1" applyAlignment="1" applyProtection="1">
      <alignment vertical="center"/>
    </xf>
    <xf numFmtId="0" fontId="19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19" fillId="22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" fontId="19" fillId="0" borderId="10" xfId="0" applyNumberFormat="1" applyFont="1" applyFill="1" applyBorder="1" applyAlignment="1">
      <alignment vertical="center"/>
    </xf>
    <xf numFmtId="10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4" fontId="21" fillId="22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/>
    </xf>
    <xf numFmtId="4" fontId="25" fillId="22" borderId="10" xfId="0" applyNumberFormat="1" applyFont="1" applyFill="1" applyBorder="1" applyAlignment="1">
      <alignment horizontal="right" vertical="center"/>
    </xf>
    <xf numFmtId="0" fontId="18" fillId="0" borderId="0" xfId="0" applyFont="1" applyFill="1"/>
    <xf numFmtId="0" fontId="24" fillId="22" borderId="12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10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10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9" fontId="19" fillId="0" borderId="10" xfId="0" applyNumberFormat="1" applyFont="1" applyBorder="1" applyAlignment="1">
      <alignment horizontal="left" vertical="center" wrapText="1"/>
    </xf>
    <xf numFmtId="167" fontId="19" fillId="0" borderId="10" xfId="0" applyNumberFormat="1" applyFont="1" applyBorder="1" applyAlignment="1">
      <alignment horizontal="left" vertical="center" wrapText="1"/>
    </xf>
    <xf numFmtId="168" fontId="19" fillId="0" borderId="10" xfId="0" applyNumberFormat="1" applyFont="1" applyBorder="1" applyAlignment="1">
      <alignment horizontal="right" vertical="center"/>
    </xf>
    <xf numFmtId="168" fontId="19" fillId="22" borderId="10" xfId="0" applyNumberFormat="1" applyFont="1" applyFill="1" applyBorder="1" applyAlignment="1">
      <alignment horizontal="right" vertical="center"/>
    </xf>
    <xf numFmtId="4" fontId="19" fillId="22" borderId="10" xfId="0" applyNumberFormat="1" applyFont="1" applyFill="1" applyBorder="1" applyAlignment="1">
      <alignment horizontal="right" vertical="center"/>
    </xf>
    <xf numFmtId="0" fontId="19" fillId="25" borderId="12" xfId="0" applyFont="1" applyFill="1" applyBorder="1" applyAlignment="1">
      <alignment horizontal="right" vertical="center"/>
    </xf>
    <xf numFmtId="0" fontId="0" fillId="25" borderId="13" xfId="0" applyFill="1" applyBorder="1" applyAlignment="1">
      <alignment horizontal="right" vertical="center"/>
    </xf>
    <xf numFmtId="10" fontId="19" fillId="25" borderId="13" xfId="0" applyNumberFormat="1" applyFont="1" applyFill="1" applyBorder="1" applyAlignment="1">
      <alignment horizontal="right" vertical="center"/>
    </xf>
    <xf numFmtId="4" fontId="19" fillId="25" borderId="14" xfId="0" applyNumberFormat="1" applyFont="1" applyFill="1" applyBorder="1" applyAlignment="1">
      <alignment horizontal="right" vertical="center"/>
    </xf>
    <xf numFmtId="0" fontId="21" fillId="22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166" fontId="20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 applyProtection="1">
      <alignment horizontal="right" vertical="center"/>
      <protection locked="0"/>
    </xf>
    <xf numFmtId="4" fontId="19" fillId="0" borderId="10" xfId="0" applyNumberFormat="1" applyFont="1" applyBorder="1" applyAlignment="1">
      <alignment horizontal="right" vertical="center" wrapText="1"/>
    </xf>
    <xf numFmtId="0" fontId="19" fillId="22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4" fontId="37" fillId="22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21" fillId="22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19" fillId="0" borderId="10" xfId="0" applyNumberFormat="1" applyFont="1" applyFill="1" applyBorder="1" applyAlignment="1"/>
    <xf numFmtId="4" fontId="19" fillId="22" borderId="10" xfId="0" applyNumberFormat="1" applyFont="1" applyFill="1" applyBorder="1" applyAlignment="1">
      <alignment horizontal="right"/>
    </xf>
    <xf numFmtId="4" fontId="19" fillId="0" borderId="10" xfId="0" applyNumberFormat="1" applyFont="1" applyFill="1" applyBorder="1" applyAlignment="1">
      <alignment horizontal="right"/>
    </xf>
    <xf numFmtId="0" fontId="24" fillId="22" borderId="10" xfId="0" applyFont="1" applyFill="1" applyBorder="1" applyAlignment="1">
      <alignment horizontal="center" vertical="center"/>
    </xf>
    <xf numFmtId="4" fontId="24" fillId="22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" fontId="19" fillId="22" borderId="10" xfId="0" applyNumberFormat="1" applyFont="1" applyFill="1" applyBorder="1" applyAlignment="1">
      <alignment horizontal="right" vertical="center" wrapText="1"/>
    </xf>
    <xf numFmtId="0" fontId="41" fillId="25" borderId="12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4" fontId="21" fillId="22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right" vertical="center"/>
    </xf>
    <xf numFmtId="10" fontId="2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0" fontId="19" fillId="0" borderId="10" xfId="0" applyNumberFormat="1" applyFont="1" applyBorder="1" applyAlignment="1">
      <alignment horizontal="center" vertical="center"/>
    </xf>
    <xf numFmtId="10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Fill="1" applyBorder="1"/>
    <xf numFmtId="10" fontId="19" fillId="0" borderId="10" xfId="0" applyNumberFormat="1" applyFont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/>
    </xf>
    <xf numFmtId="10" fontId="20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18" fillId="22" borderId="0" xfId="0" applyFont="1" applyFill="1"/>
    <xf numFmtId="49" fontId="19" fillId="0" borderId="12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/>
    </xf>
    <xf numFmtId="164" fontId="20" fillId="24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164" fontId="18" fillId="0" borderId="0" xfId="0" applyNumberFormat="1" applyFont="1"/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3" fontId="19" fillId="0" borderId="10" xfId="0" applyNumberFormat="1" applyFont="1" applyBorder="1" applyAlignment="1">
      <alignment horizontal="center" vertical="center" wrapText="1"/>
    </xf>
    <xf numFmtId="3" fontId="19" fillId="22" borderId="10" xfId="0" applyNumberFormat="1" applyFont="1" applyFill="1" applyBorder="1" applyAlignment="1">
      <alignment horizontal="center" vertical="center" wrapText="1"/>
    </xf>
    <xf numFmtId="3" fontId="22" fillId="22" borderId="10" xfId="0" applyNumberFormat="1" applyFont="1" applyFill="1" applyBorder="1" applyAlignment="1">
      <alignment horizontal="center" vertical="center" wrapText="1"/>
    </xf>
    <xf numFmtId="4" fontId="41" fillId="22" borderId="10" xfId="0" applyNumberFormat="1" applyFont="1" applyFill="1" applyBorder="1" applyAlignment="1">
      <alignment horizontal="right" vertical="center" wrapText="1"/>
    </xf>
    <xf numFmtId="4" fontId="25" fillId="26" borderId="10" xfId="0" applyNumberFormat="1" applyFont="1" applyFill="1" applyBorder="1" applyAlignment="1">
      <alignment horizontal="right" vertical="center"/>
    </xf>
    <xf numFmtId="10" fontId="20" fillId="0" borderId="12" xfId="0" applyNumberFormat="1" applyFont="1" applyBorder="1" applyAlignment="1">
      <alignment vertical="center"/>
    </xf>
    <xf numFmtId="0" fontId="25" fillId="25" borderId="10" xfId="0" applyFont="1" applyFill="1" applyBorder="1" applyAlignment="1">
      <alignment horizontal="right" vertical="center"/>
    </xf>
    <xf numFmtId="4" fontId="21" fillId="26" borderId="10" xfId="0" applyNumberFormat="1" applyFont="1" applyFill="1" applyBorder="1" applyAlignment="1">
      <alignment vertical="center"/>
    </xf>
    <xf numFmtId="4" fontId="19" fillId="0" borderId="14" xfId="0" applyNumberFormat="1" applyFont="1" applyBorder="1" applyAlignment="1">
      <alignment horizontal="center" vertical="center" wrapText="1"/>
    </xf>
    <xf numFmtId="0" fontId="59" fillId="29" borderId="0" xfId="0" applyFont="1" applyFill="1"/>
    <xf numFmtId="0" fontId="59" fillId="0" borderId="0" xfId="0" applyFont="1"/>
    <xf numFmtId="0" fontId="59" fillId="0" borderId="0" xfId="0" applyFont="1" applyFill="1" applyBorder="1" applyAlignment="1">
      <alignment vertical="center"/>
    </xf>
    <xf numFmtId="10" fontId="59" fillId="0" borderId="0" xfId="43" applyNumberFormat="1" applyFont="1" applyFill="1" applyBorder="1" applyAlignment="1" applyProtection="1">
      <alignment horizontal="center" vertical="center"/>
    </xf>
    <xf numFmtId="165" fontId="59" fillId="0" borderId="0" xfId="31" applyFont="1" applyFill="1" applyBorder="1" applyAlignment="1" applyProtection="1">
      <alignment vertical="center"/>
    </xf>
    <xf numFmtId="4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10" fontId="24" fillId="0" borderId="10" xfId="0" applyNumberFormat="1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right" vertical="center" wrapText="1"/>
    </xf>
    <xf numFmtId="10" fontId="26" fillId="0" borderId="10" xfId="0" applyNumberFormat="1" applyFont="1" applyFill="1" applyBorder="1" applyAlignment="1">
      <alignment horizontal="right" vertical="center"/>
    </xf>
    <xf numFmtId="169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/>
    </xf>
    <xf numFmtId="0" fontId="24" fillId="22" borderId="10" xfId="0" applyFont="1" applyFill="1" applyBorder="1" applyAlignment="1">
      <alignment horizontal="left" vertical="center"/>
    </xf>
    <xf numFmtId="0" fontId="23" fillId="25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right" vertical="center"/>
    </xf>
    <xf numFmtId="0" fontId="58" fillId="29" borderId="0" xfId="0" applyFont="1" applyFill="1" applyBorder="1" applyAlignment="1">
      <alignment horizontal="center" vertical="center" wrapText="1"/>
    </xf>
    <xf numFmtId="0" fontId="29" fillId="3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right" vertical="center" wrapText="1"/>
    </xf>
    <xf numFmtId="0" fontId="19" fillId="27" borderId="13" xfId="0" applyFont="1" applyFill="1" applyBorder="1" applyAlignment="1">
      <alignment horizontal="right" vertical="center" wrapText="1"/>
    </xf>
    <xf numFmtId="0" fontId="0" fillId="27" borderId="14" xfId="0" applyFill="1" applyBorder="1" applyAlignment="1">
      <alignment horizontal="right" vertical="center" wrapText="1"/>
    </xf>
    <xf numFmtId="0" fontId="41" fillId="22" borderId="10" xfId="0" applyFont="1" applyFill="1" applyBorder="1" applyAlignment="1">
      <alignment horizontal="right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22" borderId="12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0" fontId="19" fillId="22" borderId="10" xfId="0" applyNumberFormat="1" applyFont="1" applyFill="1" applyBorder="1" applyAlignment="1">
      <alignment horizontal="center" vertical="center" wrapText="1"/>
    </xf>
    <xf numFmtId="17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left" vertical="center" wrapText="1"/>
    </xf>
    <xf numFmtId="1" fontId="19" fillId="22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0" fontId="21" fillId="25" borderId="10" xfId="0" applyFont="1" applyFill="1" applyBorder="1" applyAlignment="1">
      <alignment horizontal="left" wrapText="1"/>
    </xf>
    <xf numFmtId="0" fontId="19" fillId="25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right" vertical="center" wrapText="1"/>
    </xf>
    <xf numFmtId="1" fontId="20" fillId="22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66" fontId="25" fillId="0" borderId="10" xfId="0" applyNumberFormat="1" applyFont="1" applyFill="1" applyBorder="1" applyAlignment="1">
      <alignment horizontal="right" vertical="center" wrapText="1"/>
    </xf>
    <xf numFmtId="166" fontId="26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14" fontId="27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right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0" fillId="27" borderId="13" xfId="0" applyFill="1" applyBorder="1" applyAlignment="1">
      <alignment vertical="center"/>
    </xf>
    <xf numFmtId="0" fontId="0" fillId="27" borderId="14" xfId="0" applyFill="1" applyBorder="1" applyAlignment="1">
      <alignment vertical="center"/>
    </xf>
    <xf numFmtId="0" fontId="19" fillId="28" borderId="12" xfId="0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justify" vertical="center" wrapText="1"/>
    </xf>
    <xf numFmtId="10" fontId="20" fillId="0" borderId="10" xfId="0" applyNumberFormat="1" applyFont="1" applyFill="1" applyBorder="1" applyAlignment="1">
      <alignment horizontal="justify" vertical="center" wrapText="1"/>
    </xf>
    <xf numFmtId="0" fontId="21" fillId="26" borderId="12" xfId="0" applyFont="1" applyFill="1" applyBorder="1" applyAlignment="1">
      <alignment horizontal="justify" vertical="center" wrapText="1"/>
    </xf>
    <xf numFmtId="0" fontId="54" fillId="26" borderId="13" xfId="0" applyFont="1" applyFill="1" applyBorder="1" applyAlignment="1">
      <alignment horizontal="justify" vertical="center" wrapText="1"/>
    </xf>
    <xf numFmtId="0" fontId="54" fillId="26" borderId="14" xfId="0" applyFont="1" applyFill="1" applyBorder="1" applyAlignment="1">
      <alignment horizontal="justify" vertical="center" wrapText="1"/>
    </xf>
    <xf numFmtId="0" fontId="19" fillId="25" borderId="10" xfId="0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19" fillId="22" borderId="10" xfId="0" applyFont="1" applyFill="1" applyBorder="1" applyAlignment="1">
      <alignment horizontal="right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19" fillId="22" borderId="12" xfId="0" applyFont="1" applyFill="1" applyBorder="1" applyAlignment="1">
      <alignment horizontal="right" vertical="center"/>
    </xf>
    <xf numFmtId="0" fontId="25" fillId="25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22" borderId="10" xfId="0" applyFont="1" applyFill="1" applyBorder="1" applyAlignment="1">
      <alignment horizontal="righ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1" fillId="22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justify" vertical="center" wrapText="1"/>
    </xf>
    <xf numFmtId="0" fontId="19" fillId="25" borderId="10" xfId="0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justify" vertical="center" wrapText="1"/>
    </xf>
    <xf numFmtId="0" fontId="39" fillId="25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right" vertical="center"/>
    </xf>
    <xf numFmtId="0" fontId="25" fillId="25" borderId="10" xfId="0" applyFont="1" applyFill="1" applyBorder="1" applyAlignment="1">
      <alignment horizontal="right" vertical="center"/>
    </xf>
    <xf numFmtId="0" fontId="24" fillId="22" borderId="10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right" vertical="center"/>
    </xf>
    <xf numFmtId="0" fontId="25" fillId="25" borderId="12" xfId="0" applyFont="1" applyFill="1" applyBorder="1" applyAlignment="1">
      <alignment horizontal="right" vertical="center" wrapText="1"/>
    </xf>
    <xf numFmtId="0" fontId="25" fillId="25" borderId="13" xfId="0" applyFont="1" applyFill="1" applyBorder="1" applyAlignment="1">
      <alignment horizontal="right" vertical="center" wrapText="1"/>
    </xf>
    <xf numFmtId="0" fontId="25" fillId="25" borderId="14" xfId="0" applyFont="1" applyFill="1" applyBorder="1" applyAlignment="1">
      <alignment horizontal="right" vertical="center" wrapText="1"/>
    </xf>
    <xf numFmtId="0" fontId="55" fillId="28" borderId="12" xfId="0" applyFont="1" applyFill="1" applyBorder="1" applyAlignment="1">
      <alignment horizontal="right" vertical="center"/>
    </xf>
    <xf numFmtId="0" fontId="56" fillId="27" borderId="13" xfId="0" applyFont="1" applyFill="1" applyBorder="1" applyAlignment="1">
      <alignment horizontal="right" vertical="center"/>
    </xf>
    <xf numFmtId="0" fontId="56" fillId="27" borderId="14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/>
    </xf>
    <xf numFmtId="0" fontId="25" fillId="22" borderId="10" xfId="0" applyFont="1" applyFill="1" applyBorder="1" applyAlignment="1">
      <alignment horizontal="right" vertical="center" wrapText="1"/>
    </xf>
    <xf numFmtId="0" fontId="18" fillId="22" borderId="10" xfId="0" applyFont="1" applyFill="1" applyBorder="1" applyAlignment="1">
      <alignment horizontal="left" vertical="center" wrapText="1"/>
    </xf>
    <xf numFmtId="0" fontId="41" fillId="25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left" vertical="center"/>
    </xf>
    <xf numFmtId="0" fontId="45" fillId="25" borderId="12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49" fontId="19" fillId="22" borderId="12" xfId="0" applyNumberFormat="1" applyFont="1" applyFill="1" applyBorder="1" applyAlignment="1">
      <alignment horizontal="right" vertical="center" wrapText="1"/>
    </xf>
    <xf numFmtId="49" fontId="19" fillId="25" borderId="10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justify" vertical="center" wrapText="1"/>
    </xf>
    <xf numFmtId="4" fontId="19" fillId="22" borderId="14" xfId="0" applyNumberFormat="1" applyFont="1" applyFill="1" applyBorder="1" applyAlignment="1">
      <alignment horizontal="center" vertical="center" wrapText="1"/>
    </xf>
    <xf numFmtId="4" fontId="19" fillId="22" borderId="10" xfId="0" applyNumberFormat="1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justify" vertical="center" wrapText="1"/>
    </xf>
    <xf numFmtId="0" fontId="19" fillId="25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 vertical="center" wrapText="1"/>
    </xf>
    <xf numFmtId="166" fontId="4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29" fillId="22" borderId="10" xfId="0" applyFont="1" applyFill="1" applyBorder="1" applyAlignment="1">
      <alignment horizontal="right" vertical="center"/>
    </xf>
    <xf numFmtId="4" fontId="22" fillId="22" borderId="10" xfId="0" applyNumberFormat="1" applyFont="1" applyFill="1" applyBorder="1" applyAlignment="1">
      <alignment horizontal="center" vertical="center"/>
    </xf>
    <xf numFmtId="166" fontId="46" fillId="0" borderId="10" xfId="0" applyNumberFormat="1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top"/>
    </xf>
    <xf numFmtId="0" fontId="41" fillId="25" borderId="15" xfId="0" applyFont="1" applyFill="1" applyBorder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1" fillId="25" borderId="13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justify" wrapText="1"/>
    </xf>
    <xf numFmtId="0" fontId="19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justify" vertic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ítulo 5" xfId="41"/>
    <cellStyle name="Total" xfId="42" builtinId="25" customBuiltin="1"/>
    <cellStyle name="Vírgula" xfId="4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300DC"/>
      <rgbColor rgb="00009900"/>
      <rgbColor rgb="00800080"/>
      <rgbColor rgb="00006B6B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6600FF"/>
      <rgbColor rgb="00800000"/>
      <rgbColor rgb="00009933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6"/>
  <sheetViews>
    <sheetView view="pageBreakPreview" zoomScale="130" zoomScaleSheetLayoutView="130" workbookViewId="0">
      <selection sqref="A1:IV227"/>
    </sheetView>
  </sheetViews>
  <sheetFormatPr defaultRowHeight="12" x14ac:dyDescent="0.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customWidth="1"/>
    <col min="6" max="6" width="11.28515625" style="1" customWidth="1"/>
    <col min="7" max="7" width="9.85546875" style="1" customWidth="1"/>
    <col min="8" max="8" width="11.28515625" style="1" customWidth="1"/>
    <col min="9" max="9" width="14.5703125" style="2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customWidth="1"/>
    <col min="16" max="16384" width="9.140625" style="1"/>
  </cols>
  <sheetData>
    <row r="6" ht="12.75" customHeight="1" x14ac:dyDescent="0.2"/>
  </sheetData>
  <sheetProtection selectLockedCells="1" selectUnlockedCells="1"/>
  <phoneticPr fontId="0" type="noConversion"/>
  <pageMargins left="0.78749999999999998" right="0.31527777777777777" top="0.2298611111111111" bottom="0.31527777777777777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16"/>
  <sheetViews>
    <sheetView tabSelected="1" view="pageBreakPreview" topLeftCell="A105" zoomScale="130" zoomScaleSheetLayoutView="130" workbookViewId="0">
      <selection activeCell="A106" sqref="A106:I106"/>
    </sheetView>
  </sheetViews>
  <sheetFormatPr defaultRowHeight="12" x14ac:dyDescent="0.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customWidth="1"/>
    <col min="6" max="6" width="11.28515625" style="1" customWidth="1"/>
    <col min="7" max="7" width="9.85546875" style="1" customWidth="1"/>
    <col min="8" max="8" width="11.28515625" style="1" customWidth="1"/>
    <col min="9" max="9" width="14.5703125" style="2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customWidth="1"/>
    <col min="16" max="16384" width="9.140625" style="1"/>
  </cols>
  <sheetData>
    <row r="2" spans="1:11" s="104" customFormat="1" ht="18.95" customHeight="1" x14ac:dyDescent="0.2">
      <c r="A2" s="124" t="s">
        <v>167</v>
      </c>
      <c r="B2" s="124"/>
      <c r="C2" s="124"/>
      <c r="D2" s="124"/>
      <c r="E2" s="124"/>
      <c r="F2" s="124"/>
      <c r="G2" s="124"/>
      <c r="H2" s="124"/>
      <c r="I2" s="124"/>
    </row>
    <row r="3" spans="1:11" s="105" customFormat="1" ht="64.900000000000006" customHeight="1" x14ac:dyDescent="0.2">
      <c r="A3" s="125" t="s">
        <v>188</v>
      </c>
      <c r="B3" s="125"/>
      <c r="C3" s="125"/>
      <c r="D3" s="125"/>
      <c r="E3" s="125"/>
      <c r="F3" s="125"/>
      <c r="G3" s="125"/>
      <c r="H3" s="125"/>
      <c r="I3" s="125"/>
    </row>
    <row r="4" spans="1:11" ht="15.75" customHeight="1" x14ac:dyDescent="0.2">
      <c r="A4" s="126" t="s">
        <v>3</v>
      </c>
      <c r="B4" s="126"/>
      <c r="C4" s="126"/>
      <c r="D4" s="126"/>
      <c r="E4" s="126"/>
      <c r="F4" s="127" t="s">
        <v>168</v>
      </c>
      <c r="G4" s="127"/>
      <c r="H4" s="127"/>
      <c r="I4" s="127"/>
    </row>
    <row r="5" spans="1:11" ht="15.75" customHeight="1" x14ac:dyDescent="0.2">
      <c r="A5" s="126" t="s">
        <v>4</v>
      </c>
      <c r="B5" s="126"/>
      <c r="C5" s="126"/>
      <c r="D5" s="126"/>
      <c r="E5" s="126"/>
      <c r="F5" s="127" t="s">
        <v>169</v>
      </c>
      <c r="G5" s="127"/>
      <c r="H5" s="127"/>
      <c r="I5" s="127"/>
    </row>
    <row r="6" spans="1:11" ht="14.85" customHeight="1" x14ac:dyDescent="0.2">
      <c r="A6" s="126" t="s">
        <v>194</v>
      </c>
      <c r="B6" s="126"/>
      <c r="C6" s="126"/>
      <c r="D6" s="126"/>
      <c r="E6" s="126"/>
      <c r="F6" s="126"/>
      <c r="G6" s="126"/>
      <c r="H6" s="126"/>
      <c r="I6" s="126"/>
    </row>
    <row r="7" spans="1:11" ht="20.25" customHeight="1" x14ac:dyDescent="0.2">
      <c r="A7" s="133" t="s">
        <v>5</v>
      </c>
      <c r="B7" s="133"/>
      <c r="C7" s="133"/>
      <c r="D7" s="133"/>
      <c r="E7" s="133"/>
      <c r="F7" s="133"/>
      <c r="G7" s="133"/>
      <c r="H7" s="133"/>
      <c r="I7" s="133"/>
    </row>
    <row r="8" spans="1:11" ht="15.75" customHeight="1" x14ac:dyDescent="0.2">
      <c r="A8" s="3" t="s">
        <v>6</v>
      </c>
      <c r="B8" s="126" t="s">
        <v>7</v>
      </c>
      <c r="C8" s="126"/>
      <c r="D8" s="126"/>
      <c r="E8" s="126"/>
      <c r="F8" s="126"/>
      <c r="G8" s="126"/>
      <c r="H8" s="132">
        <v>43336</v>
      </c>
      <c r="I8" s="132"/>
    </row>
    <row r="9" spans="1:11" ht="15.75" customHeight="1" x14ac:dyDescent="0.2">
      <c r="A9" s="3" t="s">
        <v>8</v>
      </c>
      <c r="B9" s="126" t="s">
        <v>9</v>
      </c>
      <c r="C9" s="126"/>
      <c r="D9" s="126"/>
      <c r="E9" s="126"/>
      <c r="F9" s="126"/>
      <c r="G9" s="126"/>
      <c r="H9" s="127" t="s">
        <v>170</v>
      </c>
      <c r="I9" s="127"/>
    </row>
    <row r="10" spans="1:11" ht="20.100000000000001" customHeight="1" x14ac:dyDescent="0.2">
      <c r="A10" s="3" t="s">
        <v>10</v>
      </c>
      <c r="B10" s="126" t="s">
        <v>11</v>
      </c>
      <c r="C10" s="126"/>
      <c r="D10" s="126"/>
      <c r="E10" s="126"/>
      <c r="F10" s="126"/>
      <c r="G10" s="126"/>
      <c r="H10" s="138">
        <v>43271</v>
      </c>
      <c r="I10" s="127"/>
    </row>
    <row r="11" spans="1:11" ht="15.75" customHeight="1" x14ac:dyDescent="0.2">
      <c r="A11" s="3" t="s">
        <v>12</v>
      </c>
      <c r="B11" s="126" t="s">
        <v>13</v>
      </c>
      <c r="C11" s="126"/>
      <c r="D11" s="126"/>
      <c r="E11" s="126"/>
      <c r="F11" s="126"/>
      <c r="G11" s="126"/>
      <c r="H11" s="127">
        <v>12</v>
      </c>
      <c r="I11" s="127"/>
      <c r="K11" s="4"/>
    </row>
    <row r="12" spans="1:11" ht="21.2" customHeight="1" x14ac:dyDescent="0.2">
      <c r="A12" s="134" t="s">
        <v>14</v>
      </c>
      <c r="B12" s="134"/>
      <c r="C12" s="134"/>
      <c r="D12" s="134"/>
      <c r="E12" s="134"/>
      <c r="F12" s="134"/>
      <c r="G12" s="134"/>
      <c r="H12" s="134"/>
      <c r="I12" s="134"/>
    </row>
    <row r="13" spans="1:11" ht="50.65" customHeight="1" x14ac:dyDescent="0.2">
      <c r="A13" s="135" t="s">
        <v>15</v>
      </c>
      <c r="B13" s="135"/>
      <c r="C13" s="135"/>
      <c r="D13" s="135"/>
      <c r="E13" s="135"/>
      <c r="F13" s="136" t="s">
        <v>16</v>
      </c>
      <c r="G13" s="136"/>
      <c r="H13" s="137" t="s">
        <v>17</v>
      </c>
      <c r="I13" s="137"/>
    </row>
    <row r="14" spans="1:11" ht="12.75" customHeight="1" x14ac:dyDescent="0.2">
      <c r="A14" s="126" t="s">
        <v>20</v>
      </c>
      <c r="B14" s="126"/>
      <c r="C14" s="126"/>
      <c r="D14" s="126"/>
      <c r="E14" s="126"/>
      <c r="F14" s="139" t="s">
        <v>18</v>
      </c>
      <c r="G14" s="139"/>
      <c r="H14" s="140">
        <v>2</v>
      </c>
      <c r="I14" s="140"/>
    </row>
    <row r="15" spans="1:11" ht="12.75" customHeight="1" x14ac:dyDescent="0.2">
      <c r="A15" s="141" t="s">
        <v>21</v>
      </c>
      <c r="B15" s="141"/>
      <c r="C15" s="141"/>
      <c r="D15" s="141"/>
      <c r="E15" s="141"/>
      <c r="F15" s="136" t="s">
        <v>18</v>
      </c>
      <c r="G15" s="136"/>
      <c r="H15" s="142" t="s">
        <v>19</v>
      </c>
      <c r="I15" s="142"/>
    </row>
    <row r="16" spans="1:11" ht="12.75" customHeight="1" x14ac:dyDescent="0.2">
      <c r="A16" s="147" t="s">
        <v>22</v>
      </c>
      <c r="B16" s="147"/>
      <c r="C16" s="147"/>
      <c r="D16" s="147"/>
      <c r="E16" s="147"/>
      <c r="F16" s="147"/>
      <c r="G16" s="147"/>
      <c r="H16" s="148">
        <f>SUM(H14:H15)</f>
        <v>2</v>
      </c>
      <c r="I16" s="148"/>
    </row>
    <row r="17" spans="1:256" ht="21.75" customHeight="1" x14ac:dyDescent="0.2">
      <c r="A17" s="146"/>
      <c r="B17" s="146"/>
      <c r="C17" s="146"/>
      <c r="D17" s="146"/>
      <c r="E17" s="146"/>
      <c r="F17" s="146"/>
      <c r="G17" s="146"/>
      <c r="H17" s="146"/>
      <c r="I17" s="146"/>
    </row>
    <row r="18" spans="1:256" ht="19.5" customHeight="1" x14ac:dyDescent="0.2">
      <c r="A18" s="143"/>
      <c r="B18" s="143"/>
      <c r="C18" s="143"/>
      <c r="D18" s="143"/>
      <c r="E18" s="143"/>
      <c r="F18" s="143"/>
      <c r="G18" s="143"/>
      <c r="H18" s="143"/>
      <c r="I18" s="143"/>
      <c r="J18" s="6"/>
      <c r="K18" s="7"/>
      <c r="L18" s="8"/>
    </row>
    <row r="19" spans="1:256" s="105" customFormat="1" ht="52.15" customHeight="1" x14ac:dyDescent="0.25">
      <c r="A19" s="144" t="s">
        <v>171</v>
      </c>
      <c r="B19" s="144"/>
      <c r="C19" s="144"/>
      <c r="D19" s="144"/>
      <c r="E19" s="144"/>
      <c r="F19" s="144"/>
      <c r="G19" s="144"/>
      <c r="H19" s="144"/>
      <c r="I19" s="144"/>
      <c r="J19" s="106"/>
      <c r="K19" s="107"/>
      <c r="L19" s="108"/>
    </row>
    <row r="20" spans="1:256" ht="21" customHeight="1" x14ac:dyDescent="0.25">
      <c r="A20" s="145"/>
      <c r="B20" s="145"/>
      <c r="C20" s="145"/>
      <c r="D20" s="145"/>
      <c r="E20" s="145"/>
      <c r="F20" s="145"/>
      <c r="G20" s="145"/>
      <c r="H20" s="145"/>
      <c r="I20" s="145"/>
      <c r="J20" s="6"/>
      <c r="K20" s="7"/>
      <c r="L20" s="8"/>
    </row>
    <row r="21" spans="1:256" s="9" customFormat="1" ht="21.75" customHeight="1" x14ac:dyDescent="0.2">
      <c r="A21" s="133" t="s">
        <v>23</v>
      </c>
      <c r="B21" s="133"/>
      <c r="C21" s="133"/>
      <c r="D21" s="133"/>
      <c r="E21" s="133"/>
      <c r="F21" s="133"/>
      <c r="G21" s="133"/>
      <c r="H21" s="133"/>
      <c r="I21" s="133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9"/>
      <c r="FV21" s="149"/>
      <c r="FW21" s="149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  <c r="GY21" s="149"/>
      <c r="GZ21" s="149"/>
      <c r="HA21" s="149"/>
      <c r="HB21" s="149"/>
      <c r="HC21" s="149"/>
      <c r="HD21" s="149"/>
      <c r="HE21" s="149"/>
      <c r="HF21" s="149"/>
      <c r="HG21" s="149"/>
      <c r="HH21" s="149"/>
      <c r="HI21" s="149"/>
      <c r="HJ21" s="149"/>
      <c r="HK21" s="149"/>
      <c r="HL21" s="149"/>
      <c r="HM21" s="149"/>
      <c r="HN21" s="149"/>
      <c r="HO21" s="149"/>
      <c r="HP21" s="149"/>
      <c r="HQ21" s="149"/>
      <c r="HR21" s="149"/>
      <c r="HS21" s="149"/>
      <c r="HT21" s="149"/>
      <c r="HU21" s="149"/>
      <c r="HV21" s="149"/>
      <c r="HW21" s="149"/>
      <c r="HX21" s="149"/>
      <c r="HY21" s="149"/>
      <c r="HZ21" s="149"/>
      <c r="IA21" s="149"/>
      <c r="IB21" s="149"/>
      <c r="IC21" s="149"/>
      <c r="ID21" s="149"/>
      <c r="IE21" s="149"/>
      <c r="IF21" s="149"/>
      <c r="IG21" s="149"/>
      <c r="IH21" s="149"/>
      <c r="II21" s="149"/>
      <c r="IJ21" s="149"/>
      <c r="IK21" s="149"/>
      <c r="IL21" s="149"/>
      <c r="IM21" s="149"/>
      <c r="IN21" s="149"/>
      <c r="IO21" s="149"/>
      <c r="IP21" s="149"/>
      <c r="IQ21" s="149"/>
      <c r="IR21" s="149"/>
      <c r="IS21" s="149"/>
      <c r="IT21" s="149"/>
      <c r="IU21" s="149"/>
      <c r="IV21" s="149"/>
    </row>
    <row r="22" spans="1:256" ht="27.6" customHeight="1" x14ac:dyDescent="0.2">
      <c r="A22" s="3">
        <v>1</v>
      </c>
      <c r="B22" s="126" t="s">
        <v>24</v>
      </c>
      <c r="C22" s="126"/>
      <c r="D22" s="126"/>
      <c r="E22" s="126"/>
      <c r="F22" s="126"/>
      <c r="G22" s="126"/>
      <c r="H22" s="150" t="s">
        <v>25</v>
      </c>
      <c r="I22" s="150"/>
    </row>
    <row r="23" spans="1:256" ht="19.5" customHeight="1" x14ac:dyDescent="0.2">
      <c r="A23" s="10">
        <v>2</v>
      </c>
      <c r="B23" s="151" t="s">
        <v>26</v>
      </c>
      <c r="C23" s="151"/>
      <c r="D23" s="151"/>
      <c r="E23" s="151"/>
      <c r="F23" s="151"/>
      <c r="G23" s="151"/>
      <c r="H23" s="152" t="s">
        <v>27</v>
      </c>
      <c r="I23" s="152"/>
    </row>
    <row r="24" spans="1:256" ht="15.75" customHeight="1" x14ac:dyDescent="0.2">
      <c r="A24" s="3">
        <v>3</v>
      </c>
      <c r="B24" s="126" t="s">
        <v>28</v>
      </c>
      <c r="C24" s="126"/>
      <c r="D24" s="126"/>
      <c r="E24" s="126"/>
      <c r="F24" s="126"/>
      <c r="G24" s="126"/>
      <c r="H24" s="153">
        <v>1447.6</v>
      </c>
      <c r="I24" s="153"/>
    </row>
    <row r="25" spans="1:256" ht="15.75" customHeight="1" x14ac:dyDescent="0.2">
      <c r="A25" s="3">
        <v>4</v>
      </c>
      <c r="B25" s="126" t="s">
        <v>29</v>
      </c>
      <c r="C25" s="126"/>
      <c r="D25" s="126"/>
      <c r="E25" s="126"/>
      <c r="F25" s="126"/>
      <c r="G25" s="126"/>
      <c r="H25" s="157" t="s">
        <v>30</v>
      </c>
      <c r="I25" s="157"/>
    </row>
    <row r="26" spans="1:256" ht="27.6" customHeight="1" x14ac:dyDescent="0.2">
      <c r="A26" s="11">
        <v>5</v>
      </c>
      <c r="B26" s="154" t="s">
        <v>136</v>
      </c>
      <c r="C26" s="154"/>
      <c r="D26" s="154"/>
      <c r="E26" s="154"/>
      <c r="F26" s="154"/>
      <c r="G26" s="154"/>
      <c r="H26" s="155">
        <f>ROUND(H24/220,2)</f>
        <v>6.58</v>
      </c>
      <c r="I26" s="155"/>
    </row>
    <row r="27" spans="1:256" ht="27.6" customHeight="1" x14ac:dyDescent="0.2">
      <c r="A27" s="11">
        <v>6</v>
      </c>
      <c r="B27" s="154" t="s">
        <v>137</v>
      </c>
      <c r="C27" s="154"/>
      <c r="D27" s="154"/>
      <c r="E27" s="154"/>
      <c r="F27" s="154"/>
      <c r="G27" s="154"/>
      <c r="H27" s="155">
        <f>SUM(H26+H30)</f>
        <v>8.5500000000000007</v>
      </c>
      <c r="I27" s="15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 customHeight="1" x14ac:dyDescent="0.2">
      <c r="A28" s="11">
        <v>7</v>
      </c>
      <c r="B28" s="154" t="s">
        <v>138</v>
      </c>
      <c r="C28" s="154"/>
      <c r="D28" s="154"/>
      <c r="E28" s="154"/>
      <c r="F28" s="154"/>
      <c r="G28" s="154"/>
      <c r="H28" s="156">
        <f>ROUND(1.3*H26*1.5,2)</f>
        <v>12.83</v>
      </c>
      <c r="I28" s="15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6.25" customHeight="1" x14ac:dyDescent="0.2">
      <c r="A29" s="11">
        <v>8</v>
      </c>
      <c r="B29" s="154" t="s">
        <v>139</v>
      </c>
      <c r="C29" s="154"/>
      <c r="D29" s="154"/>
      <c r="E29" s="154"/>
      <c r="F29" s="154"/>
      <c r="G29" s="154"/>
      <c r="H29" s="155">
        <f>ROUND(1.3*H26*0.2,2)</f>
        <v>1.71</v>
      </c>
      <c r="I29" s="155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7.6" customHeight="1" x14ac:dyDescent="0.2">
      <c r="A30" s="61">
        <v>9</v>
      </c>
      <c r="B30" s="159" t="s">
        <v>140</v>
      </c>
      <c r="C30" s="159"/>
      <c r="D30" s="159"/>
      <c r="E30" s="159"/>
      <c r="F30" s="159"/>
      <c r="G30" s="159"/>
      <c r="H30" s="155">
        <f>ROUND(H26*0.3,2)</f>
        <v>1.97</v>
      </c>
      <c r="I30" s="15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 x14ac:dyDescent="0.2">
      <c r="A31" s="11">
        <v>10</v>
      </c>
      <c r="B31" s="154" t="s">
        <v>141</v>
      </c>
      <c r="C31" s="154"/>
      <c r="D31" s="154"/>
      <c r="E31" s="154"/>
      <c r="F31" s="154"/>
      <c r="G31" s="154"/>
      <c r="H31" s="155">
        <f>H24*0.3</f>
        <v>434.28000000000003</v>
      </c>
      <c r="I31" s="155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 customHeight="1" x14ac:dyDescent="0.2">
      <c r="A32" s="11">
        <v>11</v>
      </c>
      <c r="B32" s="154" t="s">
        <v>31</v>
      </c>
      <c r="C32" s="154"/>
      <c r="D32" s="154"/>
      <c r="E32" s="154"/>
      <c r="F32" s="154"/>
      <c r="G32" s="154"/>
      <c r="H32" s="155">
        <f>ROUND(H26/6,2)</f>
        <v>1.1000000000000001</v>
      </c>
      <c r="I32" s="155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 x14ac:dyDescent="0.2">
      <c r="A33" s="11">
        <v>12</v>
      </c>
      <c r="B33" s="163" t="s">
        <v>32</v>
      </c>
      <c r="C33" s="163"/>
      <c r="D33" s="163"/>
      <c r="E33" s="163"/>
      <c r="F33" s="163"/>
      <c r="G33" s="163"/>
      <c r="H33" s="164">
        <v>2</v>
      </c>
      <c r="I33" s="164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 x14ac:dyDescent="0.2">
      <c r="A34" s="143"/>
      <c r="B34" s="143"/>
      <c r="C34" s="143"/>
      <c r="D34" s="143"/>
      <c r="E34" s="143"/>
      <c r="F34" s="143"/>
      <c r="G34" s="143"/>
      <c r="H34" s="143"/>
      <c r="I34" s="143"/>
    </row>
    <row r="35" spans="1:256" ht="21.75" customHeight="1" x14ac:dyDescent="0.2">
      <c r="A35" s="165"/>
      <c r="B35" s="165"/>
      <c r="C35" s="165"/>
      <c r="D35" s="165"/>
      <c r="E35" s="165"/>
      <c r="F35" s="165"/>
      <c r="G35" s="165"/>
      <c r="H35" s="165"/>
      <c r="I35" s="165"/>
    </row>
    <row r="36" spans="1:256" ht="9" customHeight="1" x14ac:dyDescent="0.2">
      <c r="A36" s="160"/>
      <c r="B36" s="160"/>
      <c r="C36" s="160"/>
      <c r="D36" s="160"/>
      <c r="E36" s="160"/>
      <c r="F36" s="160"/>
      <c r="G36" s="160"/>
      <c r="H36" s="160"/>
      <c r="I36" s="160"/>
    </row>
    <row r="37" spans="1:256" ht="20.25" customHeight="1" x14ac:dyDescent="0.2">
      <c r="A37" s="161" t="s">
        <v>33</v>
      </c>
      <c r="B37" s="161"/>
      <c r="C37" s="161"/>
      <c r="D37" s="161"/>
      <c r="E37" s="161"/>
      <c r="F37" s="161"/>
      <c r="G37" s="161"/>
      <c r="H37" s="161"/>
      <c r="I37" s="161"/>
    </row>
    <row r="38" spans="1:256" s="15" customFormat="1" ht="30.4" customHeight="1" x14ac:dyDescent="0.2">
      <c r="A38" s="12">
        <v>1</v>
      </c>
      <c r="B38" s="162" t="s">
        <v>34</v>
      </c>
      <c r="C38" s="162"/>
      <c r="D38" s="162"/>
      <c r="E38" s="162"/>
      <c r="F38" s="162"/>
      <c r="G38" s="162"/>
      <c r="H38" s="14" t="s">
        <v>35</v>
      </c>
      <c r="I38" s="12" t="s">
        <v>36</v>
      </c>
    </row>
    <row r="39" spans="1:256" ht="15.75" customHeight="1" x14ac:dyDescent="0.2">
      <c r="A39" s="3" t="s">
        <v>6</v>
      </c>
      <c r="B39" s="126" t="s">
        <v>37</v>
      </c>
      <c r="C39" s="126"/>
      <c r="D39" s="126"/>
      <c r="E39" s="126"/>
      <c r="F39" s="126"/>
      <c r="G39" s="126"/>
      <c r="H39" s="126"/>
      <c r="I39" s="16">
        <f>H24*2</f>
        <v>2895.2</v>
      </c>
    </row>
    <row r="40" spans="1:256" ht="29.25" customHeight="1" x14ac:dyDescent="0.2">
      <c r="A40" s="3" t="s">
        <v>8</v>
      </c>
      <c r="B40" s="158" t="s">
        <v>40</v>
      </c>
      <c r="C40" s="158"/>
      <c r="D40" s="158"/>
      <c r="E40" s="158"/>
      <c r="F40" s="158"/>
      <c r="G40" s="158"/>
      <c r="H40" s="17">
        <v>0.3</v>
      </c>
      <c r="I40" s="16">
        <f>ROUND(H40*SUM(I39:I39),2)</f>
        <v>868.56</v>
      </c>
    </row>
    <row r="41" spans="1:256" ht="15.75" customHeight="1" x14ac:dyDescent="0.2">
      <c r="A41" s="3" t="s">
        <v>10</v>
      </c>
      <c r="B41" s="126" t="s">
        <v>42</v>
      </c>
      <c r="C41" s="126"/>
      <c r="D41" s="126"/>
      <c r="E41" s="126"/>
      <c r="F41" s="126"/>
      <c r="G41" s="126"/>
      <c r="H41" s="126"/>
      <c r="I41" s="18" t="s">
        <v>19</v>
      </c>
      <c r="L41" s="19"/>
    </row>
    <row r="42" spans="1:256" ht="15.75" customHeight="1" x14ac:dyDescent="0.2">
      <c r="A42" s="166" t="s">
        <v>156</v>
      </c>
      <c r="B42" s="166"/>
      <c r="C42" s="166"/>
      <c r="D42" s="166"/>
      <c r="E42" s="166"/>
      <c r="F42" s="166"/>
      <c r="G42" s="166"/>
      <c r="H42" s="166"/>
      <c r="I42" s="20">
        <f>SUM(I39:I41)</f>
        <v>3763.7599999999998</v>
      </c>
    </row>
    <row r="43" spans="1:256" ht="9.75" customHeight="1" x14ac:dyDescent="0.2">
      <c r="A43" s="170"/>
      <c r="B43" s="171"/>
      <c r="C43" s="171"/>
      <c r="D43" s="171"/>
      <c r="E43" s="171"/>
      <c r="F43" s="171"/>
      <c r="G43" s="171"/>
      <c r="H43" s="171"/>
      <c r="I43" s="172"/>
    </row>
    <row r="44" spans="1:256" ht="26.25" customHeight="1" x14ac:dyDescent="0.2">
      <c r="A44" s="3" t="s">
        <v>12</v>
      </c>
      <c r="B44" s="173" t="s">
        <v>192</v>
      </c>
      <c r="C44" s="174"/>
      <c r="D44" s="174"/>
      <c r="E44" s="174"/>
      <c r="F44" s="174"/>
      <c r="G44" s="174"/>
      <c r="H44" s="175"/>
      <c r="I44" s="16">
        <f>ROUND($H$32*H33*15,2)</f>
        <v>33</v>
      </c>
    </row>
    <row r="45" spans="1:256" ht="42" customHeight="1" x14ac:dyDescent="0.2">
      <c r="A45" s="179" t="s">
        <v>0</v>
      </c>
      <c r="B45" s="180"/>
      <c r="C45" s="180"/>
      <c r="D45" s="180"/>
      <c r="E45" s="180"/>
      <c r="F45" s="180"/>
      <c r="G45" s="180"/>
      <c r="H45" s="181"/>
      <c r="I45" s="102">
        <f>I44</f>
        <v>33</v>
      </c>
    </row>
    <row r="46" spans="1:256" ht="9.1999999999999993" customHeight="1" x14ac:dyDescent="0.2">
      <c r="A46" s="167"/>
      <c r="B46" s="168"/>
      <c r="C46" s="168"/>
      <c r="D46" s="168"/>
      <c r="E46" s="168"/>
      <c r="F46" s="168"/>
      <c r="G46" s="168"/>
      <c r="H46" s="168"/>
      <c r="I46" s="169"/>
    </row>
    <row r="47" spans="1:256" ht="20.25" customHeight="1" x14ac:dyDescent="0.2">
      <c r="A47" s="131" t="s">
        <v>157</v>
      </c>
      <c r="B47" s="131"/>
      <c r="C47" s="131"/>
      <c r="D47" s="131"/>
      <c r="E47" s="131"/>
      <c r="F47" s="131"/>
      <c r="G47" s="131"/>
      <c r="H47" s="131"/>
      <c r="I47" s="98">
        <f>I42+I45</f>
        <v>3796.7599999999998</v>
      </c>
    </row>
    <row r="48" spans="1:256" ht="13.5" customHeight="1" x14ac:dyDescent="0.2">
      <c r="A48" s="128"/>
      <c r="B48" s="129"/>
      <c r="C48" s="129"/>
      <c r="D48" s="129"/>
      <c r="E48" s="129"/>
      <c r="F48" s="129"/>
      <c r="G48" s="129"/>
      <c r="H48" s="129"/>
      <c r="I48" s="130"/>
    </row>
    <row r="49" spans="1:9" ht="14.25" customHeight="1" x14ac:dyDescent="0.2">
      <c r="A49" s="182"/>
      <c r="B49" s="182"/>
      <c r="C49" s="182"/>
      <c r="D49" s="182"/>
      <c r="E49" s="182"/>
      <c r="F49" s="182"/>
      <c r="G49" s="182"/>
      <c r="H49" s="182"/>
      <c r="I49" s="182"/>
    </row>
    <row r="50" spans="1:9" ht="27" customHeight="1" x14ac:dyDescent="0.2">
      <c r="A50" s="119" t="s">
        <v>44</v>
      </c>
      <c r="B50" s="119"/>
      <c r="C50" s="119"/>
      <c r="D50" s="119"/>
      <c r="E50" s="119"/>
      <c r="F50" s="119"/>
      <c r="G50" s="119"/>
      <c r="H50" s="119"/>
      <c r="I50" s="119"/>
    </row>
    <row r="51" spans="1:9" ht="27" customHeight="1" x14ac:dyDescent="0.2">
      <c r="A51" s="120" t="s">
        <v>172</v>
      </c>
      <c r="B51" s="120"/>
      <c r="C51" s="120"/>
      <c r="D51" s="120"/>
      <c r="E51" s="120"/>
      <c r="F51" s="120"/>
      <c r="G51" s="120"/>
      <c r="H51" s="120"/>
      <c r="I51" s="120"/>
    </row>
    <row r="52" spans="1:9" ht="22.9" customHeight="1" x14ac:dyDescent="0.2">
      <c r="A52" s="21" t="s">
        <v>45</v>
      </c>
      <c r="B52" s="122" t="s">
        <v>173</v>
      </c>
      <c r="C52" s="122"/>
      <c r="D52" s="122"/>
      <c r="E52" s="122"/>
      <c r="F52" s="122"/>
      <c r="G52" s="122"/>
      <c r="H52" s="122"/>
      <c r="I52" s="22" t="s">
        <v>46</v>
      </c>
    </row>
    <row r="53" spans="1:9" ht="29.25" customHeight="1" x14ac:dyDescent="0.2">
      <c r="A53" s="23" t="s">
        <v>6</v>
      </c>
      <c r="B53" s="177" t="s">
        <v>178</v>
      </c>
      <c r="C53" s="177"/>
      <c r="D53" s="177"/>
      <c r="E53" s="177"/>
      <c r="F53" s="177"/>
      <c r="G53" s="177"/>
      <c r="H53" s="113">
        <v>8.3299999999999999E-2</v>
      </c>
      <c r="I53" s="115">
        <f>ROUND(I42*H53,2)</f>
        <v>313.52</v>
      </c>
    </row>
    <row r="54" spans="1:9" ht="40.5" customHeight="1" x14ac:dyDescent="0.2">
      <c r="A54" s="23" t="s">
        <v>8</v>
      </c>
      <c r="B54" s="178" t="s">
        <v>189</v>
      </c>
      <c r="C54" s="178"/>
      <c r="D54" s="178"/>
      <c r="E54" s="178"/>
      <c r="F54" s="178"/>
      <c r="G54" s="178"/>
      <c r="H54" s="114">
        <v>3.0249999999999999E-2</v>
      </c>
      <c r="I54" s="115">
        <f>ROUND(I42*H54,2)</f>
        <v>113.85</v>
      </c>
    </row>
    <row r="55" spans="1:9" ht="15.75" customHeight="1" x14ac:dyDescent="0.2">
      <c r="A55" s="123" t="s">
        <v>47</v>
      </c>
      <c r="B55" s="123"/>
      <c r="C55" s="123"/>
      <c r="D55" s="123"/>
      <c r="E55" s="123"/>
      <c r="F55" s="123"/>
      <c r="G55" s="123"/>
      <c r="H55" s="123"/>
      <c r="I55" s="99">
        <f>SUM(I53+I54)</f>
        <v>427.37</v>
      </c>
    </row>
    <row r="56" spans="1:9" ht="15.75" customHeight="1" x14ac:dyDescent="0.2">
      <c r="A56" s="121"/>
      <c r="B56" s="121"/>
      <c r="C56" s="121"/>
      <c r="D56" s="121"/>
      <c r="E56" s="121"/>
      <c r="F56" s="121"/>
      <c r="G56" s="121"/>
      <c r="H56" s="121"/>
      <c r="I56" s="121"/>
    </row>
    <row r="57" spans="1:9" ht="18.95" customHeight="1" x14ac:dyDescent="0.2">
      <c r="A57" s="183"/>
      <c r="B57" s="183"/>
      <c r="C57" s="183"/>
      <c r="D57" s="183"/>
      <c r="E57" s="183"/>
      <c r="F57" s="183"/>
      <c r="G57" s="183"/>
      <c r="H57" s="183"/>
      <c r="I57" s="183"/>
    </row>
    <row r="58" spans="1:9" s="28" customFormat="1" ht="32.25" customHeight="1" x14ac:dyDescent="0.2">
      <c r="A58" s="184" t="s">
        <v>158</v>
      </c>
      <c r="B58" s="184"/>
      <c r="C58" s="184"/>
      <c r="D58" s="184"/>
      <c r="E58" s="184"/>
      <c r="F58" s="184"/>
      <c r="G58" s="184"/>
      <c r="H58" s="184"/>
      <c r="I58" s="184"/>
    </row>
    <row r="59" spans="1:9" s="28" customFormat="1" ht="27" customHeight="1" x14ac:dyDescent="0.2">
      <c r="A59" s="29" t="s">
        <v>48</v>
      </c>
      <c r="B59" s="185" t="s">
        <v>142</v>
      </c>
      <c r="C59" s="185"/>
      <c r="D59" s="185"/>
      <c r="E59" s="185"/>
      <c r="F59" s="185"/>
      <c r="G59" s="185"/>
      <c r="H59" s="31" t="s">
        <v>35</v>
      </c>
      <c r="I59" s="30" t="s">
        <v>50</v>
      </c>
    </row>
    <row r="60" spans="1:9" s="28" customFormat="1" ht="18.95" customHeight="1" x14ac:dyDescent="0.2">
      <c r="A60" s="32" t="s">
        <v>6</v>
      </c>
      <c r="B60" s="176" t="s">
        <v>51</v>
      </c>
      <c r="C60" s="176"/>
      <c r="D60" s="176"/>
      <c r="E60" s="176"/>
      <c r="F60" s="176"/>
      <c r="G60" s="176"/>
      <c r="H60" s="33">
        <v>0.2</v>
      </c>
      <c r="I60" s="34">
        <f>ROUND((I42+I55)*H60,2)</f>
        <v>838.23</v>
      </c>
    </row>
    <row r="61" spans="1:9" s="28" customFormat="1" ht="18.95" customHeight="1" x14ac:dyDescent="0.2">
      <c r="A61" s="32" t="s">
        <v>8</v>
      </c>
      <c r="B61" s="176" t="s">
        <v>52</v>
      </c>
      <c r="C61" s="176"/>
      <c r="D61" s="176"/>
      <c r="E61" s="176"/>
      <c r="F61" s="176"/>
      <c r="G61" s="176"/>
      <c r="H61" s="35">
        <v>2.5000000000000001E-2</v>
      </c>
      <c r="I61" s="34">
        <f>ROUND((I42+I55)*H61,2)</f>
        <v>104.78</v>
      </c>
    </row>
    <row r="62" spans="1:9" s="28" customFormat="1" ht="46.5" customHeight="1" x14ac:dyDescent="0.2">
      <c r="A62" s="32" t="s">
        <v>10</v>
      </c>
      <c r="B62" s="126" t="s">
        <v>143</v>
      </c>
      <c r="C62" s="126"/>
      <c r="D62" s="36" t="s">
        <v>53</v>
      </c>
      <c r="E62" s="37">
        <v>0.03</v>
      </c>
      <c r="F62" s="36" t="s">
        <v>54</v>
      </c>
      <c r="G62" s="38">
        <v>1</v>
      </c>
      <c r="H62" s="39">
        <f>ROUND((E62*G62),6)</f>
        <v>0.03</v>
      </c>
      <c r="I62" s="34">
        <f>ROUND((I42+I55)*H62,2)</f>
        <v>125.73</v>
      </c>
    </row>
    <row r="63" spans="1:9" s="28" customFormat="1" ht="15.75" customHeight="1" x14ac:dyDescent="0.2">
      <c r="A63" s="32" t="s">
        <v>12</v>
      </c>
      <c r="B63" s="176" t="s">
        <v>55</v>
      </c>
      <c r="C63" s="176"/>
      <c r="D63" s="176"/>
      <c r="E63" s="176"/>
      <c r="F63" s="176"/>
      <c r="G63" s="176"/>
      <c r="H63" s="33">
        <v>1.4999999999999999E-2</v>
      </c>
      <c r="I63" s="34">
        <f>ROUND((I42+I55)*H63,2)</f>
        <v>62.87</v>
      </c>
    </row>
    <row r="64" spans="1:9" s="28" customFormat="1" ht="15.75" customHeight="1" x14ac:dyDescent="0.2">
      <c r="A64" s="32" t="s">
        <v>38</v>
      </c>
      <c r="B64" s="176" t="s">
        <v>56</v>
      </c>
      <c r="C64" s="176"/>
      <c r="D64" s="176"/>
      <c r="E64" s="176"/>
      <c r="F64" s="176"/>
      <c r="G64" s="176"/>
      <c r="H64" s="33">
        <v>0.01</v>
      </c>
      <c r="I64" s="34">
        <f>ROUND((I42+I55)*H64,2)</f>
        <v>41.91</v>
      </c>
    </row>
    <row r="65" spans="1:10" s="28" customFormat="1" ht="15.75" customHeight="1" x14ac:dyDescent="0.2">
      <c r="A65" s="32" t="s">
        <v>39</v>
      </c>
      <c r="B65" s="126" t="s">
        <v>57</v>
      </c>
      <c r="C65" s="126"/>
      <c r="D65" s="126"/>
      <c r="E65" s="126"/>
      <c r="F65" s="126"/>
      <c r="G65" s="126"/>
      <c r="H65" s="35">
        <v>6.0000000000000001E-3</v>
      </c>
      <c r="I65" s="34">
        <f>ROUND((I42+I55)*H65,2)</f>
        <v>25.15</v>
      </c>
    </row>
    <row r="66" spans="1:10" s="28" customFormat="1" ht="15.75" customHeight="1" x14ac:dyDescent="0.2">
      <c r="A66" s="32" t="s">
        <v>41</v>
      </c>
      <c r="B66" s="176" t="s">
        <v>58</v>
      </c>
      <c r="C66" s="176"/>
      <c r="D66" s="176"/>
      <c r="E66" s="176"/>
      <c r="F66" s="176"/>
      <c r="G66" s="176"/>
      <c r="H66" s="33">
        <v>2E-3</v>
      </c>
      <c r="I66" s="34">
        <f>ROUND((I42+I55)*H66,2)</f>
        <v>8.3800000000000008</v>
      </c>
    </row>
    <row r="67" spans="1:10" ht="15.75" customHeight="1" x14ac:dyDescent="0.2">
      <c r="A67" s="32" t="s">
        <v>59</v>
      </c>
      <c r="B67" s="126" t="s">
        <v>60</v>
      </c>
      <c r="C67" s="126"/>
      <c r="D67" s="126"/>
      <c r="E67" s="126"/>
      <c r="F67" s="126"/>
      <c r="G67" s="126"/>
      <c r="H67" s="35">
        <v>0.08</v>
      </c>
      <c r="I67" s="34">
        <f>ROUND((I42+I55)*H67,2)</f>
        <v>335.29</v>
      </c>
      <c r="J67" s="28"/>
    </row>
    <row r="68" spans="1:10" ht="15.75" customHeight="1" x14ac:dyDescent="0.2">
      <c r="A68" s="187" t="s">
        <v>47</v>
      </c>
      <c r="B68" s="187"/>
      <c r="C68" s="187"/>
      <c r="D68" s="187"/>
      <c r="E68" s="187"/>
      <c r="F68" s="187"/>
      <c r="G68" s="187"/>
      <c r="H68" s="40">
        <f>SUM(H60:H67)</f>
        <v>0.36800000000000005</v>
      </c>
      <c r="I68" s="41">
        <f>SUM(I60:I67)</f>
        <v>1542.3400000000001</v>
      </c>
      <c r="J68" s="28"/>
    </row>
    <row r="69" spans="1:10" ht="19.5" customHeight="1" x14ac:dyDescent="0.2">
      <c r="A69" s="42"/>
      <c r="B69" s="43"/>
      <c r="C69" s="43"/>
      <c r="D69" s="43"/>
      <c r="E69" s="43"/>
      <c r="F69" s="43"/>
      <c r="G69" s="43"/>
      <c r="H69" s="44"/>
      <c r="I69" s="45"/>
    </row>
    <row r="70" spans="1:10" ht="17.25" customHeight="1" x14ac:dyDescent="0.2">
      <c r="A70" s="143"/>
      <c r="B70" s="143"/>
      <c r="C70" s="143"/>
      <c r="D70" s="143"/>
      <c r="E70" s="143"/>
      <c r="F70" s="143"/>
      <c r="G70" s="143"/>
      <c r="H70" s="143"/>
      <c r="I70" s="143"/>
    </row>
    <row r="71" spans="1:10" ht="20.65" customHeight="1" x14ac:dyDescent="0.2">
      <c r="A71" s="186" t="s">
        <v>61</v>
      </c>
      <c r="B71" s="186"/>
      <c r="C71" s="186"/>
      <c r="D71" s="186"/>
      <c r="E71" s="186"/>
      <c r="F71" s="186"/>
      <c r="G71" s="186"/>
      <c r="H71" s="186"/>
      <c r="I71" s="186"/>
    </row>
    <row r="72" spans="1:10" ht="27" customHeight="1" x14ac:dyDescent="0.2">
      <c r="A72" s="46" t="s">
        <v>62</v>
      </c>
      <c r="B72" s="162" t="s">
        <v>63</v>
      </c>
      <c r="C72" s="162"/>
      <c r="D72" s="162"/>
      <c r="E72" s="162"/>
      <c r="F72" s="162"/>
      <c r="G72" s="162"/>
      <c r="H72" s="162"/>
      <c r="I72" s="13" t="s">
        <v>46</v>
      </c>
    </row>
    <row r="73" spans="1:10" ht="27" customHeight="1" x14ac:dyDescent="0.2">
      <c r="A73" s="47" t="s">
        <v>144</v>
      </c>
      <c r="B73" s="173" t="s">
        <v>145</v>
      </c>
      <c r="C73" s="173"/>
      <c r="D73" s="173"/>
      <c r="E73" s="173"/>
      <c r="F73" s="173"/>
      <c r="G73" s="173"/>
      <c r="H73" s="173"/>
      <c r="I73" s="48">
        <f>IF(ROUND((H75*H77*H76)-(I39*H78),2)&lt;0,0,ROUND((H75*H77*H76)-(I39*H78),2))</f>
        <v>78.290000000000006</v>
      </c>
    </row>
    <row r="74" spans="1:10" ht="49.9" customHeight="1" x14ac:dyDescent="0.2">
      <c r="A74" s="47" t="s">
        <v>146</v>
      </c>
      <c r="B74" s="126" t="s">
        <v>182</v>
      </c>
      <c r="C74" s="126"/>
      <c r="D74" s="126"/>
      <c r="E74" s="126"/>
      <c r="F74" s="126"/>
      <c r="G74" s="126"/>
      <c r="H74" s="126"/>
      <c r="I74" s="34">
        <f>IF(ROUND((H75*H77*H76)-(H26*0.5*30*1.2*H78),2)&lt;0,0,ROUND((H75*H77*H76)-((H26*0.5*30*1.2)*H78),2))</f>
        <v>244.89</v>
      </c>
    </row>
    <row r="75" spans="1:10" ht="27.6" customHeight="1" x14ac:dyDescent="0.2">
      <c r="A75" s="47"/>
      <c r="B75" s="188" t="s">
        <v>151</v>
      </c>
      <c r="C75" s="188"/>
      <c r="D75" s="188"/>
      <c r="E75" s="188"/>
      <c r="F75" s="188"/>
      <c r="G75" s="188"/>
      <c r="H75" s="49">
        <v>4.2</v>
      </c>
      <c r="I75" s="50" t="s">
        <v>19</v>
      </c>
    </row>
    <row r="76" spans="1:10" ht="18.95" customHeight="1" x14ac:dyDescent="0.2">
      <c r="A76" s="47"/>
      <c r="B76" s="126" t="s">
        <v>64</v>
      </c>
      <c r="C76" s="126"/>
      <c r="D76" s="126"/>
      <c r="E76" s="126"/>
      <c r="F76" s="126"/>
      <c r="G76" s="126"/>
      <c r="H76" s="51">
        <v>2</v>
      </c>
      <c r="I76" s="50" t="s">
        <v>19</v>
      </c>
    </row>
    <row r="77" spans="1:10" ht="20.100000000000001" customHeight="1" x14ac:dyDescent="0.2">
      <c r="A77" s="47"/>
      <c r="B77" s="154" t="s">
        <v>152</v>
      </c>
      <c r="C77" s="154"/>
      <c r="D77" s="154"/>
      <c r="E77" s="154"/>
      <c r="F77" s="154"/>
      <c r="G77" s="154"/>
      <c r="H77" s="52">
        <v>30</v>
      </c>
      <c r="I77" s="50" t="s">
        <v>19</v>
      </c>
    </row>
    <row r="78" spans="1:10" ht="20.100000000000001" customHeight="1" x14ac:dyDescent="0.2">
      <c r="A78" s="47"/>
      <c r="B78" s="188" t="s">
        <v>191</v>
      </c>
      <c r="C78" s="189"/>
      <c r="D78" s="189"/>
      <c r="E78" s="189"/>
      <c r="F78" s="189"/>
      <c r="G78" s="190"/>
      <c r="H78" s="100">
        <v>0.06</v>
      </c>
      <c r="I78" s="50" t="s">
        <v>19</v>
      </c>
    </row>
    <row r="79" spans="1:10" ht="20.100000000000001" customHeight="1" x14ac:dyDescent="0.2">
      <c r="A79" s="47" t="s">
        <v>8</v>
      </c>
      <c r="B79" s="173" t="s">
        <v>65</v>
      </c>
      <c r="C79" s="173"/>
      <c r="D79" s="173"/>
      <c r="E79" s="173"/>
      <c r="F79" s="173"/>
      <c r="G79" s="173"/>
      <c r="H79" s="173"/>
      <c r="I79" s="53">
        <f>ROUND(H81*H80*(1-H82),2)*1+ROUND(21.726*6*(1-H82),2)*0</f>
        <v>461.52</v>
      </c>
    </row>
    <row r="80" spans="1:10" ht="14.65" customHeight="1" x14ac:dyDescent="0.2">
      <c r="A80" s="47"/>
      <c r="B80" s="173" t="s">
        <v>185</v>
      </c>
      <c r="C80" s="173"/>
      <c r="D80" s="173"/>
      <c r="E80" s="173"/>
      <c r="F80" s="173"/>
      <c r="G80" s="173"/>
      <c r="H80" s="49">
        <v>19.23</v>
      </c>
      <c r="I80" s="50" t="s">
        <v>19</v>
      </c>
    </row>
    <row r="81" spans="1:10" ht="15.75" customHeight="1" x14ac:dyDescent="0.2">
      <c r="A81" s="47"/>
      <c r="B81" s="173" t="s">
        <v>66</v>
      </c>
      <c r="C81" s="173"/>
      <c r="D81" s="173"/>
      <c r="E81" s="173"/>
      <c r="F81" s="173"/>
      <c r="G81" s="173"/>
      <c r="H81" s="52">
        <v>30</v>
      </c>
      <c r="I81" s="50" t="s">
        <v>19</v>
      </c>
    </row>
    <row r="82" spans="1:10" ht="15.75" customHeight="1" x14ac:dyDescent="0.2">
      <c r="A82" s="47"/>
      <c r="B82" s="264" t="s">
        <v>150</v>
      </c>
      <c r="C82" s="265"/>
      <c r="D82" s="265"/>
      <c r="E82" s="265"/>
      <c r="F82" s="265"/>
      <c r="G82" s="266"/>
      <c r="H82" s="100">
        <v>0.2</v>
      </c>
      <c r="I82" s="50" t="s">
        <v>19</v>
      </c>
    </row>
    <row r="83" spans="1:10" ht="15.75" customHeight="1" x14ac:dyDescent="0.2">
      <c r="A83" s="47" t="s">
        <v>10</v>
      </c>
      <c r="B83" s="173" t="s">
        <v>67</v>
      </c>
      <c r="C83" s="173"/>
      <c r="D83" s="173"/>
      <c r="E83" s="173"/>
      <c r="F83" s="173"/>
      <c r="G83" s="173"/>
      <c r="H83" s="173"/>
      <c r="I83" s="48">
        <v>0</v>
      </c>
    </row>
    <row r="84" spans="1:10" ht="26.45" customHeight="1" x14ac:dyDescent="0.2">
      <c r="A84" s="47" t="s">
        <v>12</v>
      </c>
      <c r="B84" s="173" t="s">
        <v>186</v>
      </c>
      <c r="C84" s="173"/>
      <c r="D84" s="173"/>
      <c r="E84" s="173"/>
      <c r="F84" s="173"/>
      <c r="G84" s="173"/>
      <c r="H84" s="173"/>
      <c r="I84" s="34">
        <f>ROUND(($I$42+I123)*26*0.00023,2)</f>
        <v>23.43</v>
      </c>
    </row>
    <row r="85" spans="1:10" s="28" customFormat="1" ht="25.35" customHeight="1" x14ac:dyDescent="0.2">
      <c r="A85" s="47" t="s">
        <v>38</v>
      </c>
      <c r="B85" s="126" t="s">
        <v>187</v>
      </c>
      <c r="C85" s="126"/>
      <c r="D85" s="126"/>
      <c r="E85" s="126"/>
      <c r="F85" s="126"/>
      <c r="G85" s="126"/>
      <c r="H85" s="126"/>
      <c r="I85" s="34">
        <f>ROUND((($I$39+(H26*30*1.2))*0.0052066)/12,2)</f>
        <v>1.36</v>
      </c>
      <c r="J85" s="1"/>
    </row>
    <row r="86" spans="1:10" s="28" customFormat="1" ht="15.75" customHeight="1" x14ac:dyDescent="0.2">
      <c r="A86" s="47" t="s">
        <v>39</v>
      </c>
      <c r="B86" s="193" t="s">
        <v>68</v>
      </c>
      <c r="C86" s="193"/>
      <c r="D86" s="193"/>
      <c r="E86" s="193"/>
      <c r="F86" s="193"/>
      <c r="G86" s="193"/>
      <c r="H86" s="193"/>
      <c r="I86" s="54">
        <v>0</v>
      </c>
    </row>
    <row r="87" spans="1:10" s="28" customFormat="1" ht="18.399999999999999" customHeight="1" x14ac:dyDescent="0.2">
      <c r="A87" s="55"/>
      <c r="B87" s="191" t="s">
        <v>47</v>
      </c>
      <c r="C87" s="191"/>
      <c r="D87" s="191"/>
      <c r="E87" s="191"/>
      <c r="F87" s="191"/>
      <c r="G87" s="191"/>
      <c r="H87" s="191"/>
      <c r="I87" s="41">
        <f>SUM(I73:I86)</f>
        <v>809.49</v>
      </c>
    </row>
    <row r="88" spans="1:10" s="28" customFormat="1" ht="17.25" customHeight="1" x14ac:dyDescent="0.2">
      <c r="A88" s="143"/>
      <c r="B88" s="143"/>
      <c r="C88" s="143"/>
      <c r="D88" s="143"/>
      <c r="E88" s="143"/>
      <c r="F88" s="143"/>
      <c r="G88" s="143"/>
      <c r="H88" s="143"/>
      <c r="I88" s="143"/>
    </row>
    <row r="89" spans="1:10" s="28" customFormat="1" ht="17.25" customHeight="1" x14ac:dyDescent="0.2">
      <c r="A89" s="192"/>
      <c r="B89" s="192"/>
      <c r="C89" s="192"/>
      <c r="D89" s="192"/>
      <c r="E89" s="192"/>
      <c r="F89" s="192"/>
      <c r="G89" s="192"/>
      <c r="H89" s="192"/>
      <c r="I89" s="192"/>
    </row>
    <row r="90" spans="1:10" s="28" customFormat="1" ht="17.25" customHeight="1" x14ac:dyDescent="0.2">
      <c r="A90" s="198" t="s">
        <v>69</v>
      </c>
      <c r="B90" s="198"/>
      <c r="C90" s="198"/>
      <c r="D90" s="198"/>
      <c r="E90" s="198"/>
      <c r="F90" s="198"/>
      <c r="G90" s="198"/>
      <c r="H90" s="198"/>
      <c r="I90" s="198"/>
    </row>
    <row r="91" spans="1:10" s="28" customFormat="1" ht="16.149999999999999" customHeight="1" x14ac:dyDescent="0.2">
      <c r="A91" s="30">
        <v>2</v>
      </c>
      <c r="B91" s="185" t="s">
        <v>70</v>
      </c>
      <c r="C91" s="185"/>
      <c r="D91" s="185"/>
      <c r="E91" s="185"/>
      <c r="F91" s="185"/>
      <c r="G91" s="185"/>
      <c r="H91" s="185"/>
      <c r="I91" s="30" t="s">
        <v>46</v>
      </c>
    </row>
    <row r="92" spans="1:10" s="28" customFormat="1" ht="14.85" customHeight="1" x14ac:dyDescent="0.2">
      <c r="A92" s="56" t="s">
        <v>45</v>
      </c>
      <c r="B92" s="194" t="s">
        <v>174</v>
      </c>
      <c r="C92" s="194"/>
      <c r="D92" s="194"/>
      <c r="E92" s="194"/>
      <c r="F92" s="194"/>
      <c r="G92" s="194"/>
      <c r="H92" s="194"/>
      <c r="I92" s="57">
        <f>I55</f>
        <v>427.37</v>
      </c>
    </row>
    <row r="93" spans="1:10" s="28" customFormat="1" ht="14.65" customHeight="1" x14ac:dyDescent="0.2">
      <c r="A93" s="56" t="s">
        <v>48</v>
      </c>
      <c r="B93" s="194" t="s">
        <v>49</v>
      </c>
      <c r="C93" s="194"/>
      <c r="D93" s="194"/>
      <c r="E93" s="194"/>
      <c r="F93" s="194"/>
      <c r="G93" s="194"/>
      <c r="H93" s="194"/>
      <c r="I93" s="57">
        <f>I68</f>
        <v>1542.3400000000001</v>
      </c>
    </row>
    <row r="94" spans="1:10" s="28" customFormat="1" ht="14.65" customHeight="1" x14ac:dyDescent="0.2">
      <c r="A94" s="56" t="s">
        <v>62</v>
      </c>
      <c r="B94" s="194" t="s">
        <v>63</v>
      </c>
      <c r="C94" s="194"/>
      <c r="D94" s="194"/>
      <c r="E94" s="194"/>
      <c r="F94" s="194"/>
      <c r="G94" s="194"/>
      <c r="H94" s="194"/>
      <c r="I94" s="57">
        <f>I87</f>
        <v>809.49</v>
      </c>
    </row>
    <row r="95" spans="1:10" s="28" customFormat="1" ht="14.65" customHeight="1" x14ac:dyDescent="0.2">
      <c r="A95" s="195" t="s">
        <v>47</v>
      </c>
      <c r="B95" s="195"/>
      <c r="C95" s="195"/>
      <c r="D95" s="195"/>
      <c r="E95" s="195"/>
      <c r="F95" s="195"/>
      <c r="G95" s="195"/>
      <c r="H95" s="195"/>
      <c r="I95" s="58">
        <f>SUM(I92+I93+I94)</f>
        <v>2779.2</v>
      </c>
    </row>
    <row r="96" spans="1:10" s="28" customFormat="1" ht="8.65" customHeight="1" x14ac:dyDescent="0.2">
      <c r="A96" s="196"/>
      <c r="B96" s="196"/>
      <c r="C96" s="196"/>
      <c r="D96" s="196"/>
      <c r="E96" s="196"/>
      <c r="F96" s="196"/>
      <c r="G96" s="196"/>
      <c r="H96" s="196"/>
      <c r="I96" s="196"/>
    </row>
    <row r="97" spans="1:9" s="28" customFormat="1" ht="20.65" customHeight="1" x14ac:dyDescent="0.2">
      <c r="A97" s="197" t="s">
        <v>71</v>
      </c>
      <c r="B97" s="197"/>
      <c r="C97" s="197"/>
      <c r="D97" s="197"/>
      <c r="E97" s="197"/>
      <c r="F97" s="197"/>
      <c r="G97" s="197"/>
      <c r="H97" s="197"/>
      <c r="I97" s="197"/>
    </row>
    <row r="98" spans="1:9" s="28" customFormat="1" ht="15.75" customHeight="1" x14ac:dyDescent="0.2">
      <c r="A98" s="46">
        <v>3</v>
      </c>
      <c r="B98" s="200" t="s">
        <v>147</v>
      </c>
      <c r="C98" s="200"/>
      <c r="D98" s="200"/>
      <c r="E98" s="200"/>
      <c r="F98" s="200"/>
      <c r="G98" s="200"/>
      <c r="H98" s="200"/>
      <c r="I98" s="46" t="s">
        <v>46</v>
      </c>
    </row>
    <row r="99" spans="1:9" s="28" customFormat="1" ht="46.5" customHeight="1" x14ac:dyDescent="0.2">
      <c r="A99" s="47" t="s">
        <v>6</v>
      </c>
      <c r="B99" s="201" t="s">
        <v>159</v>
      </c>
      <c r="C99" s="201"/>
      <c r="D99" s="201"/>
      <c r="E99" s="201"/>
      <c r="F99" s="201"/>
      <c r="G99" s="201"/>
      <c r="H99" s="201"/>
      <c r="I99" s="34">
        <f>ROUND((($I$42/12)+($I$53/12)+($I$42/12/12)+($I$54/12))*(30/30)*0.05,2)</f>
        <v>18.77</v>
      </c>
    </row>
    <row r="100" spans="1:9" s="28" customFormat="1" ht="14.65" customHeight="1" x14ac:dyDescent="0.2">
      <c r="A100" s="47" t="s">
        <v>8</v>
      </c>
      <c r="B100" s="199" t="s">
        <v>72</v>
      </c>
      <c r="C100" s="199"/>
      <c r="D100" s="199"/>
      <c r="E100" s="199"/>
      <c r="F100" s="199"/>
      <c r="G100" s="199"/>
      <c r="H100" s="199"/>
      <c r="I100" s="34">
        <f>ROUND($H$67*I99,2)</f>
        <v>1.5</v>
      </c>
    </row>
    <row r="101" spans="1:9" s="28" customFormat="1" ht="33.200000000000003" customHeight="1" x14ac:dyDescent="0.2">
      <c r="A101" s="47" t="s">
        <v>10</v>
      </c>
      <c r="B101" s="176" t="s">
        <v>160</v>
      </c>
      <c r="C101" s="176"/>
      <c r="D101" s="176"/>
      <c r="E101" s="176"/>
      <c r="F101" s="176"/>
      <c r="G101" s="176"/>
      <c r="H101" s="176"/>
      <c r="I101" s="34">
        <f>ROUND(((7/30)/$H$11)*$I$42*1,2)</f>
        <v>73.180000000000007</v>
      </c>
    </row>
    <row r="102" spans="1:9" s="28" customFormat="1" ht="23.45" customHeight="1" x14ac:dyDescent="0.2">
      <c r="A102" s="47" t="s">
        <v>12</v>
      </c>
      <c r="B102" s="199" t="s">
        <v>73</v>
      </c>
      <c r="C102" s="199"/>
      <c r="D102" s="199"/>
      <c r="E102" s="199"/>
      <c r="F102" s="199"/>
      <c r="G102" s="199"/>
      <c r="H102" s="199"/>
      <c r="I102" s="34">
        <f>ROUND($H$68*I101,2)</f>
        <v>26.93</v>
      </c>
    </row>
    <row r="103" spans="1:9" s="28" customFormat="1" ht="40.5" customHeight="1" x14ac:dyDescent="0.2">
      <c r="A103" s="47" t="s">
        <v>38</v>
      </c>
      <c r="B103" s="176" t="s">
        <v>179</v>
      </c>
      <c r="C103" s="176"/>
      <c r="D103" s="176"/>
      <c r="E103" s="176"/>
      <c r="F103" s="176"/>
      <c r="G103" s="176"/>
      <c r="H103" s="116">
        <v>0.05</v>
      </c>
      <c r="I103" s="34">
        <f>ROUND(I42*H103,2)</f>
        <v>188.19</v>
      </c>
    </row>
    <row r="104" spans="1:9" s="28" customFormat="1" ht="15.75" customHeight="1" x14ac:dyDescent="0.2">
      <c r="A104" s="187" t="s">
        <v>47</v>
      </c>
      <c r="B104" s="187"/>
      <c r="C104" s="187"/>
      <c r="D104" s="187"/>
      <c r="E104" s="187"/>
      <c r="F104" s="187"/>
      <c r="G104" s="187"/>
      <c r="H104" s="187"/>
      <c r="I104" s="41">
        <f>SUM(I99:I103)</f>
        <v>308.57</v>
      </c>
    </row>
    <row r="105" spans="1:9" s="28" customFormat="1" ht="15.75" customHeight="1" x14ac:dyDescent="0.2">
      <c r="A105" s="202"/>
      <c r="B105" s="202"/>
      <c r="C105" s="202"/>
      <c r="D105" s="202"/>
      <c r="E105" s="202"/>
      <c r="F105" s="202"/>
      <c r="G105" s="202"/>
      <c r="H105" s="202"/>
      <c r="I105" s="202"/>
    </row>
    <row r="106" spans="1:9" ht="21.75" customHeight="1" x14ac:dyDescent="0.2">
      <c r="A106" s="203" t="s">
        <v>74</v>
      </c>
      <c r="B106" s="203"/>
      <c r="C106" s="203"/>
      <c r="D106" s="203"/>
      <c r="E106" s="203"/>
      <c r="F106" s="203"/>
      <c r="G106" s="203"/>
      <c r="H106" s="203"/>
      <c r="I106" s="203"/>
    </row>
    <row r="107" spans="1:9" ht="90" customHeight="1" x14ac:dyDescent="0.2">
      <c r="A107" s="204" t="s">
        <v>181</v>
      </c>
      <c r="B107" s="204"/>
      <c r="C107" s="204"/>
      <c r="D107" s="204"/>
      <c r="E107" s="204"/>
      <c r="F107" s="204"/>
      <c r="G107" s="204"/>
      <c r="H107" s="204"/>
      <c r="I107" s="59">
        <f>I42+I53+I54+I111</f>
        <v>4532.6900000000005</v>
      </c>
    </row>
    <row r="108" spans="1:9" ht="12" customHeight="1" x14ac:dyDescent="0.2">
      <c r="A108" s="205"/>
      <c r="B108" s="205"/>
      <c r="C108" s="205"/>
      <c r="D108" s="205"/>
      <c r="E108" s="205"/>
      <c r="F108" s="205"/>
      <c r="G108" s="205"/>
      <c r="H108" s="205"/>
      <c r="I108" s="205"/>
    </row>
    <row r="109" spans="1:9" ht="24" customHeight="1" x14ac:dyDescent="0.2">
      <c r="A109" s="206" t="s">
        <v>75</v>
      </c>
      <c r="B109" s="206"/>
      <c r="C109" s="206"/>
      <c r="D109" s="206"/>
      <c r="E109" s="206"/>
      <c r="F109" s="206"/>
      <c r="G109" s="206"/>
      <c r="H109" s="206"/>
      <c r="I109" s="206"/>
    </row>
    <row r="110" spans="1:9" ht="24" customHeight="1" x14ac:dyDescent="0.25">
      <c r="A110" s="60" t="s">
        <v>76</v>
      </c>
      <c r="B110" s="200" t="s">
        <v>148</v>
      </c>
      <c r="C110" s="200"/>
      <c r="D110" s="200"/>
      <c r="E110" s="200"/>
      <c r="F110" s="200"/>
      <c r="G110" s="200"/>
      <c r="H110" s="200"/>
      <c r="I110" s="60" t="s">
        <v>46</v>
      </c>
    </row>
    <row r="111" spans="1:9" ht="42.75" customHeight="1" x14ac:dyDescent="0.2">
      <c r="A111" s="61" t="s">
        <v>6</v>
      </c>
      <c r="B111" s="177" t="s">
        <v>180</v>
      </c>
      <c r="C111" s="177"/>
      <c r="D111" s="177"/>
      <c r="E111" s="177"/>
      <c r="F111" s="177"/>
      <c r="G111" s="177"/>
      <c r="H111" s="117">
        <v>9.0749999999999997E-2</v>
      </c>
      <c r="I111" s="118">
        <f>ROUND(I42*H111,2)</f>
        <v>341.56</v>
      </c>
    </row>
    <row r="112" spans="1:9" ht="14.25" customHeight="1" x14ac:dyDescent="0.2">
      <c r="A112" s="61" t="s">
        <v>8</v>
      </c>
      <c r="B112" s="176" t="s">
        <v>78</v>
      </c>
      <c r="C112" s="176"/>
      <c r="D112" s="176"/>
      <c r="E112" s="176"/>
      <c r="F112" s="176"/>
      <c r="G112" s="176"/>
      <c r="H112" s="176"/>
      <c r="I112" s="34">
        <f>ROUND((2.96/30)/12*($I$107),2)</f>
        <v>37.270000000000003</v>
      </c>
    </row>
    <row r="113" spans="1:9" ht="15.75" customHeight="1" x14ac:dyDescent="0.2">
      <c r="A113" s="61" t="s">
        <v>10</v>
      </c>
      <c r="B113" s="176" t="s">
        <v>79</v>
      </c>
      <c r="C113" s="176"/>
      <c r="D113" s="176"/>
      <c r="E113" s="176"/>
      <c r="F113" s="176"/>
      <c r="G113" s="176"/>
      <c r="H113" s="176"/>
      <c r="I113" s="34">
        <f>ROUND((5/30)/12*0.015*($I$107),2)</f>
        <v>0.94</v>
      </c>
    </row>
    <row r="114" spans="1:9" ht="13.5" customHeight="1" x14ac:dyDescent="0.2">
      <c r="A114" s="61" t="s">
        <v>12</v>
      </c>
      <c r="B114" s="176" t="s">
        <v>80</v>
      </c>
      <c r="C114" s="176"/>
      <c r="D114" s="176"/>
      <c r="E114" s="176"/>
      <c r="F114" s="176"/>
      <c r="G114" s="176"/>
      <c r="H114" s="176"/>
      <c r="I114" s="34">
        <f>ROUND(((15/30)/12)*0.0078*($I$107),2)</f>
        <v>1.47</v>
      </c>
    </row>
    <row r="115" spans="1:9" ht="13.5" customHeight="1" x14ac:dyDescent="0.2">
      <c r="A115" s="47" t="s">
        <v>38</v>
      </c>
      <c r="B115" s="126" t="s">
        <v>166</v>
      </c>
      <c r="C115" s="126"/>
      <c r="D115" s="126"/>
      <c r="E115" s="126"/>
      <c r="F115" s="126"/>
      <c r="G115" s="126"/>
      <c r="H115" s="126"/>
      <c r="I115" s="34">
        <f>ROUND((1+1/3)/12*(4/12)*0.02*($I$42),2)</f>
        <v>2.79</v>
      </c>
    </row>
    <row r="116" spans="1:9" ht="15.75" customHeight="1" x14ac:dyDescent="0.2">
      <c r="A116" s="61" t="s">
        <v>39</v>
      </c>
      <c r="B116" s="199" t="s">
        <v>81</v>
      </c>
      <c r="C116" s="199"/>
      <c r="D116" s="199"/>
      <c r="E116" s="199"/>
      <c r="F116" s="199"/>
      <c r="G116" s="199"/>
      <c r="H116" s="199"/>
      <c r="I116" s="62">
        <f>ROUND(((3/30)/12)*($I$107),2)</f>
        <v>37.770000000000003</v>
      </c>
    </row>
    <row r="117" spans="1:9" ht="15.75" customHeight="1" x14ac:dyDescent="0.2">
      <c r="A117" s="187" t="s">
        <v>47</v>
      </c>
      <c r="B117" s="187"/>
      <c r="C117" s="187"/>
      <c r="D117" s="187"/>
      <c r="E117" s="187"/>
      <c r="F117" s="187"/>
      <c r="G117" s="187"/>
      <c r="H117" s="187"/>
      <c r="I117" s="63">
        <f>SUM(I111:I116)</f>
        <v>421.8</v>
      </c>
    </row>
    <row r="118" spans="1:9" ht="15.75" customHeight="1" x14ac:dyDescent="0.2">
      <c r="A118" s="61" t="s">
        <v>41</v>
      </c>
      <c r="B118" s="207" t="s">
        <v>82</v>
      </c>
      <c r="C118" s="207"/>
      <c r="D118" s="207"/>
      <c r="E118" s="207"/>
      <c r="F118" s="207"/>
      <c r="G118" s="207"/>
      <c r="H118" s="207"/>
      <c r="I118" s="64">
        <f>ROUND(H68*I117,2)</f>
        <v>155.22</v>
      </c>
    </row>
    <row r="119" spans="1:9" ht="15.75" customHeight="1" x14ac:dyDescent="0.2">
      <c r="A119" s="187" t="s">
        <v>47</v>
      </c>
      <c r="B119" s="187"/>
      <c r="C119" s="187"/>
      <c r="D119" s="187"/>
      <c r="E119" s="187"/>
      <c r="F119" s="187"/>
      <c r="G119" s="187"/>
      <c r="H119" s="187"/>
      <c r="I119" s="41">
        <f>SUM(I117:I118)</f>
        <v>577.02</v>
      </c>
    </row>
    <row r="120" spans="1:9" ht="15" customHeight="1" x14ac:dyDescent="0.2">
      <c r="A120" s="209"/>
      <c r="B120" s="209"/>
      <c r="C120" s="209"/>
      <c r="D120" s="209"/>
      <c r="E120" s="209"/>
      <c r="F120" s="209"/>
      <c r="G120" s="209"/>
      <c r="H120" s="209"/>
      <c r="I120" s="209"/>
    </row>
    <row r="121" spans="1:9" ht="15.75" customHeight="1" x14ac:dyDescent="0.2">
      <c r="A121" s="186" t="s">
        <v>83</v>
      </c>
      <c r="B121" s="186"/>
      <c r="C121" s="186"/>
      <c r="D121" s="186"/>
      <c r="E121" s="186"/>
      <c r="F121" s="186"/>
      <c r="G121" s="186"/>
      <c r="H121" s="186"/>
      <c r="I121" s="186"/>
    </row>
    <row r="122" spans="1:9" ht="15.75" customHeight="1" x14ac:dyDescent="0.2">
      <c r="A122" s="65" t="s">
        <v>84</v>
      </c>
      <c r="B122" s="210" t="s">
        <v>85</v>
      </c>
      <c r="C122" s="210"/>
      <c r="D122" s="210"/>
      <c r="E122" s="210"/>
      <c r="F122" s="210"/>
      <c r="G122" s="210"/>
      <c r="H122" s="210"/>
      <c r="I122" s="66" t="s">
        <v>46</v>
      </c>
    </row>
    <row r="123" spans="1:9" ht="28.5" customHeight="1" x14ac:dyDescent="0.2">
      <c r="A123" s="23" t="s">
        <v>6</v>
      </c>
      <c r="B123" s="194" t="s">
        <v>183</v>
      </c>
      <c r="C123" s="194"/>
      <c r="D123" s="194"/>
      <c r="E123" s="194"/>
      <c r="F123" s="194"/>
      <c r="G123" s="194"/>
      <c r="H123" s="194"/>
      <c r="I123" s="24">
        <f>ROUND(H27*0.5*30*1.2,2)</f>
        <v>153.9</v>
      </c>
    </row>
    <row r="124" spans="1:9" ht="27.6" customHeight="1" x14ac:dyDescent="0.2">
      <c r="A124" s="23"/>
      <c r="B124" s="194" t="s">
        <v>153</v>
      </c>
      <c r="C124" s="194"/>
      <c r="D124" s="194"/>
      <c r="E124" s="194"/>
      <c r="F124" s="194"/>
      <c r="G124" s="194"/>
      <c r="H124" s="194"/>
      <c r="I124" s="24">
        <f>ROUND(I123/12,2)+ROUND(I123/12,2)+ROUND(I123/3/12,2)</f>
        <v>29.94</v>
      </c>
    </row>
    <row r="125" spans="1:9" ht="15.75" customHeight="1" x14ac:dyDescent="0.2">
      <c r="A125" s="208" t="s">
        <v>2</v>
      </c>
      <c r="B125" s="208"/>
      <c r="C125" s="208"/>
      <c r="D125" s="208"/>
      <c r="E125" s="208"/>
      <c r="F125" s="208"/>
      <c r="G125" s="208"/>
      <c r="H125" s="208"/>
      <c r="I125" s="24">
        <f>SUM(I123:I124)</f>
        <v>183.84</v>
      </c>
    </row>
    <row r="126" spans="1:9" ht="15.75" customHeight="1" x14ac:dyDescent="0.2">
      <c r="A126" s="25" t="s">
        <v>8</v>
      </c>
      <c r="B126" s="151" t="s">
        <v>86</v>
      </c>
      <c r="C126" s="151"/>
      <c r="D126" s="151"/>
      <c r="E126" s="151"/>
      <c r="F126" s="151"/>
      <c r="G126" s="151"/>
      <c r="H126" s="151"/>
      <c r="I126" s="26">
        <f>ROUND(H68*I125,2)</f>
        <v>67.650000000000006</v>
      </c>
    </row>
    <row r="127" spans="1:9" ht="15.75" customHeight="1" x14ac:dyDescent="0.2">
      <c r="A127" s="211" t="s">
        <v>165</v>
      </c>
      <c r="B127" s="211"/>
      <c r="C127" s="211"/>
      <c r="D127" s="211"/>
      <c r="E127" s="211"/>
      <c r="F127" s="211"/>
      <c r="G127" s="211"/>
      <c r="H127" s="211"/>
      <c r="I127" s="27">
        <f>SUM(I125:I126)</f>
        <v>251.49</v>
      </c>
    </row>
    <row r="128" spans="1:9" ht="8.25" customHeight="1" x14ac:dyDescent="0.2">
      <c r="A128" s="215"/>
      <c r="B128" s="216"/>
      <c r="C128" s="216"/>
      <c r="D128" s="216"/>
      <c r="E128" s="216"/>
      <c r="F128" s="216"/>
      <c r="G128" s="216"/>
      <c r="H128" s="216"/>
      <c r="I128" s="217"/>
    </row>
    <row r="129" spans="1:10" ht="26.25" customHeight="1" x14ac:dyDescent="0.2">
      <c r="A129" s="3" t="s">
        <v>10</v>
      </c>
      <c r="B129" s="173" t="s">
        <v>190</v>
      </c>
      <c r="C129" s="174"/>
      <c r="D129" s="174"/>
      <c r="E129" s="174"/>
      <c r="F129" s="174"/>
      <c r="G129" s="174"/>
      <c r="H129" s="175"/>
      <c r="I129" s="16">
        <f>ROUND($H$32*H33*15,2)</f>
        <v>33</v>
      </c>
    </row>
    <row r="130" spans="1:10" ht="46.5" customHeight="1" x14ac:dyDescent="0.2">
      <c r="A130" s="179" t="s">
        <v>1</v>
      </c>
      <c r="B130" s="180"/>
      <c r="C130" s="180"/>
      <c r="D130" s="180"/>
      <c r="E130" s="180"/>
      <c r="F130" s="180"/>
      <c r="G130" s="180"/>
      <c r="H130" s="181"/>
      <c r="I130" s="102">
        <f>I129</f>
        <v>33</v>
      </c>
    </row>
    <row r="131" spans="1:10" ht="24" customHeight="1" x14ac:dyDescent="0.2">
      <c r="A131" s="167"/>
      <c r="B131" s="168"/>
      <c r="C131" s="168"/>
      <c r="D131" s="168"/>
      <c r="E131" s="168"/>
      <c r="F131" s="168"/>
      <c r="G131" s="168"/>
      <c r="H131" s="168"/>
      <c r="I131" s="169"/>
    </row>
    <row r="132" spans="1:10" ht="19.5" customHeight="1" x14ac:dyDescent="0.2">
      <c r="A132" s="131" t="s">
        <v>157</v>
      </c>
      <c r="B132" s="131"/>
      <c r="C132" s="131"/>
      <c r="D132" s="131"/>
      <c r="E132" s="131"/>
      <c r="F132" s="131"/>
      <c r="G132" s="131"/>
      <c r="H132" s="131"/>
      <c r="I132" s="98">
        <f>I127+I130</f>
        <v>284.49</v>
      </c>
      <c r="J132" s="105"/>
    </row>
    <row r="133" spans="1:10" ht="13.5" customHeight="1" x14ac:dyDescent="0.2">
      <c r="A133" s="212"/>
      <c r="B133" s="213"/>
      <c r="C133" s="213"/>
      <c r="D133" s="213"/>
      <c r="E133" s="213"/>
      <c r="F133" s="213"/>
      <c r="G133" s="213"/>
      <c r="H133" s="214"/>
      <c r="I133" s="101"/>
    </row>
    <row r="134" spans="1:10" ht="9.1999999999999993" customHeight="1" x14ac:dyDescent="0.2">
      <c r="A134" s="220"/>
      <c r="B134" s="220"/>
      <c r="C134" s="220"/>
      <c r="D134" s="220"/>
      <c r="E134" s="220"/>
      <c r="F134" s="220"/>
      <c r="G134" s="220"/>
      <c r="H134" s="220"/>
      <c r="I134" s="220"/>
    </row>
    <row r="135" spans="1:10" ht="23.45" customHeight="1" x14ac:dyDescent="0.2">
      <c r="A135" s="119" t="s">
        <v>87</v>
      </c>
      <c r="B135" s="119"/>
      <c r="C135" s="119"/>
      <c r="D135" s="119"/>
      <c r="E135" s="119"/>
      <c r="F135" s="119"/>
      <c r="G135" s="119"/>
      <c r="H135" s="119"/>
      <c r="I135" s="119"/>
    </row>
    <row r="136" spans="1:10" ht="23.45" customHeight="1" x14ac:dyDescent="0.2">
      <c r="A136" s="30">
        <v>4</v>
      </c>
      <c r="B136" s="210" t="s">
        <v>88</v>
      </c>
      <c r="C136" s="210"/>
      <c r="D136" s="210"/>
      <c r="E136" s="210"/>
      <c r="F136" s="210"/>
      <c r="G136" s="210"/>
      <c r="H136" s="210"/>
      <c r="I136" s="66" t="s">
        <v>46</v>
      </c>
    </row>
    <row r="137" spans="1:10" ht="18.95" customHeight="1" x14ac:dyDescent="0.2">
      <c r="A137" s="67" t="s">
        <v>76</v>
      </c>
      <c r="B137" s="218" t="s">
        <v>77</v>
      </c>
      <c r="C137" s="218"/>
      <c r="D137" s="218"/>
      <c r="E137" s="218"/>
      <c r="F137" s="218"/>
      <c r="G137" s="218"/>
      <c r="H137" s="218"/>
      <c r="I137" s="24">
        <f>I119</f>
        <v>577.02</v>
      </c>
    </row>
    <row r="138" spans="1:10" ht="21.75" customHeight="1" x14ac:dyDescent="0.2">
      <c r="A138" s="67" t="s">
        <v>89</v>
      </c>
      <c r="B138" s="218" t="s">
        <v>85</v>
      </c>
      <c r="C138" s="218"/>
      <c r="D138" s="218"/>
      <c r="E138" s="218"/>
      <c r="F138" s="218"/>
      <c r="G138" s="218"/>
      <c r="H138" s="218"/>
      <c r="I138" s="24">
        <f>I132</f>
        <v>284.49</v>
      </c>
    </row>
    <row r="139" spans="1:10" ht="23.45" customHeight="1" x14ac:dyDescent="0.2">
      <c r="A139" s="219" t="s">
        <v>47</v>
      </c>
      <c r="B139" s="219"/>
      <c r="C139" s="219"/>
      <c r="D139" s="219"/>
      <c r="E139" s="219"/>
      <c r="F139" s="219"/>
      <c r="G139" s="219"/>
      <c r="H139" s="219"/>
      <c r="I139" s="27">
        <f>SUM(I137+I138)</f>
        <v>861.51</v>
      </c>
    </row>
    <row r="140" spans="1:10" ht="14.25" customHeight="1" x14ac:dyDescent="0.2">
      <c r="A140" s="202"/>
      <c r="B140" s="202"/>
      <c r="C140" s="202"/>
      <c r="D140" s="202"/>
      <c r="E140" s="202"/>
      <c r="F140" s="202"/>
      <c r="G140" s="202"/>
      <c r="H140" s="202"/>
      <c r="I140" s="202"/>
    </row>
    <row r="141" spans="1:10" s="28" customFormat="1" ht="27.75" customHeight="1" x14ac:dyDescent="0.2">
      <c r="A141" s="203" t="s">
        <v>90</v>
      </c>
      <c r="B141" s="203"/>
      <c r="C141" s="203"/>
      <c r="D141" s="203"/>
      <c r="E141" s="203"/>
      <c r="F141" s="203"/>
      <c r="G141" s="203"/>
      <c r="H141" s="203"/>
      <c r="I141" s="203"/>
    </row>
    <row r="142" spans="1:10" ht="27" customHeight="1" x14ac:dyDescent="0.2">
      <c r="A142" s="46">
        <v>3</v>
      </c>
      <c r="B142" s="162" t="s">
        <v>91</v>
      </c>
      <c r="C142" s="162"/>
      <c r="D142" s="162"/>
      <c r="E142" s="162"/>
      <c r="F142" s="162"/>
      <c r="G142" s="162"/>
      <c r="H142" s="162"/>
      <c r="I142" s="46" t="s">
        <v>46</v>
      </c>
    </row>
    <row r="143" spans="1:10" ht="27.6" customHeight="1" x14ac:dyDescent="0.2">
      <c r="A143" s="47" t="s">
        <v>6</v>
      </c>
      <c r="B143" s="126" t="s">
        <v>175</v>
      </c>
      <c r="C143" s="126"/>
      <c r="D143" s="126"/>
      <c r="E143" s="126"/>
      <c r="F143" s="126"/>
      <c r="G143" s="126"/>
      <c r="H143" s="126"/>
      <c r="I143" s="48">
        <v>240</v>
      </c>
    </row>
    <row r="144" spans="1:10" ht="37.9" customHeight="1" x14ac:dyDescent="0.2">
      <c r="A144" s="47" t="s">
        <v>8</v>
      </c>
      <c r="B144" s="126" t="s">
        <v>176</v>
      </c>
      <c r="C144" s="126"/>
      <c r="D144" s="126"/>
      <c r="E144" s="126"/>
      <c r="F144" s="126"/>
      <c r="G144" s="126"/>
      <c r="H144" s="126"/>
      <c r="I144" s="48">
        <v>120</v>
      </c>
    </row>
    <row r="145" spans="1:9" ht="15.75" customHeight="1" x14ac:dyDescent="0.2">
      <c r="A145" s="47" t="s">
        <v>10</v>
      </c>
      <c r="B145" s="126" t="s">
        <v>149</v>
      </c>
      <c r="C145" s="126"/>
      <c r="D145" s="126"/>
      <c r="E145" s="126"/>
      <c r="F145" s="126"/>
      <c r="G145" s="126"/>
      <c r="H145" s="126"/>
      <c r="I145" s="54">
        <v>80</v>
      </c>
    </row>
    <row r="146" spans="1:9" ht="17.850000000000001" customHeight="1" x14ac:dyDescent="0.2">
      <c r="A146" s="47" t="s">
        <v>12</v>
      </c>
      <c r="B146" s="126" t="s">
        <v>177</v>
      </c>
      <c r="C146" s="126"/>
      <c r="D146" s="126"/>
      <c r="E146" s="126"/>
      <c r="F146" s="126"/>
      <c r="G146" s="126"/>
      <c r="H146" s="126"/>
      <c r="I146" s="54">
        <v>211</v>
      </c>
    </row>
    <row r="147" spans="1:9" ht="15.75" customHeight="1" x14ac:dyDescent="0.2">
      <c r="A147" s="187" t="s">
        <v>43</v>
      </c>
      <c r="B147" s="187"/>
      <c r="C147" s="187"/>
      <c r="D147" s="187"/>
      <c r="E147" s="187"/>
      <c r="F147" s="187"/>
      <c r="G147" s="187"/>
      <c r="H147" s="187"/>
      <c r="I147" s="68">
        <f>ROUND(SUM(I143:I146),2)</f>
        <v>651</v>
      </c>
    </row>
    <row r="148" spans="1:9" ht="7.5" customHeight="1" x14ac:dyDescent="0.2">
      <c r="A148" s="221"/>
      <c r="B148" s="221"/>
      <c r="C148" s="221"/>
      <c r="D148" s="221"/>
      <c r="E148" s="221"/>
      <c r="F148" s="221"/>
      <c r="G148" s="221"/>
      <c r="H148" s="221"/>
      <c r="I148" s="221"/>
    </row>
    <row r="149" spans="1:9" ht="15.75" customHeight="1" x14ac:dyDescent="0.2">
      <c r="A149" s="222" t="s">
        <v>92</v>
      </c>
      <c r="B149" s="222"/>
      <c r="C149" s="222"/>
      <c r="D149" s="222"/>
      <c r="E149" s="222"/>
      <c r="F149" s="222"/>
      <c r="G149" s="222"/>
      <c r="H149" s="222"/>
      <c r="I149" s="222"/>
    </row>
    <row r="150" spans="1:9" ht="6.95" customHeight="1" x14ac:dyDescent="0.2">
      <c r="A150" s="69"/>
      <c r="B150" s="70"/>
      <c r="C150" s="70"/>
      <c r="D150" s="70"/>
      <c r="E150" s="70"/>
      <c r="F150" s="70"/>
      <c r="G150" s="70"/>
      <c r="H150" s="70"/>
      <c r="I150" s="71"/>
    </row>
    <row r="151" spans="1:9" ht="17.100000000000001" customHeight="1" x14ac:dyDescent="0.2">
      <c r="A151" s="197" t="s">
        <v>93</v>
      </c>
      <c r="B151" s="197"/>
      <c r="C151" s="197"/>
      <c r="D151" s="197"/>
      <c r="E151" s="197"/>
      <c r="F151" s="197"/>
      <c r="G151" s="197"/>
      <c r="H151" s="197"/>
      <c r="I151" s="197"/>
    </row>
    <row r="152" spans="1:9" ht="30.4" customHeight="1" x14ac:dyDescent="0.2">
      <c r="A152" s="46">
        <v>6</v>
      </c>
      <c r="B152" s="200" t="s">
        <v>94</v>
      </c>
      <c r="C152" s="200"/>
      <c r="D152" s="200"/>
      <c r="E152" s="200"/>
      <c r="F152" s="200"/>
      <c r="G152" s="200"/>
      <c r="H152" s="5" t="s">
        <v>35</v>
      </c>
      <c r="I152" s="72" t="s">
        <v>50</v>
      </c>
    </row>
    <row r="153" spans="1:9" ht="50.65" customHeight="1" x14ac:dyDescent="0.2">
      <c r="A153" s="223" t="s">
        <v>161</v>
      </c>
      <c r="B153" s="223"/>
      <c r="C153" s="223"/>
      <c r="D153" s="223"/>
      <c r="E153" s="223"/>
      <c r="F153" s="223"/>
      <c r="G153" s="223"/>
      <c r="H153" s="73" t="s">
        <v>19</v>
      </c>
      <c r="I153" s="74">
        <f>SUM(I47+I95+I104+I139+I147)</f>
        <v>8397.0399999999991</v>
      </c>
    </row>
    <row r="154" spans="1:9" ht="15.75" customHeight="1" x14ac:dyDescent="0.2">
      <c r="A154" s="47" t="s">
        <v>6</v>
      </c>
      <c r="B154" s="224" t="s">
        <v>95</v>
      </c>
      <c r="C154" s="224"/>
      <c r="D154" s="224"/>
      <c r="E154" s="224"/>
      <c r="F154" s="224"/>
      <c r="G154" s="224"/>
      <c r="H154" s="35">
        <v>0.06</v>
      </c>
      <c r="I154" s="34">
        <f>ROUND(H154*I153,2)</f>
        <v>503.82</v>
      </c>
    </row>
    <row r="155" spans="1:9" ht="50.65" customHeight="1" x14ac:dyDescent="0.2">
      <c r="A155" s="223" t="s">
        <v>162</v>
      </c>
      <c r="B155" s="223"/>
      <c r="C155" s="223"/>
      <c r="D155" s="223"/>
      <c r="E155" s="223"/>
      <c r="F155" s="223"/>
      <c r="G155" s="223"/>
      <c r="H155" s="75" t="s">
        <v>19</v>
      </c>
      <c r="I155" s="74">
        <f>SUM(I47+I95+I104+I139+I147+I154)</f>
        <v>8900.8599999999988</v>
      </c>
    </row>
    <row r="156" spans="1:9" ht="15.75" customHeight="1" x14ac:dyDescent="0.2">
      <c r="A156" s="47" t="s">
        <v>8</v>
      </c>
      <c r="B156" s="224" t="s">
        <v>96</v>
      </c>
      <c r="C156" s="224"/>
      <c r="D156" s="224"/>
      <c r="E156" s="224"/>
      <c r="F156" s="224"/>
      <c r="G156" s="224"/>
      <c r="H156" s="35">
        <v>6.7900000000000002E-2</v>
      </c>
      <c r="I156" s="34">
        <f>ROUND(H156*I155,2)</f>
        <v>604.37</v>
      </c>
    </row>
    <row r="157" spans="1:9" ht="48.75" customHeight="1" x14ac:dyDescent="0.2">
      <c r="A157" s="223" t="s">
        <v>163</v>
      </c>
      <c r="B157" s="223"/>
      <c r="C157" s="223"/>
      <c r="D157" s="223"/>
      <c r="E157" s="223"/>
      <c r="F157" s="223"/>
      <c r="G157" s="223"/>
      <c r="H157" s="75" t="s">
        <v>19</v>
      </c>
      <c r="I157" s="74">
        <f>SUM(I47+I95+I104+I139+I147+I154+I156)</f>
        <v>9505.23</v>
      </c>
    </row>
    <row r="158" spans="1:9" ht="17.100000000000001" customHeight="1" x14ac:dyDescent="0.2">
      <c r="A158" s="76" t="s">
        <v>10</v>
      </c>
      <c r="B158" s="225" t="s">
        <v>97</v>
      </c>
      <c r="C158" s="225"/>
      <c r="D158" s="225"/>
      <c r="E158" s="225"/>
      <c r="F158" s="225"/>
      <c r="G158" s="225"/>
      <c r="H158" s="77" t="s">
        <v>19</v>
      </c>
      <c r="I158" s="18" t="s">
        <v>19</v>
      </c>
    </row>
    <row r="159" spans="1:9" ht="14.65" customHeight="1" x14ac:dyDescent="0.2">
      <c r="A159" s="47"/>
      <c r="B159" s="227" t="s">
        <v>98</v>
      </c>
      <c r="C159" s="227"/>
      <c r="D159" s="227"/>
      <c r="E159" s="227"/>
      <c r="F159" s="227"/>
      <c r="G159" s="227"/>
      <c r="H159" s="77" t="s">
        <v>19</v>
      </c>
      <c r="I159" s="18" t="s">
        <v>19</v>
      </c>
    </row>
    <row r="160" spans="1:9" ht="22.5" customHeight="1" x14ac:dyDescent="0.2">
      <c r="A160" s="47"/>
      <c r="B160" s="228" t="s">
        <v>99</v>
      </c>
      <c r="C160" s="228"/>
      <c r="D160" s="228"/>
      <c r="E160" s="228"/>
      <c r="F160" s="228"/>
      <c r="G160" s="228"/>
      <c r="H160" s="78">
        <v>0.03</v>
      </c>
      <c r="I160" s="79">
        <f>ROUND(($I$157/(1-$H$169))*H160,2)</f>
        <v>305.47000000000003</v>
      </c>
    </row>
    <row r="161" spans="1:9" ht="22.5" customHeight="1" x14ac:dyDescent="0.2">
      <c r="A161" s="47"/>
      <c r="B161" s="228" t="s">
        <v>100</v>
      </c>
      <c r="C161" s="228"/>
      <c r="D161" s="228"/>
      <c r="E161" s="228"/>
      <c r="F161" s="228"/>
      <c r="G161" s="228"/>
      <c r="H161" s="78">
        <v>6.4999999999999997E-3</v>
      </c>
      <c r="I161" s="79">
        <f>ROUND(($I$157/(1-$H$169))*H161,2)</f>
        <v>66.19</v>
      </c>
    </row>
    <row r="162" spans="1:9" ht="29.25" customHeight="1" x14ac:dyDescent="0.2">
      <c r="A162" s="47"/>
      <c r="B162" s="201" t="s">
        <v>154</v>
      </c>
      <c r="C162" s="201"/>
      <c r="D162" s="201"/>
      <c r="E162" s="201"/>
      <c r="F162" s="201"/>
      <c r="G162" s="201"/>
      <c r="H162" s="80" t="s">
        <v>19</v>
      </c>
      <c r="I162" s="18" t="s">
        <v>19</v>
      </c>
    </row>
    <row r="163" spans="1:9" ht="29.25" customHeight="1" x14ac:dyDescent="0.2">
      <c r="A163" s="47"/>
      <c r="B163" s="201" t="s">
        <v>155</v>
      </c>
      <c r="C163" s="201"/>
      <c r="D163" s="201"/>
      <c r="E163" s="201"/>
      <c r="F163" s="201"/>
      <c r="G163" s="201"/>
      <c r="H163" s="80" t="s">
        <v>19</v>
      </c>
      <c r="I163" s="18" t="s">
        <v>19</v>
      </c>
    </row>
    <row r="164" spans="1:9" ht="18" customHeight="1" x14ac:dyDescent="0.2">
      <c r="A164" s="47"/>
      <c r="B164" s="226" t="s">
        <v>101</v>
      </c>
      <c r="C164" s="226"/>
      <c r="D164" s="226"/>
      <c r="E164" s="226"/>
      <c r="F164" s="226"/>
      <c r="G164" s="226"/>
      <c r="H164" s="81" t="s">
        <v>19</v>
      </c>
      <c r="I164" s="82" t="s">
        <v>19</v>
      </c>
    </row>
    <row r="165" spans="1:9" ht="18" customHeight="1" x14ac:dyDescent="0.2">
      <c r="A165" s="47"/>
      <c r="B165" s="226" t="s">
        <v>102</v>
      </c>
      <c r="C165" s="226"/>
      <c r="D165" s="226"/>
      <c r="E165" s="226"/>
      <c r="F165" s="226"/>
      <c r="G165" s="226"/>
      <c r="H165" s="81" t="s">
        <v>19</v>
      </c>
      <c r="I165" s="82" t="s">
        <v>19</v>
      </c>
    </row>
    <row r="166" spans="1:9" ht="23.25" customHeight="1" x14ac:dyDescent="0.2">
      <c r="A166" s="47"/>
      <c r="B166" s="176" t="s">
        <v>184</v>
      </c>
      <c r="C166" s="176"/>
      <c r="D166" s="176"/>
      <c r="E166" s="176"/>
      <c r="F166" s="176"/>
      <c r="G166" s="176"/>
      <c r="H166" s="78">
        <v>0.03</v>
      </c>
      <c r="I166" s="79">
        <f>ROUND(($I$157/(1-$H$169))*H166,2)</f>
        <v>305.47000000000003</v>
      </c>
    </row>
    <row r="167" spans="1:9" ht="15.75" customHeight="1" x14ac:dyDescent="0.2">
      <c r="A167" s="187" t="s">
        <v>47</v>
      </c>
      <c r="B167" s="187"/>
      <c r="C167" s="187"/>
      <c r="D167" s="187"/>
      <c r="E167" s="187"/>
      <c r="F167" s="187"/>
      <c r="G167" s="187"/>
      <c r="H167" s="187"/>
      <c r="I167" s="41">
        <f>SUM(I154+I156+I160+I161+I166)</f>
        <v>1785.3200000000002</v>
      </c>
    </row>
    <row r="168" spans="1:9" ht="6.75" customHeight="1" x14ac:dyDescent="0.2">
      <c r="A168" s="202"/>
      <c r="B168" s="202"/>
      <c r="C168" s="202"/>
      <c r="D168" s="202"/>
      <c r="E168" s="202"/>
      <c r="F168" s="202"/>
      <c r="G168" s="202"/>
      <c r="H168" s="202"/>
      <c r="I168" s="202"/>
    </row>
    <row r="169" spans="1:9" ht="15.75" customHeight="1" x14ac:dyDescent="0.2">
      <c r="A169" s="229" t="s">
        <v>103</v>
      </c>
      <c r="B169" s="229"/>
      <c r="C169" s="229"/>
      <c r="D169" s="229"/>
      <c r="E169" s="229"/>
      <c r="F169" s="229"/>
      <c r="G169" s="229"/>
      <c r="H169" s="83">
        <f>SUM(H160:H166)</f>
        <v>6.6500000000000004E-2</v>
      </c>
      <c r="I169" s="84">
        <f>SUM(I160:I166)</f>
        <v>677.13000000000011</v>
      </c>
    </row>
    <row r="170" spans="1:9" ht="12.75" customHeight="1" x14ac:dyDescent="0.2">
      <c r="A170" s="230" t="s">
        <v>104</v>
      </c>
      <c r="B170" s="230"/>
      <c r="C170" s="231" t="s">
        <v>105</v>
      </c>
      <c r="D170" s="231"/>
      <c r="E170" s="231"/>
      <c r="F170" s="231"/>
      <c r="G170" s="231"/>
      <c r="H170" s="231"/>
      <c r="I170" s="231"/>
    </row>
    <row r="171" spans="1:9" ht="12" customHeight="1" x14ac:dyDescent="0.2">
      <c r="A171" s="230"/>
      <c r="B171" s="230"/>
      <c r="C171" s="232" t="s">
        <v>106</v>
      </c>
      <c r="D171" s="232"/>
      <c r="E171" s="232"/>
      <c r="F171" s="232"/>
      <c r="G171" s="232"/>
      <c r="H171" s="232"/>
      <c r="I171" s="232"/>
    </row>
    <row r="172" spans="1:9" ht="13.5" customHeight="1" x14ac:dyDescent="0.2">
      <c r="A172" s="230"/>
      <c r="B172" s="230"/>
      <c r="C172" s="233" t="s">
        <v>107</v>
      </c>
      <c r="D172" s="233"/>
      <c r="E172" s="233"/>
      <c r="F172" s="233"/>
      <c r="G172" s="233"/>
      <c r="H172" s="233"/>
      <c r="I172" s="233"/>
    </row>
    <row r="173" spans="1:9" ht="6.75" customHeight="1" x14ac:dyDescent="0.2">
      <c r="A173" s="234"/>
      <c r="B173" s="234"/>
      <c r="C173" s="234"/>
      <c r="D173" s="234"/>
      <c r="E173" s="234"/>
      <c r="F173" s="234"/>
      <c r="G173" s="234"/>
      <c r="H173" s="234"/>
      <c r="I173" s="234"/>
    </row>
    <row r="174" spans="1:9" ht="24.6" customHeight="1" x14ac:dyDescent="0.2">
      <c r="A174" s="235" t="s">
        <v>108</v>
      </c>
      <c r="B174" s="235"/>
      <c r="C174" s="235"/>
      <c r="D174" s="235"/>
      <c r="E174" s="235"/>
      <c r="F174" s="235"/>
      <c r="G174" s="235"/>
      <c r="H174" s="235"/>
      <c r="I174" s="235"/>
    </row>
    <row r="175" spans="1:9" ht="5.25" customHeight="1" x14ac:dyDescent="0.2">
      <c r="A175" s="202"/>
      <c r="B175" s="202"/>
      <c r="C175" s="202"/>
      <c r="D175" s="202"/>
      <c r="E175" s="202"/>
      <c r="F175" s="202"/>
      <c r="G175" s="202"/>
      <c r="H175" s="202"/>
      <c r="I175" s="202"/>
    </row>
    <row r="176" spans="1:9" ht="28.15" customHeight="1" x14ac:dyDescent="0.2">
      <c r="A176" s="236" t="s">
        <v>109</v>
      </c>
      <c r="B176" s="236"/>
      <c r="C176" s="236"/>
      <c r="D176" s="236"/>
      <c r="E176" s="236"/>
      <c r="F176" s="236"/>
      <c r="G176" s="236"/>
      <c r="H176" s="236"/>
      <c r="I176" s="236"/>
    </row>
    <row r="177" spans="1:256" ht="15" customHeight="1" x14ac:dyDescent="0.2">
      <c r="A177" s="133" t="s">
        <v>110</v>
      </c>
      <c r="B177" s="133"/>
      <c r="C177" s="133"/>
      <c r="D177" s="133"/>
      <c r="E177" s="133"/>
      <c r="F177" s="133"/>
      <c r="G177" s="133"/>
      <c r="H177" s="133"/>
      <c r="I177" s="5" t="s">
        <v>46</v>
      </c>
    </row>
    <row r="178" spans="1:256" ht="15" customHeight="1" x14ac:dyDescent="0.2">
      <c r="A178" s="85" t="s">
        <v>6</v>
      </c>
      <c r="B178" s="174" t="s">
        <v>164</v>
      </c>
      <c r="C178" s="174"/>
      <c r="D178" s="174"/>
      <c r="E178" s="174"/>
      <c r="F178" s="174"/>
      <c r="G178" s="174"/>
      <c r="H178" s="174"/>
      <c r="I178" s="54">
        <f>I47</f>
        <v>3796.7599999999998</v>
      </c>
      <c r="K178" s="86"/>
    </row>
    <row r="179" spans="1:256" ht="15" customHeight="1" x14ac:dyDescent="0.2">
      <c r="A179" s="85" t="s">
        <v>8</v>
      </c>
      <c r="B179" s="174" t="s">
        <v>111</v>
      </c>
      <c r="C179" s="174"/>
      <c r="D179" s="174"/>
      <c r="E179" s="174"/>
      <c r="F179" s="174"/>
      <c r="G179" s="174"/>
      <c r="H179" s="174"/>
      <c r="I179" s="54">
        <f>I95</f>
        <v>2779.2</v>
      </c>
    </row>
    <row r="180" spans="1:256" ht="15" customHeight="1" x14ac:dyDescent="0.2">
      <c r="A180" s="85" t="s">
        <v>10</v>
      </c>
      <c r="B180" s="174" t="s">
        <v>112</v>
      </c>
      <c r="C180" s="174"/>
      <c r="D180" s="174"/>
      <c r="E180" s="174"/>
      <c r="F180" s="174"/>
      <c r="G180" s="174"/>
      <c r="H180" s="174"/>
      <c r="I180" s="54">
        <f>I104</f>
        <v>308.57</v>
      </c>
    </row>
    <row r="181" spans="1:256" ht="15" customHeight="1" x14ac:dyDescent="0.2">
      <c r="A181" s="85" t="s">
        <v>12</v>
      </c>
      <c r="B181" s="174" t="s">
        <v>113</v>
      </c>
      <c r="C181" s="174"/>
      <c r="D181" s="174"/>
      <c r="E181" s="174"/>
      <c r="F181" s="174"/>
      <c r="G181" s="174"/>
      <c r="H181" s="174"/>
      <c r="I181" s="54">
        <f>I139</f>
        <v>861.51</v>
      </c>
    </row>
    <row r="182" spans="1:256" ht="15" customHeight="1" x14ac:dyDescent="0.2">
      <c r="A182" s="85" t="s">
        <v>38</v>
      </c>
      <c r="B182" s="174" t="s">
        <v>114</v>
      </c>
      <c r="C182" s="174"/>
      <c r="D182" s="174"/>
      <c r="E182" s="174"/>
      <c r="F182" s="174"/>
      <c r="G182" s="174"/>
      <c r="H182" s="174"/>
      <c r="I182" s="54">
        <f>I147</f>
        <v>651</v>
      </c>
    </row>
    <row r="183" spans="1:256" ht="15" customHeight="1" x14ac:dyDescent="0.2">
      <c r="A183" s="237" t="s">
        <v>115</v>
      </c>
      <c r="B183" s="237"/>
      <c r="C183" s="237"/>
      <c r="D183" s="237"/>
      <c r="E183" s="237"/>
      <c r="F183" s="237"/>
      <c r="G183" s="237"/>
      <c r="H183" s="237"/>
      <c r="I183" s="54">
        <f>SUM(I178:I182)</f>
        <v>8397.0399999999991</v>
      </c>
    </row>
    <row r="184" spans="1:256" ht="15" customHeight="1" x14ac:dyDescent="0.2">
      <c r="A184" s="87" t="s">
        <v>39</v>
      </c>
      <c r="B184" s="174" t="s">
        <v>93</v>
      </c>
      <c r="C184" s="174"/>
      <c r="D184" s="174"/>
      <c r="E184" s="174"/>
      <c r="F184" s="174"/>
      <c r="G184" s="174"/>
      <c r="H184" s="174"/>
      <c r="I184" s="68">
        <f>I167</f>
        <v>1785.3200000000002</v>
      </c>
    </row>
    <row r="185" spans="1:256" ht="15" customHeight="1" x14ac:dyDescent="0.2">
      <c r="A185" s="237" t="s">
        <v>116</v>
      </c>
      <c r="B185" s="237"/>
      <c r="C185" s="237"/>
      <c r="D185" s="237"/>
      <c r="E185" s="237"/>
      <c r="F185" s="237"/>
      <c r="G185" s="237"/>
      <c r="H185" s="237"/>
      <c r="I185" s="54">
        <f>I183+I184</f>
        <v>10182.359999999999</v>
      </c>
    </row>
    <row r="186" spans="1:256" ht="7.5" customHeight="1" x14ac:dyDescent="0.2">
      <c r="A186" s="238"/>
      <c r="B186" s="238"/>
      <c r="C186" s="238"/>
      <c r="D186" s="238"/>
      <c r="E186" s="238"/>
      <c r="F186" s="238"/>
      <c r="G186" s="238"/>
      <c r="H186" s="238"/>
      <c r="I186" s="238"/>
    </row>
    <row r="187" spans="1:256" ht="15" hidden="1" customHeight="1" x14ac:dyDescent="0.2">
      <c r="A187" s="88"/>
      <c r="B187" s="88"/>
      <c r="C187" s="88"/>
      <c r="D187" s="88"/>
      <c r="E187" s="88"/>
      <c r="F187" s="88"/>
      <c r="G187" s="88"/>
      <c r="H187" s="89"/>
      <c r="I187" s="90"/>
      <c r="J187" s="91"/>
      <c r="K187" s="92"/>
      <c r="L187" s="93"/>
      <c r="M187" s="94"/>
    </row>
    <row r="188" spans="1:256" ht="31.5" customHeight="1" x14ac:dyDescent="0.2">
      <c r="A188" s="239" t="s">
        <v>117</v>
      </c>
      <c r="B188" s="239"/>
      <c r="C188" s="239"/>
      <c r="D188" s="239"/>
      <c r="E188" s="239"/>
      <c r="F188" s="239"/>
      <c r="G188" s="239"/>
      <c r="H188" s="239"/>
      <c r="I188" s="239"/>
    </row>
    <row r="189" spans="1:256" ht="45" customHeight="1" x14ac:dyDescent="0.2">
      <c r="A189" s="136" t="s">
        <v>118</v>
      </c>
      <c r="B189" s="136"/>
      <c r="C189" s="136"/>
      <c r="D189" s="136"/>
      <c r="E189" s="136" t="s">
        <v>119</v>
      </c>
      <c r="F189" s="136"/>
      <c r="G189" s="5" t="s">
        <v>120</v>
      </c>
      <c r="H189" s="136" t="s">
        <v>121</v>
      </c>
      <c r="I189" s="136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33" customHeight="1" x14ac:dyDescent="0.2">
      <c r="A190" s="241" t="s">
        <v>122</v>
      </c>
      <c r="B190" s="242"/>
      <c r="C190" s="242"/>
      <c r="D190" s="243"/>
      <c r="E190" s="244">
        <v>0</v>
      </c>
      <c r="F190" s="245"/>
      <c r="G190" s="95">
        <f>D190*E190</f>
        <v>0</v>
      </c>
      <c r="H190" s="244">
        <f t="shared" ref="H190:H195" si="0">E190*G190</f>
        <v>0</v>
      </c>
      <c r="I190" s="245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42.75" customHeight="1" x14ac:dyDescent="0.2">
      <c r="A191" s="158" t="s">
        <v>123</v>
      </c>
      <c r="B191" s="158"/>
      <c r="C191" s="158"/>
      <c r="D191" s="158"/>
      <c r="E191" s="240">
        <v>0</v>
      </c>
      <c r="F191" s="240"/>
      <c r="G191" s="95">
        <f>D191*E191</f>
        <v>0</v>
      </c>
      <c r="H191" s="240">
        <f t="shared" si="0"/>
        <v>0</v>
      </c>
      <c r="I191" s="240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41.25" customHeight="1" x14ac:dyDescent="0.2">
      <c r="A192" s="246" t="s">
        <v>124</v>
      </c>
      <c r="B192" s="246"/>
      <c r="C192" s="246"/>
      <c r="D192" s="246"/>
      <c r="E192" s="247">
        <f>I185</f>
        <v>10182.359999999999</v>
      </c>
      <c r="F192" s="247"/>
      <c r="G192" s="96">
        <v>2</v>
      </c>
      <c r="H192" s="248">
        <f t="shared" si="0"/>
        <v>20364.719999999998</v>
      </c>
      <c r="I192" s="248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41.25" customHeight="1" x14ac:dyDescent="0.2">
      <c r="A193" s="241" t="s">
        <v>125</v>
      </c>
      <c r="B193" s="242"/>
      <c r="C193" s="242"/>
      <c r="D193" s="243"/>
      <c r="E193" s="244">
        <v>0</v>
      </c>
      <c r="F193" s="245"/>
      <c r="G193" s="95">
        <f>D193*F193</f>
        <v>0</v>
      </c>
      <c r="H193" s="244">
        <f t="shared" si="0"/>
        <v>0</v>
      </c>
      <c r="I193" s="245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39.75" customHeight="1" x14ac:dyDescent="0.2">
      <c r="A194" s="110" t="s">
        <v>126</v>
      </c>
      <c r="B194" s="111"/>
      <c r="C194" s="111"/>
      <c r="D194" s="112"/>
      <c r="E194" s="109">
        <v>0</v>
      </c>
      <c r="F194" s="103"/>
      <c r="G194" s="95">
        <f>D194*F194</f>
        <v>0</v>
      </c>
      <c r="H194" s="109">
        <f t="shared" si="0"/>
        <v>0</v>
      </c>
      <c r="I194" s="103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35.25" customHeight="1" x14ac:dyDescent="0.25">
      <c r="A195" s="254" t="s">
        <v>127</v>
      </c>
      <c r="B195" s="254"/>
      <c r="C195" s="254"/>
      <c r="D195" s="254"/>
      <c r="E195" s="240">
        <v>0</v>
      </c>
      <c r="F195" s="240"/>
      <c r="G195" s="95">
        <f>D195*F195</f>
        <v>0</v>
      </c>
      <c r="H195" s="240">
        <f t="shared" si="0"/>
        <v>0</v>
      </c>
      <c r="I195" s="240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20.25" customHeight="1" x14ac:dyDescent="0.2">
      <c r="A196" s="255" t="s">
        <v>128</v>
      </c>
      <c r="B196" s="255"/>
      <c r="C196" s="255"/>
      <c r="D196" s="255"/>
      <c r="E196" s="255"/>
      <c r="F196" s="255"/>
      <c r="G196" s="97">
        <f>SUM(G190:G195)</f>
        <v>2</v>
      </c>
      <c r="H196" s="256">
        <f>SUM(H190:I195)</f>
        <v>20364.719999999998</v>
      </c>
      <c r="I196" s="25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6.75" customHeight="1" x14ac:dyDescent="0.2">
      <c r="A197" s="249"/>
      <c r="B197" s="249"/>
      <c r="C197" s="249"/>
      <c r="D197" s="249"/>
      <c r="E197" s="249"/>
      <c r="F197" s="249"/>
      <c r="G197" s="249"/>
      <c r="H197" s="249"/>
      <c r="I197" s="249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7.25" customHeight="1" x14ac:dyDescent="0.2">
      <c r="A198" s="250" t="s">
        <v>129</v>
      </c>
      <c r="B198" s="250"/>
      <c r="C198" s="250"/>
      <c r="D198" s="250"/>
      <c r="E198" s="250"/>
      <c r="F198" s="250"/>
      <c r="G198" s="250"/>
      <c r="H198" s="250"/>
      <c r="I198" s="250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6.75" customHeight="1" x14ac:dyDescent="0.2">
      <c r="A199" s="251"/>
      <c r="B199" s="251"/>
      <c r="C199" s="251"/>
      <c r="D199" s="251"/>
      <c r="E199" s="251"/>
      <c r="F199" s="251"/>
      <c r="G199" s="251"/>
      <c r="H199" s="251"/>
      <c r="I199" s="251"/>
    </row>
    <row r="200" spans="1:256" ht="18.75" customHeight="1" x14ac:dyDescent="0.2">
      <c r="A200" s="252" t="s">
        <v>130</v>
      </c>
      <c r="B200" s="252"/>
      <c r="C200" s="252"/>
      <c r="D200" s="252"/>
      <c r="E200" s="252"/>
      <c r="F200" s="252"/>
      <c r="G200" s="253">
        <f>$H$196</f>
        <v>20364.719999999998</v>
      </c>
      <c r="H200" s="253"/>
      <c r="I200" s="253"/>
    </row>
    <row r="201" spans="1:256" ht="8.25" customHeight="1" x14ac:dyDescent="0.25">
      <c r="A201" s="260"/>
      <c r="B201" s="260"/>
      <c r="C201" s="260"/>
      <c r="D201" s="260"/>
      <c r="E201" s="260"/>
      <c r="F201" s="260"/>
      <c r="G201" s="260"/>
      <c r="H201" s="260"/>
      <c r="I201" s="260"/>
    </row>
    <row r="202" spans="1:256" ht="19.5" customHeight="1" x14ac:dyDescent="0.2">
      <c r="A202" s="261" t="s">
        <v>131</v>
      </c>
      <c r="B202" s="261"/>
      <c r="C202" s="261"/>
      <c r="D202" s="261"/>
      <c r="E202" s="261"/>
      <c r="F202" s="261"/>
      <c r="G202" s="262">
        <f>$H$11</f>
        <v>12</v>
      </c>
      <c r="H202" s="262"/>
      <c r="I202" s="262"/>
    </row>
    <row r="203" spans="1:256" ht="8.25" customHeight="1" x14ac:dyDescent="0.2">
      <c r="A203" s="263"/>
      <c r="B203" s="263"/>
      <c r="C203" s="263"/>
      <c r="D203" s="263"/>
      <c r="E203" s="263"/>
      <c r="F203" s="263"/>
      <c r="G203" s="263"/>
      <c r="H203" s="263"/>
      <c r="I203" s="263"/>
    </row>
    <row r="204" spans="1:256" ht="31.5" customHeight="1" x14ac:dyDescent="0.2">
      <c r="A204" s="271" t="s">
        <v>132</v>
      </c>
      <c r="B204" s="271"/>
      <c r="C204" s="271"/>
      <c r="D204" s="271"/>
      <c r="E204" s="271"/>
      <c r="F204" s="271"/>
      <c r="G204" s="257">
        <f>ROUND(G200*G202,2)</f>
        <v>244376.64</v>
      </c>
      <c r="H204" s="257"/>
      <c r="I204" s="257"/>
    </row>
    <row r="205" spans="1:256" ht="8.25" customHeight="1" x14ac:dyDescent="0.2">
      <c r="A205" s="258"/>
      <c r="B205" s="258"/>
      <c r="C205" s="258"/>
      <c r="D205" s="258"/>
      <c r="E205" s="258"/>
      <c r="F205" s="258"/>
      <c r="G205" s="258"/>
      <c r="H205" s="258"/>
      <c r="I205" s="258"/>
    </row>
    <row r="206" spans="1:256" ht="29.25" customHeight="1" x14ac:dyDescent="0.2">
      <c r="A206" s="259" t="s">
        <v>193</v>
      </c>
      <c r="B206" s="259"/>
      <c r="C206" s="259"/>
      <c r="D206" s="259"/>
      <c r="E206" s="259"/>
      <c r="F206" s="259"/>
      <c r="G206" s="259"/>
      <c r="H206" s="259"/>
      <c r="I206" s="259"/>
    </row>
    <row r="207" spans="1:256" ht="12" customHeight="1" x14ac:dyDescent="0.2">
      <c r="A207" s="270" t="s">
        <v>133</v>
      </c>
      <c r="B207" s="270"/>
      <c r="C207" s="270"/>
      <c r="D207" s="139" t="s">
        <v>134</v>
      </c>
      <c r="E207" s="139"/>
      <c r="F207" s="139"/>
      <c r="G207" s="139"/>
      <c r="H207" s="139"/>
      <c r="I207" s="139"/>
    </row>
    <row r="208" spans="1:256" x14ac:dyDescent="0.2">
      <c r="A208" s="270"/>
      <c r="B208" s="270"/>
      <c r="C208" s="270"/>
      <c r="D208" s="139"/>
      <c r="E208" s="139"/>
      <c r="F208" s="139"/>
      <c r="G208" s="139"/>
      <c r="H208" s="139"/>
      <c r="I208" s="139"/>
    </row>
    <row r="209" spans="1:9" ht="14.65" customHeight="1" x14ac:dyDescent="0.2">
      <c r="A209" s="267" t="s">
        <v>135</v>
      </c>
      <c r="B209" s="267"/>
      <c r="C209" s="267"/>
      <c r="D209" s="268"/>
      <c r="E209" s="268"/>
      <c r="F209" s="268"/>
      <c r="G209" s="268"/>
      <c r="H209" s="268"/>
      <c r="I209" s="268"/>
    </row>
    <row r="210" spans="1:9" ht="12.75" customHeight="1" x14ac:dyDescent="0.2">
      <c r="A210" s="267"/>
      <c r="B210" s="267"/>
      <c r="C210" s="267"/>
      <c r="D210" s="268"/>
      <c r="E210" s="268"/>
      <c r="F210" s="268"/>
      <c r="G210" s="268"/>
      <c r="H210" s="268"/>
      <c r="I210" s="268"/>
    </row>
    <row r="211" spans="1:9" ht="12.75" customHeight="1" x14ac:dyDescent="0.2">
      <c r="A211" s="269"/>
      <c r="B211" s="269"/>
      <c r="C211" s="269"/>
      <c r="D211" s="268"/>
      <c r="E211" s="268"/>
      <c r="F211" s="268"/>
      <c r="G211" s="268"/>
      <c r="H211" s="268"/>
      <c r="I211" s="268"/>
    </row>
    <row r="216" spans="1:9" ht="12.75" customHeight="1" x14ac:dyDescent="0.2"/>
  </sheetData>
  <sheetProtection selectLockedCells="1" selectUnlockedCells="1"/>
  <mergeCells count="285">
    <mergeCell ref="B82:G82"/>
    <mergeCell ref="A210:C210"/>
    <mergeCell ref="D210:I210"/>
    <mergeCell ref="A211:C211"/>
    <mergeCell ref="D211:I211"/>
    <mergeCell ref="A207:C208"/>
    <mergeCell ref="D207:I208"/>
    <mergeCell ref="A209:C209"/>
    <mergeCell ref="D209:I209"/>
    <mergeCell ref="A204:F204"/>
    <mergeCell ref="G204:I204"/>
    <mergeCell ref="A205:I205"/>
    <mergeCell ref="A206:I206"/>
    <mergeCell ref="A201:I201"/>
    <mergeCell ref="A202:F202"/>
    <mergeCell ref="G202:I202"/>
    <mergeCell ref="A203:I203"/>
    <mergeCell ref="A197:I197"/>
    <mergeCell ref="A198:I198"/>
    <mergeCell ref="A199:I199"/>
    <mergeCell ref="A200:F200"/>
    <mergeCell ref="G200:I200"/>
    <mergeCell ref="A195:D195"/>
    <mergeCell ref="E195:F195"/>
    <mergeCell ref="H195:I195"/>
    <mergeCell ref="A196:F196"/>
    <mergeCell ref="H196:I196"/>
    <mergeCell ref="A192:D192"/>
    <mergeCell ref="E192:F192"/>
    <mergeCell ref="H192:I192"/>
    <mergeCell ref="A193:D193"/>
    <mergeCell ref="E193:F193"/>
    <mergeCell ref="H193:I193"/>
    <mergeCell ref="H193:I193"/>
    <mergeCell ref="E193:F193"/>
    <mergeCell ref="A193:D193"/>
    <mergeCell ref="A189:D189"/>
    <mergeCell ref="E189:F189"/>
    <mergeCell ref="H189:I189"/>
    <mergeCell ref="A191:D191"/>
    <mergeCell ref="E191:F191"/>
    <mergeCell ref="H191:I191"/>
    <mergeCell ref="A190:D190"/>
    <mergeCell ref="H190:I190"/>
    <mergeCell ref="E190:F190"/>
    <mergeCell ref="A185:H185"/>
    <mergeCell ref="A186:I186"/>
    <mergeCell ref="A188:I188"/>
    <mergeCell ref="B181:H181"/>
    <mergeCell ref="B182:H182"/>
    <mergeCell ref="A183:H183"/>
    <mergeCell ref="B184:H184"/>
    <mergeCell ref="A177:H177"/>
    <mergeCell ref="B178:H178"/>
    <mergeCell ref="B179:H179"/>
    <mergeCell ref="B180:H180"/>
    <mergeCell ref="A173:I173"/>
    <mergeCell ref="A174:I174"/>
    <mergeCell ref="A175:I175"/>
    <mergeCell ref="A176:I176"/>
    <mergeCell ref="A167:H167"/>
    <mergeCell ref="A168:I168"/>
    <mergeCell ref="A169:G169"/>
    <mergeCell ref="A170:B172"/>
    <mergeCell ref="C170:I170"/>
    <mergeCell ref="C171:I171"/>
    <mergeCell ref="C172:I172"/>
    <mergeCell ref="B163:G163"/>
    <mergeCell ref="B164:G164"/>
    <mergeCell ref="B165:G165"/>
    <mergeCell ref="B166:G166"/>
    <mergeCell ref="B159:G159"/>
    <mergeCell ref="B160:G160"/>
    <mergeCell ref="B161:G161"/>
    <mergeCell ref="B162:G162"/>
    <mergeCell ref="A155:G155"/>
    <mergeCell ref="B156:G156"/>
    <mergeCell ref="A157:G157"/>
    <mergeCell ref="B158:G158"/>
    <mergeCell ref="A151:I151"/>
    <mergeCell ref="B152:G152"/>
    <mergeCell ref="A153:G153"/>
    <mergeCell ref="B154:G154"/>
    <mergeCell ref="B146:H146"/>
    <mergeCell ref="A147:H147"/>
    <mergeCell ref="A148:I148"/>
    <mergeCell ref="A149:I149"/>
    <mergeCell ref="B142:H142"/>
    <mergeCell ref="B143:H143"/>
    <mergeCell ref="B144:H144"/>
    <mergeCell ref="B145:H145"/>
    <mergeCell ref="B138:H138"/>
    <mergeCell ref="A139:H139"/>
    <mergeCell ref="A140:I140"/>
    <mergeCell ref="A141:I141"/>
    <mergeCell ref="A134:I134"/>
    <mergeCell ref="A135:I135"/>
    <mergeCell ref="B136:H136"/>
    <mergeCell ref="B137:H137"/>
    <mergeCell ref="B126:H126"/>
    <mergeCell ref="A127:H127"/>
    <mergeCell ref="A130:H130"/>
    <mergeCell ref="A133:H133"/>
    <mergeCell ref="A132:H132"/>
    <mergeCell ref="A131:I131"/>
    <mergeCell ref="A128:I128"/>
    <mergeCell ref="B129:H129"/>
    <mergeCell ref="B123:H123"/>
    <mergeCell ref="B124:H124"/>
    <mergeCell ref="A125:H125"/>
    <mergeCell ref="A120:I120"/>
    <mergeCell ref="A121:I121"/>
    <mergeCell ref="B122:H122"/>
    <mergeCell ref="A117:H117"/>
    <mergeCell ref="B118:H118"/>
    <mergeCell ref="A119:H119"/>
    <mergeCell ref="B112:H112"/>
    <mergeCell ref="B113:H113"/>
    <mergeCell ref="B114:H114"/>
    <mergeCell ref="B115:H115"/>
    <mergeCell ref="B110:H110"/>
    <mergeCell ref="A105:I105"/>
    <mergeCell ref="A106:I106"/>
    <mergeCell ref="A107:H107"/>
    <mergeCell ref="B116:H116"/>
    <mergeCell ref="B111:G111"/>
    <mergeCell ref="A108:I108"/>
    <mergeCell ref="A109:I109"/>
    <mergeCell ref="B101:H101"/>
    <mergeCell ref="B102:H102"/>
    <mergeCell ref="A104:H104"/>
    <mergeCell ref="B98:H98"/>
    <mergeCell ref="B99:H99"/>
    <mergeCell ref="B100:H100"/>
    <mergeCell ref="B103:G103"/>
    <mergeCell ref="B94:H94"/>
    <mergeCell ref="A95:H95"/>
    <mergeCell ref="A96:I96"/>
    <mergeCell ref="A97:I97"/>
    <mergeCell ref="A90:I90"/>
    <mergeCell ref="B91:H91"/>
    <mergeCell ref="B92:H92"/>
    <mergeCell ref="B93:H93"/>
    <mergeCell ref="B87:H87"/>
    <mergeCell ref="A88:I88"/>
    <mergeCell ref="A89:I89"/>
    <mergeCell ref="B83:H83"/>
    <mergeCell ref="B84:H84"/>
    <mergeCell ref="B85:H85"/>
    <mergeCell ref="B86:H86"/>
    <mergeCell ref="B77:G77"/>
    <mergeCell ref="B79:H79"/>
    <mergeCell ref="B80:G80"/>
    <mergeCell ref="B81:G81"/>
    <mergeCell ref="B78:G78"/>
    <mergeCell ref="B73:H73"/>
    <mergeCell ref="B74:H74"/>
    <mergeCell ref="B75:G75"/>
    <mergeCell ref="B76:G76"/>
    <mergeCell ref="A70:I70"/>
    <mergeCell ref="A71:I71"/>
    <mergeCell ref="B72:H72"/>
    <mergeCell ref="B65:G65"/>
    <mergeCell ref="B66:G66"/>
    <mergeCell ref="B67:G67"/>
    <mergeCell ref="A68:G68"/>
    <mergeCell ref="B62:C62"/>
    <mergeCell ref="B63:G63"/>
    <mergeCell ref="B64:G64"/>
    <mergeCell ref="A57:I57"/>
    <mergeCell ref="A58:I58"/>
    <mergeCell ref="B59:G59"/>
    <mergeCell ref="B60:G60"/>
    <mergeCell ref="B41:H41"/>
    <mergeCell ref="A42:H42"/>
    <mergeCell ref="A46:I46"/>
    <mergeCell ref="A43:I43"/>
    <mergeCell ref="B44:H44"/>
    <mergeCell ref="B61:G61"/>
    <mergeCell ref="B53:G53"/>
    <mergeCell ref="B54:G54"/>
    <mergeCell ref="A45:H45"/>
    <mergeCell ref="A49:I49"/>
    <mergeCell ref="A37:I37"/>
    <mergeCell ref="B38:G38"/>
    <mergeCell ref="B39:H39"/>
    <mergeCell ref="B33:G33"/>
    <mergeCell ref="H33:I33"/>
    <mergeCell ref="A34:I34"/>
    <mergeCell ref="A35:I35"/>
    <mergeCell ref="B40:G40"/>
    <mergeCell ref="B31:G31"/>
    <mergeCell ref="H31:I31"/>
    <mergeCell ref="B32:G32"/>
    <mergeCell ref="H32:I32"/>
    <mergeCell ref="B29:G29"/>
    <mergeCell ref="H29:I29"/>
    <mergeCell ref="B30:G30"/>
    <mergeCell ref="H30:I30"/>
    <mergeCell ref="A36:I36"/>
    <mergeCell ref="B27:G27"/>
    <mergeCell ref="H27:I27"/>
    <mergeCell ref="B28:G28"/>
    <mergeCell ref="H28:I28"/>
    <mergeCell ref="B25:G25"/>
    <mergeCell ref="H25:I25"/>
    <mergeCell ref="B26:G26"/>
    <mergeCell ref="H26:I26"/>
    <mergeCell ref="B23:G23"/>
    <mergeCell ref="H23:I23"/>
    <mergeCell ref="B24:G24"/>
    <mergeCell ref="H24:I24"/>
    <mergeCell ref="HY21:IF21"/>
    <mergeCell ref="IG21:IN21"/>
    <mergeCell ref="GK21:GR21"/>
    <mergeCell ref="EG21:EN21"/>
    <mergeCell ref="EO21:EV21"/>
    <mergeCell ref="EW21:FD21"/>
    <mergeCell ref="IO21:IV21"/>
    <mergeCell ref="B22:G22"/>
    <mergeCell ref="H22:I22"/>
    <mergeCell ref="GS21:GZ21"/>
    <mergeCell ref="HA21:HH21"/>
    <mergeCell ref="HI21:HP21"/>
    <mergeCell ref="HQ21:HX21"/>
    <mergeCell ref="FM21:FT21"/>
    <mergeCell ref="FU21:GB21"/>
    <mergeCell ref="GC21:GJ21"/>
    <mergeCell ref="FE21:FL21"/>
    <mergeCell ref="DA21:DH21"/>
    <mergeCell ref="DI21:DP21"/>
    <mergeCell ref="DQ21:DX21"/>
    <mergeCell ref="DY21:EF21"/>
    <mergeCell ref="BU21:CB21"/>
    <mergeCell ref="CC21:CJ21"/>
    <mergeCell ref="CK21:CR21"/>
    <mergeCell ref="CS21:CZ21"/>
    <mergeCell ref="AO21:AV21"/>
    <mergeCell ref="AW21:BD21"/>
    <mergeCell ref="BE21:BL21"/>
    <mergeCell ref="BM21:BT21"/>
    <mergeCell ref="J21:P21"/>
    <mergeCell ref="Q21:X21"/>
    <mergeCell ref="Y21:AF21"/>
    <mergeCell ref="AG21:AN21"/>
    <mergeCell ref="A18:I18"/>
    <mergeCell ref="A19:I19"/>
    <mergeCell ref="A20:I20"/>
    <mergeCell ref="A17:I17"/>
    <mergeCell ref="A21:I21"/>
    <mergeCell ref="A16:G16"/>
    <mergeCell ref="H16:I16"/>
    <mergeCell ref="A14:E14"/>
    <mergeCell ref="F14:G14"/>
    <mergeCell ref="H14:I14"/>
    <mergeCell ref="A15:E15"/>
    <mergeCell ref="F15:G15"/>
    <mergeCell ref="H15:I15"/>
    <mergeCell ref="A13:E13"/>
    <mergeCell ref="F13:G13"/>
    <mergeCell ref="H13:I13"/>
    <mergeCell ref="B10:G10"/>
    <mergeCell ref="H10:I10"/>
    <mergeCell ref="B11:G11"/>
    <mergeCell ref="H11:I11"/>
    <mergeCell ref="A47:H47"/>
    <mergeCell ref="B8:G8"/>
    <mergeCell ref="H8:I8"/>
    <mergeCell ref="B9:G9"/>
    <mergeCell ref="H9:I9"/>
    <mergeCell ref="A5:E5"/>
    <mergeCell ref="F5:I5"/>
    <mergeCell ref="A6:I6"/>
    <mergeCell ref="A7:I7"/>
    <mergeCell ref="A12:I12"/>
    <mergeCell ref="A50:I50"/>
    <mergeCell ref="A51:I51"/>
    <mergeCell ref="A56:I56"/>
    <mergeCell ref="B52:H52"/>
    <mergeCell ref="A55:H55"/>
    <mergeCell ref="A2:I2"/>
    <mergeCell ref="A3:I3"/>
    <mergeCell ref="A4:E4"/>
    <mergeCell ref="F4:I4"/>
    <mergeCell ref="A48:I48"/>
  </mergeCells>
  <phoneticPr fontId="0" type="noConversion"/>
  <pageMargins left="0.78749999999999998" right="0.31527777777777777" top="0.2298611111111111" bottom="0.31527777777777777" header="0.51180555555555551" footer="0.51180555555555551"/>
  <pageSetup paperSize="9" scale="71" firstPageNumber="0" orientation="portrait" verticalDpi="300" r:id="rId1"/>
  <headerFooter alignWithMargins="0"/>
  <rowBreaks count="1" manualBreakCount="1"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</vt:lpstr>
      <vt:lpstr>ViG Dur inicio rendição</vt:lpstr>
      <vt:lpstr>'ViG Dur inicio rendição'!Area_de_impressao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Ozorio Rosa</dc:creator>
  <cp:lastModifiedBy>Andréia Maria Pruinelli</cp:lastModifiedBy>
  <cp:lastPrinted>2018-08-10T18:52:38Z</cp:lastPrinted>
  <dcterms:created xsi:type="dcterms:W3CDTF">2018-05-23T15:32:06Z</dcterms:created>
  <dcterms:modified xsi:type="dcterms:W3CDTF">2018-08-14T14:04:36Z</dcterms:modified>
</cp:coreProperties>
</file>